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cranfield-my.sharepoint.com/personal/laura_cumplido-marin_cranfield_ac_uk/Documents/s266289/Papers/Economic model/Models/Italy/"/>
    </mc:Choice>
  </mc:AlternateContent>
  <xr:revisionPtr revIDLastSave="2" documentId="11_B9CCF127390B5FB7D1E9F607CE5B7EDEB9E37F98" xr6:coauthVersionLast="47" xr6:coauthVersionMax="47" xr10:uidLastSave="{5194B240-5BB4-409B-9951-0AB8FA904B43}"/>
  <bookViews>
    <workbookView xWindow="-110" yWindow="-110" windowWidth="19420" windowHeight="10420" activeTab="3" xr2:uid="{00000000-000D-0000-FFFF-FFFF00000000}"/>
  </bookViews>
  <sheets>
    <sheet name="Introduction" sheetId="20" r:id="rId1"/>
    <sheet name="Arable Inputs" sheetId="21" r:id="rId2"/>
    <sheet name="Arable fixed costs" sheetId="3" state="hidden" r:id="rId3"/>
    <sheet name="Arable margins" sheetId="1" r:id="rId4"/>
    <sheet name="Energy Inputs" sheetId="5" r:id="rId5"/>
    <sheet name="Energy fixed costs" sheetId="7" state="hidden" r:id="rId6"/>
    <sheet name="Energy margins" sheetId="2" state="hidden" r:id="rId7"/>
    <sheet name="Margins summary" sheetId="8" r:id="rId8"/>
    <sheet name="Arable NPV" sheetId="9" r:id="rId9"/>
    <sheet name="Arable Model tables" sheetId="18" state="hidden" r:id="rId10"/>
    <sheet name="Arable Model" sheetId="17" r:id="rId11"/>
    <sheet name="Energy Model tables" sheetId="22" state="hidden" r:id="rId12"/>
    <sheet name="Energy Model" sheetId="23" state="hidden" r:id="rId13"/>
    <sheet name="Energy NPV" sheetId="10" r:id="rId14"/>
    <sheet name="Sensitivity Analysis Price" sheetId="13" r:id="rId15"/>
    <sheet name="Sensitivity Analysis Yield" sheetId="14" state="hidden" r:id="rId16"/>
    <sheet name="Sensitivity Analysis Costs" sheetId="15" state="hidden" r:id="rId17"/>
    <sheet name="Sensitivity Analysis Discount R" sheetId="16" state="hidden" r:id="rId18"/>
    <sheet name="Summary NPV" sheetId="11" r:id="rId19"/>
    <sheet name="Summary SA" sheetId="12" r:id="rId20"/>
  </sheets>
  <definedNames>
    <definedName name="Rate_PLN" localSheetId="6">'Energy margins'!$E$53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F78" i="14" l="1"/>
  <c r="DF76" i="14"/>
  <c r="DF73" i="14"/>
  <c r="DF71" i="14"/>
  <c r="DF68" i="14"/>
  <c r="DF66" i="14"/>
  <c r="DF63" i="14"/>
  <c r="CF78" i="14"/>
  <c r="CF76" i="14"/>
  <c r="CF73" i="14"/>
  <c r="CF71" i="14"/>
  <c r="CF68" i="14"/>
  <c r="CF66" i="14"/>
  <c r="CF63" i="14"/>
  <c r="BF78" i="14"/>
  <c r="BF76" i="14"/>
  <c r="BF73" i="14"/>
  <c r="BF71" i="14"/>
  <c r="BF68" i="14"/>
  <c r="BF66" i="14"/>
  <c r="BF63" i="14"/>
  <c r="AF78" i="14"/>
  <c r="AF76" i="14"/>
  <c r="AF73" i="14"/>
  <c r="AF71" i="14"/>
  <c r="AF68" i="14"/>
  <c r="AF66" i="14"/>
  <c r="AF63" i="14"/>
  <c r="F78" i="14"/>
  <c r="F76" i="14"/>
  <c r="F73" i="14"/>
  <c r="F71" i="14"/>
  <c r="F68" i="14"/>
  <c r="F66" i="14"/>
  <c r="F63" i="14"/>
  <c r="DF78" i="13"/>
  <c r="DF76" i="13"/>
  <c r="DF73" i="13"/>
  <c r="DF71" i="13"/>
  <c r="DF68" i="13"/>
  <c r="DF66" i="13"/>
  <c r="DF63" i="13"/>
  <c r="CF78" i="13"/>
  <c r="CF76" i="13"/>
  <c r="CF73" i="13"/>
  <c r="CF71" i="13"/>
  <c r="CF68" i="13"/>
  <c r="CF66" i="13"/>
  <c r="CF63" i="13"/>
  <c r="BF78" i="13"/>
  <c r="BF76" i="13"/>
  <c r="BF73" i="13"/>
  <c r="BF71" i="13"/>
  <c r="BF68" i="13"/>
  <c r="BF66" i="13"/>
  <c r="BF63" i="13"/>
  <c r="AF78" i="13"/>
  <c r="AF76" i="13"/>
  <c r="AF73" i="13"/>
  <c r="AF71" i="13"/>
  <c r="AF68" i="13"/>
  <c r="AF66" i="13"/>
  <c r="AF63" i="13"/>
  <c r="F78" i="13"/>
  <c r="F76" i="13"/>
  <c r="F73" i="13"/>
  <c r="F71" i="13"/>
  <c r="F68" i="13"/>
  <c r="F66" i="13"/>
  <c r="F63" i="13"/>
  <c r="DF78" i="16"/>
  <c r="DF76" i="16"/>
  <c r="DF73" i="16"/>
  <c r="DF71" i="16"/>
  <c r="DF68" i="16"/>
  <c r="DF66" i="16"/>
  <c r="DF63" i="16"/>
  <c r="CF78" i="16"/>
  <c r="CF76" i="16"/>
  <c r="CF73" i="16"/>
  <c r="CF71" i="16"/>
  <c r="CF68" i="16"/>
  <c r="CF66" i="16"/>
  <c r="CF63" i="16"/>
  <c r="BF78" i="16"/>
  <c r="BF76" i="16"/>
  <c r="BF73" i="16"/>
  <c r="BF71" i="16"/>
  <c r="BF68" i="16"/>
  <c r="BF66" i="16"/>
  <c r="BF63" i="16"/>
  <c r="AF78" i="16"/>
  <c r="AF76" i="16"/>
  <c r="AF73" i="16"/>
  <c r="AF71" i="16"/>
  <c r="AF68" i="16"/>
  <c r="AF66" i="16"/>
  <c r="AF63" i="16"/>
  <c r="F78" i="16"/>
  <c r="F76" i="16"/>
  <c r="F73" i="16"/>
  <c r="F71" i="16"/>
  <c r="F68" i="16"/>
  <c r="F66" i="16"/>
  <c r="F63" i="16"/>
  <c r="DF78" i="15"/>
  <c r="DF76" i="15"/>
  <c r="DF73" i="15"/>
  <c r="DF71" i="15"/>
  <c r="DF68" i="15"/>
  <c r="DF66" i="15"/>
  <c r="DF63" i="15"/>
  <c r="CF78" i="15"/>
  <c r="CF76" i="15"/>
  <c r="CF73" i="15"/>
  <c r="CF71" i="15"/>
  <c r="CF68" i="15"/>
  <c r="CF66" i="15"/>
  <c r="CF63" i="15"/>
  <c r="BF78" i="15"/>
  <c r="BF76" i="15"/>
  <c r="BF73" i="15"/>
  <c r="BF71" i="15"/>
  <c r="BF68" i="15"/>
  <c r="BF66" i="15"/>
  <c r="BF63" i="15"/>
  <c r="AF78" i="15"/>
  <c r="AF76" i="15"/>
  <c r="AF73" i="15"/>
  <c r="AF71" i="15"/>
  <c r="AF68" i="15"/>
  <c r="AF66" i="15"/>
  <c r="AF63" i="15"/>
  <c r="F76" i="15"/>
  <c r="F71" i="15"/>
  <c r="F66" i="15"/>
  <c r="F78" i="15"/>
  <c r="F73" i="15"/>
  <c r="F68" i="15"/>
  <c r="F63" i="15"/>
  <c r="D93" i="5" l="1"/>
  <c r="L36" i="7" l="1"/>
  <c r="V36" i="7" s="1"/>
  <c r="Q36" i="7" l="1"/>
  <c r="H47" i="21" l="1"/>
  <c r="C4" i="3"/>
  <c r="X57" i="3" s="1"/>
  <c r="N44" i="20" l="1"/>
  <c r="N57" i="20" l="1"/>
  <c r="N65" i="20"/>
  <c r="W104" i="7" l="1"/>
  <c r="R104" i="7"/>
  <c r="AA71" i="3" l="1"/>
  <c r="G58" i="5"/>
  <c r="N49" i="20"/>
  <c r="H25" i="21"/>
  <c r="D58" i="5"/>
  <c r="N54" i="20"/>
  <c r="AB98" i="13" l="1"/>
  <c r="AB99" i="13"/>
  <c r="AB101" i="13"/>
  <c r="AB102" i="13"/>
  <c r="AB100" i="13"/>
  <c r="AB103" i="13"/>
  <c r="W104" i="3"/>
  <c r="X104" i="3" s="1"/>
  <c r="R39" i="3" l="1"/>
  <c r="N90" i="3"/>
  <c r="H39" i="3" l="1"/>
  <c r="X25" i="3" l="1"/>
  <c r="X32" i="3"/>
  <c r="E41" i="21"/>
  <c r="DA111" i="15" l="1"/>
  <c r="DA112" i="15"/>
  <c r="CC111" i="15"/>
  <c r="CC112" i="15"/>
  <c r="BE111" i="15"/>
  <c r="BE112" i="15"/>
  <c r="AG111" i="15"/>
  <c r="AG112" i="15"/>
  <c r="I111" i="15"/>
  <c r="I112" i="15"/>
  <c r="DA111" i="14"/>
  <c r="DA112" i="14"/>
  <c r="CC111" i="14"/>
  <c r="CC112" i="14"/>
  <c r="BE111" i="14"/>
  <c r="BE112" i="14"/>
  <c r="AG111" i="14"/>
  <c r="AG112" i="14"/>
  <c r="I111" i="14"/>
  <c r="I112" i="14"/>
  <c r="DA86" i="15"/>
  <c r="DA87" i="15"/>
  <c r="CC86" i="15"/>
  <c r="CC87" i="15"/>
  <c r="BE86" i="15"/>
  <c r="BE87" i="15"/>
  <c r="AG86" i="15"/>
  <c r="AG87" i="15"/>
  <c r="I86" i="15"/>
  <c r="I87" i="15"/>
  <c r="DA86" i="14"/>
  <c r="DA87" i="14"/>
  <c r="CC86" i="14"/>
  <c r="CC87" i="14"/>
  <c r="BE86" i="14"/>
  <c r="BE87" i="14"/>
  <c r="AG86" i="14"/>
  <c r="AG87" i="14"/>
  <c r="I86" i="14"/>
  <c r="I87" i="14"/>
  <c r="DA36" i="15"/>
  <c r="DA37" i="15"/>
  <c r="CC36" i="15"/>
  <c r="CC37" i="15"/>
  <c r="BE36" i="15"/>
  <c r="BE37" i="15"/>
  <c r="AG36" i="15"/>
  <c r="AG37" i="15"/>
  <c r="I36" i="15"/>
  <c r="I37" i="15"/>
  <c r="DA36" i="14"/>
  <c r="DA37" i="14"/>
  <c r="CC36" i="14"/>
  <c r="CC37" i="14"/>
  <c r="BE36" i="14"/>
  <c r="BE37" i="14"/>
  <c r="AG36" i="14"/>
  <c r="AG37" i="14"/>
  <c r="I36" i="14"/>
  <c r="I37" i="14"/>
  <c r="DA10" i="15"/>
  <c r="DA11" i="15"/>
  <c r="CC10" i="15"/>
  <c r="CC11" i="15"/>
  <c r="BE10" i="15"/>
  <c r="BE11" i="15"/>
  <c r="AG10" i="15"/>
  <c r="AG11" i="15"/>
  <c r="I10" i="15"/>
  <c r="I11" i="15"/>
  <c r="DA10" i="14"/>
  <c r="DA11" i="14"/>
  <c r="CC10" i="14"/>
  <c r="CC11" i="14"/>
  <c r="BE10" i="14"/>
  <c r="BE11" i="14"/>
  <c r="AG10" i="14"/>
  <c r="AG11" i="14"/>
  <c r="I10" i="14"/>
  <c r="I11" i="14"/>
  <c r="DA111" i="13"/>
  <c r="DA112" i="13"/>
  <c r="CC111" i="13"/>
  <c r="CC112" i="13"/>
  <c r="BE111" i="13"/>
  <c r="BE112" i="13"/>
  <c r="AG111" i="13"/>
  <c r="AG112" i="13"/>
  <c r="I111" i="13"/>
  <c r="I112" i="13"/>
  <c r="DA86" i="13"/>
  <c r="DA87" i="13"/>
  <c r="CC86" i="13"/>
  <c r="CC87" i="13"/>
  <c r="BE86" i="13"/>
  <c r="BE87" i="13"/>
  <c r="AG86" i="13"/>
  <c r="AG87" i="13"/>
  <c r="I86" i="13"/>
  <c r="I87" i="13"/>
  <c r="DA36" i="13"/>
  <c r="DA37" i="13"/>
  <c r="CC36" i="13"/>
  <c r="CC37" i="13"/>
  <c r="BE36" i="13"/>
  <c r="BE37" i="13"/>
  <c r="AG36" i="13"/>
  <c r="AG37" i="13"/>
  <c r="I36" i="13"/>
  <c r="I37" i="13"/>
  <c r="DA10" i="13"/>
  <c r="DA11" i="13"/>
  <c r="CC10" i="13"/>
  <c r="CC11" i="13"/>
  <c r="BE10" i="13"/>
  <c r="BE11" i="13"/>
  <c r="AG10" i="13"/>
  <c r="AG11" i="13"/>
  <c r="I10" i="13"/>
  <c r="I11" i="13"/>
  <c r="V54" i="7" l="1"/>
  <c r="G85" i="5" s="1"/>
  <c r="E96" i="5"/>
  <c r="F51" i="5"/>
  <c r="AA105" i="3"/>
  <c r="D26" i="21"/>
  <c r="F26" i="21"/>
  <c r="K22" i="10"/>
  <c r="K23" i="10"/>
  <c r="K24" i="10"/>
  <c r="K25" i="10"/>
  <c r="K26" i="10"/>
  <c r="K27" i="10"/>
  <c r="K28" i="10"/>
  <c r="N28" i="20"/>
  <c r="G65" i="5"/>
  <c r="F65" i="5"/>
  <c r="D65" i="5"/>
  <c r="DG71" i="14" l="1"/>
  <c r="CG66" i="14"/>
  <c r="AG71" i="14"/>
  <c r="DG76" i="14"/>
  <c r="CG71" i="14"/>
  <c r="AG66" i="14"/>
  <c r="BG71" i="14"/>
  <c r="DG66" i="14"/>
  <c r="CG76" i="14"/>
  <c r="BG76" i="14"/>
  <c r="BG66" i="14"/>
  <c r="G76" i="14"/>
  <c r="DG71" i="13"/>
  <c r="CG76" i="13"/>
  <c r="BG76" i="13"/>
  <c r="G66" i="13"/>
  <c r="DG66" i="16"/>
  <c r="CG66" i="16"/>
  <c r="BG66" i="16"/>
  <c r="AG66" i="16"/>
  <c r="AG66" i="15"/>
  <c r="AG76" i="13"/>
  <c r="G71" i="13"/>
  <c r="DG71" i="16"/>
  <c r="CG71" i="16"/>
  <c r="BG71" i="16"/>
  <c r="AG71" i="16"/>
  <c r="DG66" i="15"/>
  <c r="G71" i="15"/>
  <c r="DG66" i="13"/>
  <c r="CG71" i="13"/>
  <c r="BG71" i="13"/>
  <c r="G76" i="13"/>
  <c r="DG76" i="16"/>
  <c r="CG76" i="16"/>
  <c r="BG76" i="16"/>
  <c r="AG76" i="16"/>
  <c r="G76" i="16"/>
  <c r="G66" i="16"/>
  <c r="DG71" i="15"/>
  <c r="BG66" i="15"/>
  <c r="G71" i="14"/>
  <c r="AG76" i="14"/>
  <c r="AG71" i="13"/>
  <c r="G71" i="16"/>
  <c r="DG76" i="15"/>
  <c r="CG76" i="15"/>
  <c r="CG66" i="15"/>
  <c r="BG71" i="15"/>
  <c r="AG71" i="15"/>
  <c r="G66" i="15"/>
  <c r="G76" i="15"/>
  <c r="CG66" i="13"/>
  <c r="BG66" i="13"/>
  <c r="CG71" i="15"/>
  <c r="BG76" i="15"/>
  <c r="AG76" i="15"/>
  <c r="AG66" i="13"/>
  <c r="G66" i="14"/>
  <c r="DG76" i="13"/>
  <c r="BG68" i="14"/>
  <c r="AG73" i="14"/>
  <c r="DG78" i="14"/>
  <c r="CG73" i="14"/>
  <c r="BG73" i="14"/>
  <c r="DG68" i="14"/>
  <c r="DG63" i="14"/>
  <c r="CG78" i="14"/>
  <c r="CG63" i="14"/>
  <c r="BG78" i="14"/>
  <c r="DG73" i="14"/>
  <c r="CG68" i="14"/>
  <c r="AG78" i="13"/>
  <c r="DG78" i="15"/>
  <c r="CG78" i="15"/>
  <c r="CG73" i="15"/>
  <c r="CG68" i="15"/>
  <c r="BG73" i="15"/>
  <c r="AG73" i="15"/>
  <c r="G73" i="15"/>
  <c r="DG73" i="13"/>
  <c r="G78" i="13"/>
  <c r="BG63" i="14"/>
  <c r="DG68" i="13"/>
  <c r="CG73" i="13"/>
  <c r="BG73" i="13"/>
  <c r="BG78" i="15"/>
  <c r="AG78" i="15"/>
  <c r="CG78" i="16"/>
  <c r="G68" i="16"/>
  <c r="BG68" i="15"/>
  <c r="AG78" i="14"/>
  <c r="AG73" i="13"/>
  <c r="G68" i="15"/>
  <c r="AG78" i="16"/>
  <c r="G68" i="14"/>
  <c r="G63" i="14"/>
  <c r="DG63" i="13"/>
  <c r="CG68" i="13"/>
  <c r="BG68" i="13"/>
  <c r="G63" i="15"/>
  <c r="CG78" i="13"/>
  <c r="DG73" i="15"/>
  <c r="AG68" i="14"/>
  <c r="G73" i="14"/>
  <c r="AG68" i="13"/>
  <c r="BG78" i="13"/>
  <c r="G78" i="16"/>
  <c r="AG68" i="15"/>
  <c r="AG63" i="14"/>
  <c r="G78" i="14"/>
  <c r="DG78" i="13"/>
  <c r="CG63" i="13"/>
  <c r="BG63" i="13"/>
  <c r="G68" i="13"/>
  <c r="G63" i="13"/>
  <c r="DG68" i="16"/>
  <c r="DG63" i="16"/>
  <c r="CG68" i="16"/>
  <c r="CG63" i="16"/>
  <c r="BG68" i="16"/>
  <c r="BG63" i="16"/>
  <c r="AG68" i="16"/>
  <c r="AG63" i="16"/>
  <c r="G78" i="15"/>
  <c r="DG78" i="16"/>
  <c r="BG78" i="16"/>
  <c r="G73" i="16"/>
  <c r="BG63" i="15"/>
  <c r="AG63" i="13"/>
  <c r="G73" i="13"/>
  <c r="DG73" i="16"/>
  <c r="CG73" i="16"/>
  <c r="BG73" i="16"/>
  <c r="AG73" i="16"/>
  <c r="G63" i="16"/>
  <c r="DG68" i="15"/>
  <c r="DG63" i="15"/>
  <c r="CG63" i="15"/>
  <c r="AG63" i="15"/>
  <c r="E58" i="5"/>
  <c r="F58" i="5"/>
  <c r="D47" i="21"/>
  <c r="F59" i="21"/>
  <c r="G59" i="21"/>
  <c r="E59" i="21"/>
  <c r="D59" i="21"/>
  <c r="D34" i="21"/>
  <c r="F47" i="21"/>
  <c r="G47" i="21"/>
  <c r="E47" i="21"/>
  <c r="H41" i="21"/>
  <c r="G41" i="21"/>
  <c r="F41" i="21"/>
  <c r="D41" i="21"/>
  <c r="N68" i="20"/>
  <c r="W61" i="7" l="1"/>
  <c r="R61" i="7"/>
  <c r="W65" i="7"/>
  <c r="R65" i="7"/>
  <c r="M65" i="7"/>
  <c r="H65" i="7"/>
  <c r="M108" i="7"/>
  <c r="H108" i="7"/>
  <c r="AB39" i="3" l="1"/>
  <c r="W39" i="3"/>
  <c r="M39" i="3"/>
  <c r="K66" i="10" l="1"/>
  <c r="L66" i="10"/>
  <c r="R66" i="10"/>
  <c r="S66" i="10"/>
  <c r="T66" i="10"/>
  <c r="K67" i="10"/>
  <c r="L67" i="10"/>
  <c r="R67" i="10"/>
  <c r="S67" i="10"/>
  <c r="T67" i="10"/>
  <c r="J68" i="10"/>
  <c r="K68" i="10"/>
  <c r="L68" i="10"/>
  <c r="R68" i="10"/>
  <c r="S68" i="10"/>
  <c r="T68" i="10"/>
  <c r="J69" i="10"/>
  <c r="K69" i="10"/>
  <c r="L69" i="10"/>
  <c r="R69" i="10"/>
  <c r="S69" i="10"/>
  <c r="T69" i="10"/>
  <c r="J70" i="10"/>
  <c r="K70" i="10"/>
  <c r="L70" i="10"/>
  <c r="R70" i="10"/>
  <c r="S70" i="10"/>
  <c r="T70" i="10"/>
  <c r="J71" i="10"/>
  <c r="K71" i="10"/>
  <c r="L71" i="10"/>
  <c r="R71" i="10"/>
  <c r="S71" i="10"/>
  <c r="T71" i="10"/>
  <c r="J72" i="10"/>
  <c r="K72" i="10"/>
  <c r="L72" i="10"/>
  <c r="R72" i="10"/>
  <c r="S72" i="10"/>
  <c r="T72" i="10"/>
  <c r="J73" i="10"/>
  <c r="K73" i="10"/>
  <c r="L73" i="10"/>
  <c r="R73" i="10"/>
  <c r="S73" i="10"/>
  <c r="T73" i="10"/>
  <c r="J74" i="10"/>
  <c r="K74" i="10"/>
  <c r="L74" i="10"/>
  <c r="R74" i="10"/>
  <c r="S74" i="10"/>
  <c r="T74" i="10"/>
  <c r="J75" i="10"/>
  <c r="K75" i="10"/>
  <c r="L75" i="10"/>
  <c r="R75" i="10"/>
  <c r="S75" i="10"/>
  <c r="T75" i="10"/>
  <c r="J76" i="10"/>
  <c r="K76" i="10"/>
  <c r="L76" i="10"/>
  <c r="R76" i="10"/>
  <c r="S76" i="10"/>
  <c r="T76" i="10"/>
  <c r="J77" i="10"/>
  <c r="K77" i="10"/>
  <c r="L77" i="10"/>
  <c r="R77" i="10"/>
  <c r="S77" i="10"/>
  <c r="T77" i="10"/>
  <c r="J78" i="10"/>
  <c r="K78" i="10"/>
  <c r="L78" i="10"/>
  <c r="R78" i="10"/>
  <c r="S78" i="10"/>
  <c r="T78" i="10"/>
  <c r="J79" i="10"/>
  <c r="K79" i="10"/>
  <c r="L79" i="10"/>
  <c r="R79" i="10"/>
  <c r="S79" i="10"/>
  <c r="T79" i="10"/>
  <c r="J80" i="10"/>
  <c r="K80" i="10"/>
  <c r="L80" i="10"/>
  <c r="Q80" i="10"/>
  <c r="R80" i="10"/>
  <c r="S80" i="10"/>
  <c r="T80" i="10"/>
  <c r="T65" i="10"/>
  <c r="S65" i="10"/>
  <c r="R65" i="10"/>
  <c r="P65" i="10"/>
  <c r="O65" i="10"/>
  <c r="N65" i="10"/>
  <c r="M65" i="10"/>
  <c r="L65" i="10"/>
  <c r="K65" i="10"/>
  <c r="J65" i="10"/>
  <c r="J39" i="10"/>
  <c r="K92" i="10"/>
  <c r="L92" i="10"/>
  <c r="Q92" i="10"/>
  <c r="R92" i="10"/>
  <c r="T92" i="10"/>
  <c r="K93" i="10"/>
  <c r="L93" i="10"/>
  <c r="Q93" i="10"/>
  <c r="R93" i="10"/>
  <c r="T93" i="10"/>
  <c r="K94" i="10"/>
  <c r="L94" i="10"/>
  <c r="Q94" i="10"/>
  <c r="R94" i="10"/>
  <c r="T94" i="10"/>
  <c r="K95" i="10"/>
  <c r="L95" i="10"/>
  <c r="Q95" i="10"/>
  <c r="R95" i="10"/>
  <c r="T95" i="10"/>
  <c r="K96" i="10"/>
  <c r="L96" i="10"/>
  <c r="Q96" i="10"/>
  <c r="R96" i="10"/>
  <c r="T96" i="10"/>
  <c r="K97" i="10"/>
  <c r="L97" i="10"/>
  <c r="Q97" i="10"/>
  <c r="R97" i="10"/>
  <c r="T97" i="10"/>
  <c r="K98" i="10"/>
  <c r="L98" i="10"/>
  <c r="Q98" i="10"/>
  <c r="R98" i="10"/>
  <c r="T98" i="10"/>
  <c r="K99" i="10"/>
  <c r="L99" i="10"/>
  <c r="Q99" i="10"/>
  <c r="R99" i="10"/>
  <c r="T99" i="10"/>
  <c r="K100" i="10"/>
  <c r="L100" i="10"/>
  <c r="Q100" i="10"/>
  <c r="R100" i="10"/>
  <c r="T100" i="10"/>
  <c r="K101" i="10"/>
  <c r="L101" i="10"/>
  <c r="Q101" i="10"/>
  <c r="R101" i="10"/>
  <c r="T101" i="10"/>
  <c r="K102" i="10"/>
  <c r="L102" i="10"/>
  <c r="Q102" i="10"/>
  <c r="R102" i="10"/>
  <c r="T102" i="10"/>
  <c r="K103" i="10"/>
  <c r="L103" i="10"/>
  <c r="Q103" i="10"/>
  <c r="R103" i="10"/>
  <c r="T103" i="10"/>
  <c r="K104" i="10"/>
  <c r="L104" i="10"/>
  <c r="Q104" i="10"/>
  <c r="R104" i="10"/>
  <c r="T104" i="10"/>
  <c r="K105" i="10"/>
  <c r="L105" i="10"/>
  <c r="Q105" i="10"/>
  <c r="R105" i="10"/>
  <c r="T105" i="10"/>
  <c r="K106" i="10"/>
  <c r="L106" i="10"/>
  <c r="Q106" i="10"/>
  <c r="R106" i="10"/>
  <c r="T106" i="10"/>
  <c r="T91" i="10"/>
  <c r="S91" i="10"/>
  <c r="R91" i="10"/>
  <c r="Q91" i="10"/>
  <c r="P91" i="10"/>
  <c r="O91" i="10"/>
  <c r="N91" i="10"/>
  <c r="M91" i="10"/>
  <c r="L91" i="10"/>
  <c r="K91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91" i="10"/>
  <c r="Q40" i="10"/>
  <c r="S40" i="10"/>
  <c r="T40" i="10"/>
  <c r="Q41" i="10"/>
  <c r="S41" i="10"/>
  <c r="T41" i="10"/>
  <c r="Q42" i="10"/>
  <c r="S42" i="10"/>
  <c r="T42" i="10"/>
  <c r="Q43" i="10"/>
  <c r="S43" i="10"/>
  <c r="T43" i="10"/>
  <c r="Q44" i="10"/>
  <c r="S44" i="10"/>
  <c r="T44" i="10"/>
  <c r="Q45" i="10"/>
  <c r="S45" i="10"/>
  <c r="T45" i="10"/>
  <c r="Q46" i="10"/>
  <c r="S46" i="10"/>
  <c r="T46" i="10"/>
  <c r="Q47" i="10"/>
  <c r="S47" i="10"/>
  <c r="T47" i="10"/>
  <c r="Q48" i="10"/>
  <c r="S48" i="10"/>
  <c r="T48" i="10"/>
  <c r="Q49" i="10"/>
  <c r="S49" i="10"/>
  <c r="T49" i="10"/>
  <c r="Q50" i="10"/>
  <c r="S50" i="10"/>
  <c r="T50" i="10"/>
  <c r="Q51" i="10"/>
  <c r="S51" i="10"/>
  <c r="T51" i="10"/>
  <c r="Q52" i="10"/>
  <c r="S52" i="10"/>
  <c r="T52" i="10"/>
  <c r="Q53" i="10"/>
  <c r="S53" i="10"/>
  <c r="T53" i="10"/>
  <c r="Q54" i="10"/>
  <c r="S54" i="10"/>
  <c r="T54" i="10"/>
  <c r="T39" i="10"/>
  <c r="S39" i="10"/>
  <c r="Q39" i="10"/>
  <c r="P39" i="10"/>
  <c r="O39" i="10"/>
  <c r="N39" i="10"/>
  <c r="M39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39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13" i="10"/>
  <c r="R14" i="10"/>
  <c r="S14" i="10"/>
  <c r="T14" i="10"/>
  <c r="Q15" i="10"/>
  <c r="R15" i="10"/>
  <c r="S15" i="10"/>
  <c r="T15" i="10"/>
  <c r="R16" i="10"/>
  <c r="S16" i="10"/>
  <c r="T16" i="10"/>
  <c r="Q17" i="10"/>
  <c r="R17" i="10"/>
  <c r="S17" i="10"/>
  <c r="T17" i="10"/>
  <c r="R18" i="10"/>
  <c r="S18" i="10"/>
  <c r="T18" i="10"/>
  <c r="R19" i="10"/>
  <c r="S19" i="10"/>
  <c r="T19" i="10"/>
  <c r="R20" i="10"/>
  <c r="S20" i="10"/>
  <c r="T20" i="10"/>
  <c r="Q21" i="10"/>
  <c r="R21" i="10"/>
  <c r="S21" i="10"/>
  <c r="T21" i="10"/>
  <c r="R22" i="10"/>
  <c r="S22" i="10"/>
  <c r="T22" i="10"/>
  <c r="Q23" i="10"/>
  <c r="R23" i="10"/>
  <c r="S23" i="10"/>
  <c r="T23" i="10"/>
  <c r="R24" i="10"/>
  <c r="S24" i="10"/>
  <c r="T24" i="10"/>
  <c r="R25" i="10"/>
  <c r="S25" i="10"/>
  <c r="T25" i="10"/>
  <c r="R26" i="10"/>
  <c r="S26" i="10"/>
  <c r="T26" i="10"/>
  <c r="Q27" i="10"/>
  <c r="R27" i="10"/>
  <c r="S27" i="10"/>
  <c r="T27" i="10"/>
  <c r="R28" i="10"/>
  <c r="S28" i="10"/>
  <c r="T28" i="10"/>
  <c r="T13" i="10"/>
  <c r="S13" i="10"/>
  <c r="R13" i="10"/>
  <c r="Q13" i="10"/>
  <c r="N15" i="10"/>
  <c r="O15" i="10"/>
  <c r="P15" i="10"/>
  <c r="N17" i="10"/>
  <c r="O17" i="10"/>
  <c r="P17" i="10"/>
  <c r="N21" i="10"/>
  <c r="O21" i="10"/>
  <c r="P21" i="10"/>
  <c r="N23" i="10"/>
  <c r="O23" i="10"/>
  <c r="P23" i="10"/>
  <c r="N27" i="10"/>
  <c r="O27" i="10"/>
  <c r="P27" i="10"/>
  <c r="P13" i="10"/>
  <c r="O13" i="10"/>
  <c r="N13" i="10"/>
  <c r="E46" i="2"/>
  <c r="M15" i="10"/>
  <c r="M17" i="10"/>
  <c r="M21" i="10"/>
  <c r="M23" i="10"/>
  <c r="M27" i="10"/>
  <c r="M13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13" i="10"/>
  <c r="K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C94" i="10"/>
  <c r="D94" i="10" s="1"/>
  <c r="C95" i="10"/>
  <c r="D95" i="10" s="1"/>
  <c r="C96" i="10"/>
  <c r="D96" i="10" s="1"/>
  <c r="C97" i="10"/>
  <c r="D97" i="10" s="1"/>
  <c r="C98" i="10"/>
  <c r="D98" i="10" s="1"/>
  <c r="C99" i="10"/>
  <c r="C100" i="10"/>
  <c r="D100" i="10" s="1"/>
  <c r="C101" i="10"/>
  <c r="D101" i="10" s="1"/>
  <c r="C102" i="10"/>
  <c r="D102" i="10" s="1"/>
  <c r="C103" i="10"/>
  <c r="D103" i="10" s="1"/>
  <c r="C104" i="10"/>
  <c r="C105" i="10"/>
  <c r="D105" i="10" s="1"/>
  <c r="C106" i="10"/>
  <c r="D106" i="10" s="1"/>
  <c r="C92" i="10"/>
  <c r="D92" i="10" s="1"/>
  <c r="C93" i="10"/>
  <c r="D93" i="10" s="1"/>
  <c r="C91" i="10"/>
  <c r="D91" i="10" s="1"/>
  <c r="C66" i="10"/>
  <c r="D66" i="10" s="1"/>
  <c r="C67" i="10"/>
  <c r="D67" i="10" s="1"/>
  <c r="C68" i="10"/>
  <c r="D68" i="10" s="1"/>
  <c r="C69" i="10"/>
  <c r="D69" i="10" s="1"/>
  <c r="C70" i="10"/>
  <c r="D70" i="10" s="1"/>
  <c r="C71" i="10"/>
  <c r="D71" i="10" s="1"/>
  <c r="C72" i="10"/>
  <c r="D72" i="10" s="1"/>
  <c r="C73" i="10"/>
  <c r="D73" i="10" s="1"/>
  <c r="C74" i="10"/>
  <c r="C75" i="10"/>
  <c r="D75" i="10" s="1"/>
  <c r="C76" i="10"/>
  <c r="D76" i="10" s="1"/>
  <c r="C77" i="10"/>
  <c r="D77" i="10" s="1"/>
  <c r="C78" i="10"/>
  <c r="D78" i="10" s="1"/>
  <c r="C79" i="10"/>
  <c r="D79" i="10" s="1"/>
  <c r="C80" i="10"/>
  <c r="C65" i="10"/>
  <c r="D65" i="10" s="1"/>
  <c r="C40" i="10"/>
  <c r="D40" i="10" s="1"/>
  <c r="C41" i="10"/>
  <c r="D41" i="10" s="1"/>
  <c r="C42" i="10"/>
  <c r="D42" i="10" s="1"/>
  <c r="C43" i="10"/>
  <c r="D43" i="10" s="1"/>
  <c r="C44" i="10"/>
  <c r="D44" i="10" s="1"/>
  <c r="C45" i="10"/>
  <c r="D45" i="10" s="1"/>
  <c r="C46" i="10"/>
  <c r="C47" i="10"/>
  <c r="D47" i="10" s="1"/>
  <c r="C48" i="10"/>
  <c r="D48" i="10" s="1"/>
  <c r="C49" i="10"/>
  <c r="D49" i="10" s="1"/>
  <c r="C50" i="10"/>
  <c r="D50" i="10" s="1"/>
  <c r="C51" i="10"/>
  <c r="D51" i="10" s="1"/>
  <c r="C52" i="10"/>
  <c r="D52" i="10" s="1"/>
  <c r="C53" i="10"/>
  <c r="D53" i="10" s="1"/>
  <c r="C54" i="10"/>
  <c r="D54" i="10" s="1"/>
  <c r="C39" i="10"/>
  <c r="D39" i="10" s="1"/>
  <c r="C20" i="10"/>
  <c r="D20" i="10" s="1"/>
  <c r="C21" i="10"/>
  <c r="D21" i="10" s="1"/>
  <c r="C22" i="10"/>
  <c r="D22" i="10" s="1"/>
  <c r="C23" i="10"/>
  <c r="D23" i="10" s="1"/>
  <c r="C24" i="10"/>
  <c r="D24" i="10" s="1"/>
  <c r="C25" i="10"/>
  <c r="D25" i="10" s="1"/>
  <c r="C26" i="10"/>
  <c r="D26" i="10" s="1"/>
  <c r="C27" i="10"/>
  <c r="D27" i="10" s="1"/>
  <c r="C28" i="10"/>
  <c r="D28" i="10" s="1"/>
  <c r="C14" i="10"/>
  <c r="D14" i="10" s="1"/>
  <c r="C15" i="10"/>
  <c r="D15" i="10" s="1"/>
  <c r="C16" i="10"/>
  <c r="D16" i="10" s="1"/>
  <c r="C17" i="10"/>
  <c r="D17" i="10" s="1"/>
  <c r="C18" i="10"/>
  <c r="D18" i="10" s="1"/>
  <c r="C19" i="10"/>
  <c r="D19" i="10" s="1"/>
  <c r="C13" i="10"/>
  <c r="D13" i="10" s="1"/>
  <c r="D99" i="10"/>
  <c r="D104" i="10"/>
  <c r="D74" i="10"/>
  <c r="D80" i="10"/>
  <c r="D46" i="10"/>
  <c r="U23" i="10" l="1"/>
  <c r="BC98" i="16" s="1"/>
  <c r="J10" i="2"/>
  <c r="U27" i="10"/>
  <c r="U13" i="10"/>
  <c r="CW88" i="16" s="1"/>
  <c r="L14" i="10"/>
  <c r="L15" i="10"/>
  <c r="U91" i="10"/>
  <c r="Q10" i="2"/>
  <c r="X10" i="2"/>
  <c r="AE10" i="2"/>
  <c r="DA38" i="15" l="1"/>
  <c r="BE38" i="15"/>
  <c r="I38" i="15"/>
  <c r="CC38" i="14"/>
  <c r="AG38" i="14"/>
  <c r="DA38" i="13"/>
  <c r="BE38" i="13"/>
  <c r="I38" i="13"/>
  <c r="CC38" i="15"/>
  <c r="AG38" i="15"/>
  <c r="BE38" i="14"/>
  <c r="I38" i="14"/>
  <c r="CC38" i="13"/>
  <c r="AG38" i="13"/>
  <c r="DA38" i="14"/>
  <c r="AF88" i="16"/>
  <c r="I98" i="16"/>
  <c r="I88" i="16"/>
  <c r="BZ102" i="16"/>
  <c r="DA102" i="15"/>
  <c r="CC102" i="14"/>
  <c r="AG102" i="15"/>
  <c r="DA102" i="14"/>
  <c r="BE102" i="14"/>
  <c r="I102" i="14"/>
  <c r="DA102" i="13"/>
  <c r="BE102" i="13"/>
  <c r="I102" i="13"/>
  <c r="AG102" i="14"/>
  <c r="CC102" i="15"/>
  <c r="BE102" i="15"/>
  <c r="I102" i="15"/>
  <c r="CC102" i="13"/>
  <c r="AG102" i="13"/>
  <c r="BC88" i="16"/>
  <c r="CC88" i="15"/>
  <c r="DA88" i="13"/>
  <c r="I88" i="15"/>
  <c r="CC88" i="14"/>
  <c r="AG88" i="14"/>
  <c r="CC88" i="13"/>
  <c r="AG88" i="13"/>
  <c r="AG88" i="15"/>
  <c r="DA88" i="14"/>
  <c r="BE88" i="13"/>
  <c r="I88" i="13"/>
  <c r="BE88" i="15"/>
  <c r="DA88" i="15"/>
  <c r="BE88" i="14"/>
  <c r="I88" i="14"/>
  <c r="CW98" i="16"/>
  <c r="DA98" i="15"/>
  <c r="AG98" i="14"/>
  <c r="CC98" i="13"/>
  <c r="AG98" i="15"/>
  <c r="DA98" i="14"/>
  <c r="BE98" i="14"/>
  <c r="I98" i="14"/>
  <c r="DA98" i="13"/>
  <c r="BE98" i="13"/>
  <c r="I98" i="13"/>
  <c r="BE98" i="15"/>
  <c r="I98" i="15"/>
  <c r="CC98" i="14"/>
  <c r="AG98" i="13"/>
  <c r="CC98" i="15"/>
  <c r="BZ88" i="16"/>
  <c r="BZ98" i="16"/>
  <c r="AF98" i="16"/>
  <c r="CW102" i="16"/>
  <c r="I102" i="16"/>
  <c r="BC102" i="16"/>
  <c r="AF102" i="16"/>
  <c r="BZ38" i="16"/>
  <c r="BC38" i="16"/>
  <c r="AF38" i="16"/>
  <c r="CW38" i="16"/>
  <c r="I38" i="16"/>
  <c r="CR153" i="16" l="1"/>
  <c r="CQ153" i="16"/>
  <c r="CR152" i="16"/>
  <c r="CQ152" i="16"/>
  <c r="CR151" i="16"/>
  <c r="CQ151" i="16"/>
  <c r="CR150" i="16"/>
  <c r="CQ150" i="16"/>
  <c r="CR149" i="16"/>
  <c r="CQ149" i="16"/>
  <c r="CR148" i="16"/>
  <c r="CQ148" i="16"/>
  <c r="CR147" i="16"/>
  <c r="CQ147" i="16"/>
  <c r="CR146" i="16"/>
  <c r="CQ146" i="16"/>
  <c r="CR145" i="16"/>
  <c r="CQ145" i="16"/>
  <c r="CR144" i="16"/>
  <c r="CQ144" i="16"/>
  <c r="CR143" i="16"/>
  <c r="CQ143" i="16"/>
  <c r="CR142" i="16"/>
  <c r="CQ142" i="16"/>
  <c r="CR141" i="16"/>
  <c r="CQ141" i="16"/>
  <c r="CR140" i="16"/>
  <c r="CQ140" i="16"/>
  <c r="CR139" i="16"/>
  <c r="CQ139" i="16"/>
  <c r="CR138" i="16"/>
  <c r="CQ138" i="16"/>
  <c r="CW136" i="16"/>
  <c r="CV136" i="16"/>
  <c r="BU153" i="16"/>
  <c r="BT153" i="16"/>
  <c r="BU152" i="16"/>
  <c r="BT152" i="16"/>
  <c r="BU151" i="16"/>
  <c r="BT151" i="16"/>
  <c r="BU150" i="16"/>
  <c r="BT150" i="16"/>
  <c r="BU149" i="16"/>
  <c r="BT149" i="16"/>
  <c r="BU148" i="16"/>
  <c r="BT148" i="16"/>
  <c r="BU147" i="16"/>
  <c r="BT147" i="16"/>
  <c r="BU146" i="16"/>
  <c r="BT146" i="16"/>
  <c r="BU145" i="16"/>
  <c r="BT145" i="16"/>
  <c r="BU144" i="16"/>
  <c r="BT144" i="16"/>
  <c r="BU143" i="16"/>
  <c r="BT143" i="16"/>
  <c r="BU142" i="16"/>
  <c r="BT142" i="16"/>
  <c r="BU141" i="16"/>
  <c r="BT141" i="16"/>
  <c r="BU140" i="16"/>
  <c r="BT140" i="16"/>
  <c r="BU139" i="16"/>
  <c r="BT139" i="16"/>
  <c r="BU138" i="16"/>
  <c r="BT138" i="16"/>
  <c r="BZ136" i="16"/>
  <c r="BY136" i="16"/>
  <c r="AX153" i="16"/>
  <c r="AW153" i="16"/>
  <c r="AX152" i="16"/>
  <c r="AW152" i="16"/>
  <c r="AX151" i="16"/>
  <c r="AW151" i="16"/>
  <c r="AX150" i="16"/>
  <c r="AW150" i="16"/>
  <c r="AX149" i="16"/>
  <c r="AW149" i="16"/>
  <c r="AX148" i="16"/>
  <c r="AW148" i="16"/>
  <c r="AX147" i="16"/>
  <c r="AW147" i="16"/>
  <c r="AX146" i="16"/>
  <c r="AW146" i="16"/>
  <c r="AX145" i="16"/>
  <c r="AW145" i="16"/>
  <c r="AX144" i="16"/>
  <c r="AW144" i="16"/>
  <c r="AX143" i="16"/>
  <c r="AW143" i="16"/>
  <c r="AX142" i="16"/>
  <c r="AW142" i="16"/>
  <c r="AX141" i="16"/>
  <c r="AW141" i="16"/>
  <c r="AX140" i="16"/>
  <c r="AW140" i="16"/>
  <c r="AX139" i="16"/>
  <c r="AW139" i="16"/>
  <c r="AX138" i="16"/>
  <c r="AW138" i="16"/>
  <c r="BC136" i="16"/>
  <c r="BB136" i="16"/>
  <c r="AA153" i="16"/>
  <c r="Z153" i="16"/>
  <c r="AA152" i="16"/>
  <c r="Z152" i="16"/>
  <c r="AA151" i="16"/>
  <c r="Z151" i="16"/>
  <c r="AA150" i="16"/>
  <c r="Z150" i="16"/>
  <c r="AA149" i="16"/>
  <c r="Z149" i="16"/>
  <c r="AA148" i="16"/>
  <c r="Z148" i="16"/>
  <c r="AA147" i="16"/>
  <c r="Z147" i="16"/>
  <c r="AA146" i="16"/>
  <c r="Z146" i="16"/>
  <c r="AA145" i="16"/>
  <c r="Z145" i="16"/>
  <c r="AA144" i="16"/>
  <c r="Z144" i="16"/>
  <c r="AA143" i="16"/>
  <c r="Z143" i="16"/>
  <c r="AA142" i="16"/>
  <c r="Z142" i="16"/>
  <c r="AA141" i="16"/>
  <c r="Z141" i="16"/>
  <c r="AA140" i="16"/>
  <c r="Z140" i="16"/>
  <c r="AA139" i="16"/>
  <c r="Z139" i="16"/>
  <c r="AA138" i="16"/>
  <c r="Z138" i="16"/>
  <c r="AF136" i="16"/>
  <c r="AE136" i="16"/>
  <c r="D153" i="16"/>
  <c r="C153" i="16"/>
  <c r="D152" i="16"/>
  <c r="C152" i="16"/>
  <c r="D151" i="16"/>
  <c r="C151" i="16"/>
  <c r="D150" i="16"/>
  <c r="C150" i="16"/>
  <c r="D149" i="16"/>
  <c r="C149" i="16"/>
  <c r="D148" i="16"/>
  <c r="C148" i="16"/>
  <c r="D147" i="16"/>
  <c r="C147" i="16"/>
  <c r="D146" i="16"/>
  <c r="C146" i="16"/>
  <c r="D145" i="16"/>
  <c r="C145" i="16"/>
  <c r="D144" i="16"/>
  <c r="C144" i="16"/>
  <c r="D143" i="16"/>
  <c r="C143" i="16"/>
  <c r="D142" i="16"/>
  <c r="C142" i="16"/>
  <c r="D141" i="16"/>
  <c r="C141" i="16"/>
  <c r="D140" i="16"/>
  <c r="C140" i="16"/>
  <c r="D139" i="16"/>
  <c r="C139" i="16"/>
  <c r="D138" i="16"/>
  <c r="C138" i="16"/>
  <c r="I136" i="16"/>
  <c r="H136" i="16"/>
  <c r="CV153" i="15"/>
  <c r="CU153" i="15"/>
  <c r="CV152" i="15"/>
  <c r="CU152" i="15"/>
  <c r="CV151" i="15"/>
  <c r="CU151" i="15"/>
  <c r="CV150" i="15"/>
  <c r="CU150" i="15"/>
  <c r="CV149" i="15"/>
  <c r="CU149" i="15"/>
  <c r="CV148" i="15"/>
  <c r="CU148" i="15"/>
  <c r="CV147" i="15"/>
  <c r="CU147" i="15"/>
  <c r="CV146" i="15"/>
  <c r="CU146" i="15"/>
  <c r="CV145" i="15"/>
  <c r="CU145" i="15"/>
  <c r="CV144" i="15"/>
  <c r="CU144" i="15"/>
  <c r="CV143" i="15"/>
  <c r="CU143" i="15"/>
  <c r="CV142" i="15"/>
  <c r="CU142" i="15"/>
  <c r="CV141" i="15"/>
  <c r="CU141" i="15"/>
  <c r="CV140" i="15"/>
  <c r="CU140" i="15"/>
  <c r="CV139" i="15"/>
  <c r="CU139" i="15"/>
  <c r="CV138" i="15"/>
  <c r="CU138" i="15"/>
  <c r="DA136" i="15"/>
  <c r="CZ136" i="15"/>
  <c r="BX153" i="15"/>
  <c r="BW153" i="15"/>
  <c r="BX152" i="15"/>
  <c r="BW152" i="15"/>
  <c r="BX151" i="15"/>
  <c r="BW151" i="15"/>
  <c r="BX150" i="15"/>
  <c r="BW150" i="15"/>
  <c r="BX149" i="15"/>
  <c r="BW149" i="15"/>
  <c r="BX148" i="15"/>
  <c r="BW148" i="15"/>
  <c r="BX147" i="15"/>
  <c r="BW147" i="15"/>
  <c r="BX146" i="15"/>
  <c r="BW146" i="15"/>
  <c r="BX145" i="15"/>
  <c r="BW145" i="15"/>
  <c r="BX144" i="15"/>
  <c r="BW144" i="15"/>
  <c r="BX143" i="15"/>
  <c r="BW143" i="15"/>
  <c r="BX142" i="15"/>
  <c r="BW142" i="15"/>
  <c r="BX141" i="15"/>
  <c r="BW141" i="15"/>
  <c r="BX140" i="15"/>
  <c r="BW140" i="15"/>
  <c r="BX139" i="15"/>
  <c r="BW139" i="15"/>
  <c r="BX138" i="15"/>
  <c r="BW138" i="15"/>
  <c r="CC136" i="15"/>
  <c r="CB136" i="15"/>
  <c r="AZ153" i="15"/>
  <c r="AY153" i="15"/>
  <c r="AZ152" i="15"/>
  <c r="AY152" i="15"/>
  <c r="AZ151" i="15"/>
  <c r="AY151" i="15"/>
  <c r="AZ150" i="15"/>
  <c r="AY150" i="15"/>
  <c r="AZ149" i="15"/>
  <c r="AY149" i="15"/>
  <c r="AZ148" i="15"/>
  <c r="AY148" i="15"/>
  <c r="AZ147" i="15"/>
  <c r="AY147" i="15"/>
  <c r="AZ146" i="15"/>
  <c r="AY146" i="15"/>
  <c r="AZ145" i="15"/>
  <c r="AY145" i="15"/>
  <c r="AZ144" i="15"/>
  <c r="AY144" i="15"/>
  <c r="AZ143" i="15"/>
  <c r="AY143" i="15"/>
  <c r="AZ142" i="15"/>
  <c r="AY142" i="15"/>
  <c r="AZ141" i="15"/>
  <c r="AY141" i="15"/>
  <c r="AZ140" i="15"/>
  <c r="AY140" i="15"/>
  <c r="AZ139" i="15"/>
  <c r="AY139" i="15"/>
  <c r="AZ138" i="15"/>
  <c r="AY138" i="15"/>
  <c r="BE136" i="15"/>
  <c r="BD136" i="15"/>
  <c r="AB153" i="15"/>
  <c r="AA153" i="15"/>
  <c r="AB152" i="15"/>
  <c r="AA152" i="15"/>
  <c r="AB151" i="15"/>
  <c r="AA151" i="15"/>
  <c r="AB150" i="15"/>
  <c r="AA150" i="15"/>
  <c r="AB149" i="15"/>
  <c r="AA149" i="15"/>
  <c r="AB148" i="15"/>
  <c r="AA148" i="15"/>
  <c r="AB147" i="15"/>
  <c r="AA147" i="15"/>
  <c r="AB146" i="15"/>
  <c r="AA146" i="15"/>
  <c r="AB145" i="15"/>
  <c r="AA145" i="15"/>
  <c r="AB144" i="15"/>
  <c r="AA144" i="15"/>
  <c r="AB143" i="15"/>
  <c r="AA143" i="15"/>
  <c r="AB142" i="15"/>
  <c r="AA142" i="15"/>
  <c r="AB141" i="15"/>
  <c r="AA141" i="15"/>
  <c r="AB140" i="15"/>
  <c r="AA140" i="15"/>
  <c r="AB139" i="15"/>
  <c r="AA139" i="15"/>
  <c r="AB138" i="15"/>
  <c r="AA138" i="15"/>
  <c r="AG136" i="15"/>
  <c r="AF136" i="15"/>
  <c r="C139" i="15"/>
  <c r="C140" i="15"/>
  <c r="C141" i="15"/>
  <c r="C142" i="15"/>
  <c r="C143" i="15"/>
  <c r="C144" i="15"/>
  <c r="C145" i="15"/>
  <c r="C146" i="15"/>
  <c r="C147" i="15"/>
  <c r="C148" i="15"/>
  <c r="C149" i="15"/>
  <c r="C150" i="15"/>
  <c r="C151" i="15"/>
  <c r="C152" i="15"/>
  <c r="C153" i="15"/>
  <c r="C138" i="15"/>
  <c r="D153" i="15"/>
  <c r="D152" i="15"/>
  <c r="D151" i="15"/>
  <c r="D150" i="15"/>
  <c r="D149" i="15"/>
  <c r="D148" i="15"/>
  <c r="E148" i="15" s="1"/>
  <c r="D147" i="15"/>
  <c r="D146" i="15"/>
  <c r="D145" i="15"/>
  <c r="D144" i="15"/>
  <c r="D143" i="15"/>
  <c r="D142" i="15"/>
  <c r="E142" i="15" s="1"/>
  <c r="D141" i="15"/>
  <c r="D140" i="15"/>
  <c r="D139" i="15"/>
  <c r="D138" i="15"/>
  <c r="I136" i="15"/>
  <c r="H136" i="15"/>
  <c r="CU139" i="14"/>
  <c r="CU140" i="14"/>
  <c r="CU141" i="14"/>
  <c r="CU142" i="14"/>
  <c r="CU143" i="14"/>
  <c r="CU144" i="14"/>
  <c r="CU145" i="14"/>
  <c r="CU146" i="14"/>
  <c r="CU147" i="14"/>
  <c r="CU148" i="14"/>
  <c r="CU149" i="14"/>
  <c r="CU150" i="14"/>
  <c r="CU151" i="14"/>
  <c r="CU152" i="14"/>
  <c r="CU153" i="14"/>
  <c r="CU138" i="14"/>
  <c r="CV153" i="14"/>
  <c r="CV152" i="14"/>
  <c r="CW152" i="14" s="1"/>
  <c r="CV151" i="14"/>
  <c r="CV150" i="14"/>
  <c r="CV149" i="14"/>
  <c r="CV148" i="14"/>
  <c r="CV147" i="14"/>
  <c r="CV146" i="14"/>
  <c r="CV145" i="14"/>
  <c r="CV144" i="14"/>
  <c r="CV143" i="14"/>
  <c r="CV142" i="14"/>
  <c r="CV141" i="14"/>
  <c r="CV140" i="14"/>
  <c r="CV139" i="14"/>
  <c r="CV138" i="14"/>
  <c r="DA136" i="14"/>
  <c r="CZ136" i="14"/>
  <c r="BW139" i="14"/>
  <c r="BW140" i="14"/>
  <c r="BW141" i="14"/>
  <c r="BW142" i="14"/>
  <c r="BW143" i="14"/>
  <c r="BW144" i="14"/>
  <c r="BW145" i="14"/>
  <c r="BW146" i="14"/>
  <c r="BW147" i="14"/>
  <c r="BW148" i="14"/>
  <c r="BW149" i="14"/>
  <c r="BW150" i="14"/>
  <c r="BW151" i="14"/>
  <c r="BW152" i="14"/>
  <c r="BW153" i="14"/>
  <c r="BW138" i="14"/>
  <c r="BX153" i="14"/>
  <c r="BX152" i="14"/>
  <c r="BY152" i="14" s="1"/>
  <c r="BX151" i="14"/>
  <c r="BX150" i="14"/>
  <c r="BX149" i="14"/>
  <c r="BX148" i="14"/>
  <c r="BX147" i="14"/>
  <c r="BX146" i="14"/>
  <c r="BX145" i="14"/>
  <c r="BX144" i="14"/>
  <c r="BY144" i="14" s="1"/>
  <c r="BX143" i="14"/>
  <c r="BX142" i="14"/>
  <c r="BX141" i="14"/>
  <c r="BX140" i="14"/>
  <c r="BX139" i="14"/>
  <c r="BX138" i="14"/>
  <c r="CC136" i="14"/>
  <c r="CB136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38" i="14"/>
  <c r="AZ153" i="14"/>
  <c r="AZ152" i="14"/>
  <c r="AZ151" i="14"/>
  <c r="AZ150" i="14"/>
  <c r="AZ149" i="14"/>
  <c r="AZ148" i="14"/>
  <c r="BA148" i="14" s="1"/>
  <c r="AZ147" i="14"/>
  <c r="AZ146" i="14"/>
  <c r="AZ145" i="14"/>
  <c r="AZ144" i="14"/>
  <c r="AZ143" i="14"/>
  <c r="AZ142" i="14"/>
  <c r="AZ141" i="14"/>
  <c r="AZ140" i="14"/>
  <c r="BA140" i="14" s="1"/>
  <c r="AZ139" i="14"/>
  <c r="AZ138" i="14"/>
  <c r="BE136" i="14"/>
  <c r="BD136" i="14"/>
  <c r="AA139" i="14"/>
  <c r="AA140" i="14"/>
  <c r="AA141" i="14"/>
  <c r="AA142" i="14"/>
  <c r="AA143" i="14"/>
  <c r="AA144" i="14"/>
  <c r="AA145" i="14"/>
  <c r="AA146" i="14"/>
  <c r="AA147" i="14"/>
  <c r="AA148" i="14"/>
  <c r="AA149" i="14"/>
  <c r="AA150" i="14"/>
  <c r="AA151" i="14"/>
  <c r="AA152" i="14"/>
  <c r="AA153" i="14"/>
  <c r="AA138" i="14"/>
  <c r="AB153" i="14"/>
  <c r="AB152" i="14"/>
  <c r="AB151" i="14"/>
  <c r="AB150" i="14"/>
  <c r="AB149" i="14"/>
  <c r="AB148" i="14"/>
  <c r="AB147" i="14"/>
  <c r="AB146" i="14"/>
  <c r="AC146" i="14" s="1"/>
  <c r="AB145" i="14"/>
  <c r="AB144" i="14"/>
  <c r="AB143" i="14"/>
  <c r="AB142" i="14"/>
  <c r="AB141" i="14"/>
  <c r="AB140" i="14"/>
  <c r="AB139" i="14"/>
  <c r="AB138" i="14"/>
  <c r="AG136" i="14"/>
  <c r="AF136" i="14"/>
  <c r="C139" i="14"/>
  <c r="C140" i="14"/>
  <c r="C141" i="14"/>
  <c r="C142" i="14"/>
  <c r="C143" i="14"/>
  <c r="C144" i="14"/>
  <c r="C145" i="14"/>
  <c r="C146" i="14"/>
  <c r="C147" i="14"/>
  <c r="C148" i="14"/>
  <c r="C149" i="14"/>
  <c r="C150" i="14"/>
  <c r="C151" i="14"/>
  <c r="C152" i="14"/>
  <c r="C153" i="14"/>
  <c r="C138" i="14"/>
  <c r="D139" i="14"/>
  <c r="D140" i="14"/>
  <c r="D141" i="14"/>
  <c r="D142" i="14"/>
  <c r="E142" i="14" s="1"/>
  <c r="D143" i="14"/>
  <c r="D144" i="14"/>
  <c r="D145" i="14"/>
  <c r="D146" i="14"/>
  <c r="E146" i="14" s="1"/>
  <c r="D147" i="14"/>
  <c r="D148" i="14"/>
  <c r="D149" i="14"/>
  <c r="D150" i="14"/>
  <c r="D151" i="14"/>
  <c r="D152" i="14"/>
  <c r="D153" i="14"/>
  <c r="D138" i="14"/>
  <c r="E143" i="14"/>
  <c r="I136" i="14"/>
  <c r="H136" i="14"/>
  <c r="CV139" i="13"/>
  <c r="CV140" i="13"/>
  <c r="CV141" i="13"/>
  <c r="CV142" i="13"/>
  <c r="CV143" i="13"/>
  <c r="CV144" i="13"/>
  <c r="CV145" i="13"/>
  <c r="CV146" i="13"/>
  <c r="CV147" i="13"/>
  <c r="CV148" i="13"/>
  <c r="CV149" i="13"/>
  <c r="CV150" i="13"/>
  <c r="CV151" i="13"/>
  <c r="CV152" i="13"/>
  <c r="CV153" i="13"/>
  <c r="CV138" i="13"/>
  <c r="CU153" i="13"/>
  <c r="CU152" i="13"/>
  <c r="CU151" i="13"/>
  <c r="CU150" i="13"/>
  <c r="CW150" i="13" s="1"/>
  <c r="CU149" i="13"/>
  <c r="CU148" i="13"/>
  <c r="CU147" i="13"/>
  <c r="CU146" i="13"/>
  <c r="CW146" i="13" s="1"/>
  <c r="CU145" i="13"/>
  <c r="CU144" i="13"/>
  <c r="CU143" i="13"/>
  <c r="CU142" i="13"/>
  <c r="CU141" i="13"/>
  <c r="CU140" i="13"/>
  <c r="CU139" i="13"/>
  <c r="CU138" i="13"/>
  <c r="CW138" i="13" s="1"/>
  <c r="DA136" i="13"/>
  <c r="CZ136" i="13"/>
  <c r="BX139" i="13"/>
  <c r="BX140" i="13"/>
  <c r="BX141" i="13"/>
  <c r="BX142" i="13"/>
  <c r="BX143" i="13"/>
  <c r="BX144" i="13"/>
  <c r="BX145" i="13"/>
  <c r="BX146" i="13"/>
  <c r="BX147" i="13"/>
  <c r="BX148" i="13"/>
  <c r="BX149" i="13"/>
  <c r="BX150" i="13"/>
  <c r="BX151" i="13"/>
  <c r="BX152" i="13"/>
  <c r="BX153" i="13"/>
  <c r="BX138" i="13"/>
  <c r="BW153" i="13"/>
  <c r="BW152" i="13"/>
  <c r="BW151" i="13"/>
  <c r="BW150" i="13"/>
  <c r="BW149" i="13"/>
  <c r="BW148" i="13"/>
  <c r="BW147" i="13"/>
  <c r="BW146" i="13"/>
  <c r="BW145" i="13"/>
  <c r="BW144" i="13"/>
  <c r="BW143" i="13"/>
  <c r="BW142" i="13"/>
  <c r="BW141" i="13"/>
  <c r="BW140" i="13"/>
  <c r="BY140" i="13" s="1"/>
  <c r="BW139" i="13"/>
  <c r="BW138" i="13"/>
  <c r="BY138" i="13" s="1"/>
  <c r="CC136" i="13"/>
  <c r="CB136" i="13"/>
  <c r="AZ139" i="13"/>
  <c r="AZ140" i="13"/>
  <c r="AZ141" i="13"/>
  <c r="AZ142" i="13"/>
  <c r="AZ143" i="13"/>
  <c r="AZ144" i="13"/>
  <c r="AZ145" i="13"/>
  <c r="AZ146" i="13"/>
  <c r="AZ147" i="13"/>
  <c r="AZ148" i="13"/>
  <c r="AZ149" i="13"/>
  <c r="AZ150" i="13"/>
  <c r="AZ151" i="13"/>
  <c r="AZ152" i="13"/>
  <c r="AZ153" i="13"/>
  <c r="AZ138" i="13"/>
  <c r="AY153" i="13"/>
  <c r="AY152" i="13"/>
  <c r="AY151" i="13"/>
  <c r="AY150" i="13"/>
  <c r="BA150" i="13" s="1"/>
  <c r="AY149" i="13"/>
  <c r="AY148" i="13"/>
  <c r="AY147" i="13"/>
  <c r="AY146" i="13"/>
  <c r="BA146" i="13" s="1"/>
  <c r="AY145" i="13"/>
  <c r="AY144" i="13"/>
  <c r="AY143" i="13"/>
  <c r="AY142" i="13"/>
  <c r="BA142" i="13" s="1"/>
  <c r="AY141" i="13"/>
  <c r="AY140" i="13"/>
  <c r="AY139" i="13"/>
  <c r="AY138" i="13"/>
  <c r="BA138" i="13" s="1"/>
  <c r="BE136" i="13"/>
  <c r="BD136" i="13"/>
  <c r="AB139" i="13"/>
  <c r="AB140" i="13"/>
  <c r="AB141" i="13"/>
  <c r="AB142" i="13"/>
  <c r="AB143" i="13"/>
  <c r="AB144" i="13"/>
  <c r="AB145" i="13"/>
  <c r="AB146" i="13"/>
  <c r="AB147" i="13"/>
  <c r="AB148" i="13"/>
  <c r="AB149" i="13"/>
  <c r="AB150" i="13"/>
  <c r="AB151" i="13"/>
  <c r="AB152" i="13"/>
  <c r="AB153" i="13"/>
  <c r="AB138" i="13"/>
  <c r="AA153" i="13"/>
  <c r="AA152" i="13"/>
  <c r="AA151" i="13"/>
  <c r="AA150" i="13"/>
  <c r="AA149" i="13"/>
  <c r="AA148" i="13"/>
  <c r="AA147" i="13"/>
  <c r="AA146" i="13"/>
  <c r="AC146" i="13" s="1"/>
  <c r="AA145" i="13"/>
  <c r="AA144" i="13"/>
  <c r="AA143" i="13"/>
  <c r="AA142" i="13"/>
  <c r="AC142" i="13" s="1"/>
  <c r="AA141" i="13"/>
  <c r="AA140" i="13"/>
  <c r="AA139" i="13"/>
  <c r="AA138" i="13"/>
  <c r="AC138" i="13" s="1"/>
  <c r="AG136" i="13"/>
  <c r="AF136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38" i="13"/>
  <c r="C139" i="13"/>
  <c r="C140" i="13"/>
  <c r="C141" i="13"/>
  <c r="C142" i="13"/>
  <c r="C143" i="13"/>
  <c r="C144" i="13"/>
  <c r="C145" i="13"/>
  <c r="E145" i="13" s="1"/>
  <c r="C146" i="13"/>
  <c r="C147" i="13"/>
  <c r="C148" i="13"/>
  <c r="C149" i="13"/>
  <c r="C150" i="13"/>
  <c r="C151" i="13"/>
  <c r="C152" i="13"/>
  <c r="C153" i="13"/>
  <c r="E153" i="13" s="1"/>
  <c r="C138" i="13"/>
  <c r="E138" i="13" s="1"/>
  <c r="I136" i="13"/>
  <c r="H136" i="13"/>
  <c r="CQ128" i="16"/>
  <c r="CQ127" i="16"/>
  <c r="CQ126" i="16"/>
  <c r="CQ125" i="16"/>
  <c r="CQ124" i="16"/>
  <c r="CQ123" i="16"/>
  <c r="CQ122" i="16"/>
  <c r="CQ121" i="16"/>
  <c r="CQ120" i="16"/>
  <c r="CQ119" i="16"/>
  <c r="CQ118" i="16"/>
  <c r="CQ117" i="16"/>
  <c r="CQ116" i="16"/>
  <c r="CQ115" i="16"/>
  <c r="CQ114" i="16"/>
  <c r="CQ113" i="16"/>
  <c r="BT128" i="16"/>
  <c r="BT127" i="16"/>
  <c r="BT126" i="16"/>
  <c r="BT125" i="16"/>
  <c r="BT124" i="16"/>
  <c r="BT123" i="16"/>
  <c r="BT122" i="16"/>
  <c r="BT121" i="16"/>
  <c r="BT120" i="16"/>
  <c r="BT119" i="16"/>
  <c r="BT118" i="16"/>
  <c r="BT117" i="16"/>
  <c r="BT116" i="16"/>
  <c r="BT115" i="16"/>
  <c r="BT114" i="16"/>
  <c r="BT113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Z128" i="16"/>
  <c r="Z127" i="16"/>
  <c r="Z126" i="16"/>
  <c r="Z125" i="16"/>
  <c r="Z124" i="16"/>
  <c r="Z123" i="16"/>
  <c r="Z122" i="16"/>
  <c r="Z121" i="16"/>
  <c r="Z120" i="16"/>
  <c r="Z119" i="16"/>
  <c r="Z118" i="16"/>
  <c r="Z117" i="16"/>
  <c r="Z116" i="16"/>
  <c r="Z115" i="16"/>
  <c r="Z114" i="16"/>
  <c r="Z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13" i="16"/>
  <c r="CQ53" i="16"/>
  <c r="CQ52" i="16"/>
  <c r="CQ51" i="16"/>
  <c r="CQ50" i="16"/>
  <c r="CQ49" i="16"/>
  <c r="CQ48" i="16"/>
  <c r="CQ47" i="16"/>
  <c r="CQ46" i="16"/>
  <c r="CQ45" i="16"/>
  <c r="CQ44" i="16"/>
  <c r="CQ43" i="16"/>
  <c r="CQ42" i="16"/>
  <c r="CQ41" i="16"/>
  <c r="CQ40" i="16"/>
  <c r="CQ39" i="16"/>
  <c r="CQ38" i="16"/>
  <c r="BT53" i="16"/>
  <c r="BT52" i="16"/>
  <c r="BT51" i="16"/>
  <c r="BT50" i="16"/>
  <c r="BT49" i="16"/>
  <c r="BT48" i="16"/>
  <c r="BT47" i="16"/>
  <c r="BT46" i="16"/>
  <c r="BT45" i="16"/>
  <c r="BT44" i="16"/>
  <c r="BT43" i="16"/>
  <c r="BT42" i="16"/>
  <c r="BT41" i="16"/>
  <c r="BT40" i="16"/>
  <c r="BT39" i="16"/>
  <c r="BT38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Z53" i="16"/>
  <c r="Z52" i="16"/>
  <c r="Z51" i="16"/>
  <c r="Z50" i="16"/>
  <c r="Z49" i="16"/>
  <c r="Z48" i="16"/>
  <c r="Z47" i="16"/>
  <c r="Z46" i="16"/>
  <c r="Z45" i="16"/>
  <c r="Z44" i="16"/>
  <c r="Z43" i="16"/>
  <c r="Z42" i="16"/>
  <c r="Z41" i="16"/>
  <c r="Z40" i="16"/>
  <c r="Z39" i="16"/>
  <c r="Z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38" i="16"/>
  <c r="CQ27" i="16"/>
  <c r="CQ26" i="16"/>
  <c r="CQ25" i="16"/>
  <c r="CQ24" i="16"/>
  <c r="CQ23" i="16"/>
  <c r="CQ22" i="16"/>
  <c r="CQ21" i="16"/>
  <c r="CQ20" i="16"/>
  <c r="CQ19" i="16"/>
  <c r="CQ18" i="16"/>
  <c r="CQ17" i="16"/>
  <c r="CQ16" i="16"/>
  <c r="CQ15" i="16"/>
  <c r="CQ14" i="16"/>
  <c r="CQ13" i="16"/>
  <c r="CQ12" i="16"/>
  <c r="BT27" i="16"/>
  <c r="BT26" i="16"/>
  <c r="BT25" i="16"/>
  <c r="BT24" i="16"/>
  <c r="BT23" i="16"/>
  <c r="BT22" i="16"/>
  <c r="BT21" i="16"/>
  <c r="BT20" i="16"/>
  <c r="BT19" i="16"/>
  <c r="BT18" i="16"/>
  <c r="BT17" i="16"/>
  <c r="BT16" i="16"/>
  <c r="BT15" i="16"/>
  <c r="BT14" i="16"/>
  <c r="BT13" i="16"/>
  <c r="BT12" i="16"/>
  <c r="AW27" i="16"/>
  <c r="AW26" i="16"/>
  <c r="AW25" i="16"/>
  <c r="AW24" i="16"/>
  <c r="AW23" i="16"/>
  <c r="AW22" i="16"/>
  <c r="AW21" i="16"/>
  <c r="AW20" i="16"/>
  <c r="AW19" i="16"/>
  <c r="AW18" i="16"/>
  <c r="AW17" i="16"/>
  <c r="AW16" i="16"/>
  <c r="AW15" i="16"/>
  <c r="AW14" i="16"/>
  <c r="AW13" i="16"/>
  <c r="AW12" i="16"/>
  <c r="Z27" i="16"/>
  <c r="Z26" i="16"/>
  <c r="Z25" i="16"/>
  <c r="Z24" i="16"/>
  <c r="Z23" i="16"/>
  <c r="Z22" i="16"/>
  <c r="Z21" i="16"/>
  <c r="Z20" i="16"/>
  <c r="Z19" i="16"/>
  <c r="Z18" i="16"/>
  <c r="Z17" i="16"/>
  <c r="Z16" i="16"/>
  <c r="Z15" i="16"/>
  <c r="Z14" i="16"/>
  <c r="Z13" i="16"/>
  <c r="Z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12" i="16"/>
  <c r="CU128" i="15"/>
  <c r="CU127" i="15"/>
  <c r="CU126" i="15"/>
  <c r="CU125" i="15"/>
  <c r="CU124" i="15"/>
  <c r="CU123" i="15"/>
  <c r="CU122" i="15"/>
  <c r="CU121" i="15"/>
  <c r="CU120" i="15"/>
  <c r="CU119" i="15"/>
  <c r="CU118" i="15"/>
  <c r="CU117" i="15"/>
  <c r="CU116" i="15"/>
  <c r="CU115" i="15"/>
  <c r="CU114" i="15"/>
  <c r="CU113" i="15"/>
  <c r="BW128" i="15"/>
  <c r="BW127" i="15"/>
  <c r="BW126" i="15"/>
  <c r="BW125" i="15"/>
  <c r="BW124" i="15"/>
  <c r="BW123" i="15"/>
  <c r="BW122" i="15"/>
  <c r="BW121" i="15"/>
  <c r="BW120" i="15"/>
  <c r="BW119" i="15"/>
  <c r="BW118" i="15"/>
  <c r="BW117" i="15"/>
  <c r="BW116" i="15"/>
  <c r="BW115" i="15"/>
  <c r="BW114" i="15"/>
  <c r="BW113" i="15"/>
  <c r="AY128" i="15"/>
  <c r="AY127" i="15"/>
  <c r="AY126" i="15"/>
  <c r="AY125" i="15"/>
  <c r="AY124" i="15"/>
  <c r="AY123" i="15"/>
  <c r="AY122" i="15"/>
  <c r="AY121" i="15"/>
  <c r="AY120" i="15"/>
  <c r="AY119" i="15"/>
  <c r="AY118" i="15"/>
  <c r="AY117" i="15"/>
  <c r="AY116" i="15"/>
  <c r="AY115" i="15"/>
  <c r="AY114" i="15"/>
  <c r="AY113" i="15"/>
  <c r="AA128" i="15"/>
  <c r="AA127" i="15"/>
  <c r="AA126" i="15"/>
  <c r="AA125" i="15"/>
  <c r="AA124" i="15"/>
  <c r="AA123" i="15"/>
  <c r="AA122" i="15"/>
  <c r="AA121" i="15"/>
  <c r="AA120" i="15"/>
  <c r="AA119" i="15"/>
  <c r="AA118" i="15"/>
  <c r="AA117" i="15"/>
  <c r="AA116" i="15"/>
  <c r="AA115" i="15"/>
  <c r="AA114" i="15"/>
  <c r="AA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13" i="15"/>
  <c r="CU53" i="15"/>
  <c r="CU52" i="15"/>
  <c r="CU51" i="15"/>
  <c r="CU50" i="15"/>
  <c r="CU49" i="15"/>
  <c r="CU48" i="15"/>
  <c r="CU47" i="15"/>
  <c r="CU46" i="15"/>
  <c r="CU45" i="15"/>
  <c r="CU44" i="15"/>
  <c r="CU43" i="15"/>
  <c r="CU42" i="15"/>
  <c r="CU41" i="15"/>
  <c r="CU40" i="15"/>
  <c r="CU39" i="15"/>
  <c r="CU38" i="15"/>
  <c r="BW53" i="15"/>
  <c r="BW52" i="15"/>
  <c r="BW51" i="15"/>
  <c r="BW50" i="15"/>
  <c r="BW49" i="15"/>
  <c r="BW48" i="15"/>
  <c r="BW47" i="15"/>
  <c r="BW46" i="15"/>
  <c r="BW45" i="15"/>
  <c r="BW44" i="15"/>
  <c r="BW43" i="15"/>
  <c r="BW42" i="15"/>
  <c r="BW41" i="15"/>
  <c r="BW40" i="15"/>
  <c r="BW39" i="15"/>
  <c r="BW38" i="15"/>
  <c r="AY53" i="15"/>
  <c r="AY52" i="15"/>
  <c r="AY51" i="15"/>
  <c r="AY50" i="15"/>
  <c r="AY49" i="15"/>
  <c r="AY48" i="15"/>
  <c r="AY47" i="15"/>
  <c r="AY46" i="15"/>
  <c r="AY45" i="15"/>
  <c r="AY44" i="15"/>
  <c r="AY43" i="15"/>
  <c r="AY42" i="15"/>
  <c r="AY41" i="15"/>
  <c r="AY40" i="15"/>
  <c r="AY39" i="15"/>
  <c r="AY38" i="15"/>
  <c r="AA53" i="15"/>
  <c r="AA52" i="15"/>
  <c r="AA51" i="15"/>
  <c r="AA50" i="15"/>
  <c r="AA49" i="15"/>
  <c r="AA48" i="15"/>
  <c r="AA47" i="15"/>
  <c r="AA46" i="15"/>
  <c r="AA45" i="15"/>
  <c r="AA44" i="15"/>
  <c r="AA43" i="15"/>
  <c r="AA42" i="15"/>
  <c r="AA41" i="15"/>
  <c r="AA40" i="15"/>
  <c r="AA39" i="15"/>
  <c r="AA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38" i="15"/>
  <c r="CU27" i="15"/>
  <c r="CU26" i="15"/>
  <c r="CU25" i="15"/>
  <c r="CU24" i="15"/>
  <c r="CU23" i="15"/>
  <c r="CU22" i="15"/>
  <c r="CU21" i="15"/>
  <c r="CU20" i="15"/>
  <c r="CU19" i="15"/>
  <c r="CU18" i="15"/>
  <c r="CU17" i="15"/>
  <c r="CU16" i="15"/>
  <c r="CU15" i="15"/>
  <c r="CU14" i="15"/>
  <c r="CU13" i="15"/>
  <c r="CU12" i="15"/>
  <c r="BW27" i="15"/>
  <c r="BW26" i="15"/>
  <c r="BW25" i="15"/>
  <c r="BW24" i="15"/>
  <c r="BW23" i="15"/>
  <c r="BW22" i="15"/>
  <c r="BW21" i="15"/>
  <c r="BW20" i="15"/>
  <c r="BW19" i="15"/>
  <c r="BW18" i="15"/>
  <c r="BW17" i="15"/>
  <c r="BW16" i="15"/>
  <c r="BW15" i="15"/>
  <c r="BW14" i="15"/>
  <c r="BW13" i="15"/>
  <c r="BW12" i="15"/>
  <c r="AY27" i="15"/>
  <c r="AY26" i="15"/>
  <c r="AY25" i="15"/>
  <c r="AY24" i="15"/>
  <c r="AY23" i="15"/>
  <c r="AY22" i="15"/>
  <c r="AY21" i="15"/>
  <c r="AY20" i="15"/>
  <c r="AY19" i="15"/>
  <c r="AY18" i="15"/>
  <c r="AY17" i="15"/>
  <c r="AY16" i="15"/>
  <c r="AY15" i="15"/>
  <c r="AY14" i="15"/>
  <c r="AY13" i="15"/>
  <c r="AY12" i="15"/>
  <c r="AA27" i="15"/>
  <c r="AA26" i="15"/>
  <c r="AA25" i="15"/>
  <c r="AA24" i="15"/>
  <c r="AA23" i="15"/>
  <c r="AA22" i="15"/>
  <c r="AA21" i="15"/>
  <c r="AA20" i="15"/>
  <c r="AA19" i="15"/>
  <c r="AA18" i="15"/>
  <c r="AA17" i="15"/>
  <c r="AA16" i="15"/>
  <c r="AA15" i="15"/>
  <c r="AA14" i="15"/>
  <c r="AA13" i="15"/>
  <c r="AA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12" i="15"/>
  <c r="CU114" i="14"/>
  <c r="CU115" i="14"/>
  <c r="CU116" i="14"/>
  <c r="CU117" i="14"/>
  <c r="CU118" i="14"/>
  <c r="CU119" i="14"/>
  <c r="CU120" i="14"/>
  <c r="CU121" i="14"/>
  <c r="CU122" i="14"/>
  <c r="CU123" i="14"/>
  <c r="CU124" i="14"/>
  <c r="CU125" i="14"/>
  <c r="CU126" i="14"/>
  <c r="CU127" i="14"/>
  <c r="CU128" i="14"/>
  <c r="CU113" i="14"/>
  <c r="BW114" i="14"/>
  <c r="BW115" i="14"/>
  <c r="BW116" i="14"/>
  <c r="BW117" i="14"/>
  <c r="BW118" i="14"/>
  <c r="BW119" i="14"/>
  <c r="BW120" i="14"/>
  <c r="BW121" i="14"/>
  <c r="BW122" i="14"/>
  <c r="BW123" i="14"/>
  <c r="BW124" i="14"/>
  <c r="BW125" i="14"/>
  <c r="BW126" i="14"/>
  <c r="BW127" i="14"/>
  <c r="BW128" i="14"/>
  <c r="BW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13" i="14"/>
  <c r="AA114" i="14"/>
  <c r="AA115" i="14"/>
  <c r="AA116" i="14"/>
  <c r="AA117" i="14"/>
  <c r="AA118" i="14"/>
  <c r="AA119" i="14"/>
  <c r="AA120" i="14"/>
  <c r="AA121" i="14"/>
  <c r="AA122" i="14"/>
  <c r="AA123" i="14"/>
  <c r="AA124" i="14"/>
  <c r="AA125" i="14"/>
  <c r="AA126" i="14"/>
  <c r="AA127" i="14"/>
  <c r="AA128" i="14"/>
  <c r="AA113" i="14"/>
  <c r="C114" i="14"/>
  <c r="C115" i="14"/>
  <c r="C116" i="14"/>
  <c r="C117" i="14"/>
  <c r="C118" i="14"/>
  <c r="C119" i="14"/>
  <c r="C120" i="14"/>
  <c r="C121" i="14"/>
  <c r="C122" i="14"/>
  <c r="C123" i="14"/>
  <c r="C124" i="14"/>
  <c r="C125" i="14"/>
  <c r="C126" i="14"/>
  <c r="C127" i="14"/>
  <c r="C128" i="14"/>
  <c r="C113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38" i="14"/>
  <c r="AA39" i="14"/>
  <c r="AA40" i="14"/>
  <c r="AA41" i="14"/>
  <c r="AA42" i="14"/>
  <c r="AA43" i="14"/>
  <c r="AA44" i="14"/>
  <c r="AA45" i="14"/>
  <c r="AA46" i="14"/>
  <c r="AA47" i="14"/>
  <c r="AA48" i="14"/>
  <c r="AA49" i="14"/>
  <c r="AA50" i="14"/>
  <c r="AA51" i="14"/>
  <c r="AA52" i="14"/>
  <c r="AA53" i="14"/>
  <c r="AA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38" i="14"/>
  <c r="C13" i="14"/>
  <c r="AA13" i="14" s="1"/>
  <c r="C14" i="14"/>
  <c r="AY14" i="14" s="1"/>
  <c r="C15" i="14"/>
  <c r="BW15" i="14" s="1"/>
  <c r="C16" i="14"/>
  <c r="CU16" i="14" s="1"/>
  <c r="C17" i="14"/>
  <c r="C18" i="14"/>
  <c r="C19" i="14"/>
  <c r="C20" i="14"/>
  <c r="C21" i="14"/>
  <c r="C22" i="14"/>
  <c r="C23" i="14"/>
  <c r="C24" i="14"/>
  <c r="C25" i="14"/>
  <c r="C26" i="14"/>
  <c r="C27" i="14"/>
  <c r="C12" i="14"/>
  <c r="AY12" i="14" s="1"/>
  <c r="CV89" i="13"/>
  <c r="CV90" i="13"/>
  <c r="CV91" i="13"/>
  <c r="CV92" i="13"/>
  <c r="CV93" i="13"/>
  <c r="CV94" i="13"/>
  <c r="CV95" i="13"/>
  <c r="CV96" i="13"/>
  <c r="CV97" i="13"/>
  <c r="CV98" i="13"/>
  <c r="CV99" i="13"/>
  <c r="CV100" i="13"/>
  <c r="CV101" i="13"/>
  <c r="CV102" i="13"/>
  <c r="CV103" i="13"/>
  <c r="CV88" i="13"/>
  <c r="BX89" i="13"/>
  <c r="BX90" i="13"/>
  <c r="BX91" i="13"/>
  <c r="BX92" i="13"/>
  <c r="BX93" i="13"/>
  <c r="BX94" i="13"/>
  <c r="BX95" i="13"/>
  <c r="BX96" i="13"/>
  <c r="BX97" i="13"/>
  <c r="BX98" i="13"/>
  <c r="BX99" i="13"/>
  <c r="BX100" i="13"/>
  <c r="BX101" i="13"/>
  <c r="BX102" i="13"/>
  <c r="BX103" i="13"/>
  <c r="BX88" i="13"/>
  <c r="AZ89" i="13"/>
  <c r="AZ90" i="13"/>
  <c r="AZ91" i="13"/>
  <c r="AZ92" i="13"/>
  <c r="AZ93" i="13"/>
  <c r="AZ94" i="13"/>
  <c r="AZ95" i="13"/>
  <c r="AZ96" i="13"/>
  <c r="AZ97" i="13"/>
  <c r="AZ98" i="13"/>
  <c r="AZ99" i="13"/>
  <c r="AZ100" i="13"/>
  <c r="AZ101" i="13"/>
  <c r="AZ102" i="13"/>
  <c r="AZ103" i="13"/>
  <c r="AZ88" i="13"/>
  <c r="AB89" i="13"/>
  <c r="AB90" i="13"/>
  <c r="AB91" i="13"/>
  <c r="AB92" i="13"/>
  <c r="AB93" i="13"/>
  <c r="AB94" i="13"/>
  <c r="AB95" i="13"/>
  <c r="AB96" i="13"/>
  <c r="AB97" i="13"/>
  <c r="AB88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CV39" i="13"/>
  <c r="CV40" i="13"/>
  <c r="CV41" i="13"/>
  <c r="CV42" i="13"/>
  <c r="CV43" i="13"/>
  <c r="CV44" i="13"/>
  <c r="CV45" i="13"/>
  <c r="CV46" i="13"/>
  <c r="CV47" i="13"/>
  <c r="CV48" i="13"/>
  <c r="CV49" i="13"/>
  <c r="CV50" i="13"/>
  <c r="CV51" i="13"/>
  <c r="CV52" i="13"/>
  <c r="CV53" i="13"/>
  <c r="CV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38" i="13"/>
  <c r="AZ39" i="13"/>
  <c r="AZ40" i="13"/>
  <c r="AZ41" i="13"/>
  <c r="AZ42" i="13"/>
  <c r="AZ43" i="13"/>
  <c r="AZ44" i="13"/>
  <c r="AZ45" i="13"/>
  <c r="AZ46" i="13"/>
  <c r="AZ47" i="13"/>
  <c r="AZ48" i="13"/>
  <c r="AZ49" i="13"/>
  <c r="AZ50" i="13"/>
  <c r="AZ51" i="13"/>
  <c r="AZ52" i="13"/>
  <c r="AZ53" i="13"/>
  <c r="AZ38" i="13"/>
  <c r="AB39" i="13"/>
  <c r="AB40" i="13"/>
  <c r="AB41" i="13"/>
  <c r="AB42" i="13"/>
  <c r="AB43" i="13"/>
  <c r="AB44" i="13"/>
  <c r="AB45" i="13"/>
  <c r="AB46" i="13"/>
  <c r="AB47" i="13"/>
  <c r="AB48" i="13"/>
  <c r="AB49" i="13"/>
  <c r="AB50" i="13"/>
  <c r="AB51" i="13"/>
  <c r="AB52" i="13"/>
  <c r="AB53" i="13"/>
  <c r="AB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38" i="13"/>
  <c r="CV13" i="13"/>
  <c r="CV14" i="13"/>
  <c r="CV15" i="13"/>
  <c r="CV16" i="13"/>
  <c r="CV17" i="13"/>
  <c r="CV18" i="13"/>
  <c r="CV19" i="13"/>
  <c r="CV20" i="13"/>
  <c r="CV21" i="13"/>
  <c r="CV22" i="13"/>
  <c r="CV23" i="13"/>
  <c r="CV24" i="13"/>
  <c r="CV25" i="13"/>
  <c r="CV26" i="13"/>
  <c r="CV27" i="13"/>
  <c r="CV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12" i="13"/>
  <c r="AZ13" i="13"/>
  <c r="AZ14" i="13"/>
  <c r="AZ15" i="13"/>
  <c r="AZ16" i="13"/>
  <c r="AZ17" i="13"/>
  <c r="AZ18" i="13"/>
  <c r="AZ19" i="13"/>
  <c r="AZ20" i="13"/>
  <c r="AZ21" i="13"/>
  <c r="AZ22" i="13"/>
  <c r="AZ23" i="13"/>
  <c r="AZ24" i="13"/>
  <c r="AZ25" i="13"/>
  <c r="AZ26" i="13"/>
  <c r="AZ27" i="13"/>
  <c r="AZ12" i="13"/>
  <c r="AB13" i="13"/>
  <c r="AB14" i="13"/>
  <c r="AB15" i="13"/>
  <c r="AB16" i="13"/>
  <c r="AB17" i="13"/>
  <c r="AB18" i="13"/>
  <c r="AB19" i="13"/>
  <c r="AB20" i="13"/>
  <c r="AB21" i="13"/>
  <c r="AB22" i="13"/>
  <c r="AB23" i="13"/>
  <c r="AB24" i="13"/>
  <c r="AB25" i="13"/>
  <c r="AB26" i="13"/>
  <c r="AB27" i="13"/>
  <c r="AB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12" i="13"/>
  <c r="C114" i="13"/>
  <c r="AA114" i="13" s="1"/>
  <c r="C115" i="13"/>
  <c r="AA115" i="13" s="1"/>
  <c r="C116" i="13"/>
  <c r="AA116" i="13" s="1"/>
  <c r="C117" i="13"/>
  <c r="AA117" i="13" s="1"/>
  <c r="C118" i="13"/>
  <c r="C119" i="13"/>
  <c r="BW119" i="13" s="1"/>
  <c r="C120" i="13"/>
  <c r="AA120" i="13" s="1"/>
  <c r="C121" i="13"/>
  <c r="BW121" i="13" s="1"/>
  <c r="C122" i="13"/>
  <c r="C123" i="13"/>
  <c r="AA123" i="13" s="1"/>
  <c r="C124" i="13"/>
  <c r="AA124" i="13" s="1"/>
  <c r="C125" i="13"/>
  <c r="CU125" i="13" s="1"/>
  <c r="C126" i="13"/>
  <c r="C127" i="13"/>
  <c r="CU127" i="13" s="1"/>
  <c r="C128" i="13"/>
  <c r="AA128" i="13" s="1"/>
  <c r="C113" i="13"/>
  <c r="AA113" i="13" s="1"/>
  <c r="C39" i="13"/>
  <c r="AA39" i="13" s="1"/>
  <c r="C40" i="13"/>
  <c r="AA40" i="13" s="1"/>
  <c r="C41" i="13"/>
  <c r="AA41" i="13" s="1"/>
  <c r="C42" i="13"/>
  <c r="AA42" i="13" s="1"/>
  <c r="C43" i="13"/>
  <c r="AA43" i="13" s="1"/>
  <c r="C44" i="13"/>
  <c r="AA44" i="13" s="1"/>
  <c r="C45" i="13"/>
  <c r="AA45" i="13" s="1"/>
  <c r="C46" i="13"/>
  <c r="AA46" i="13" s="1"/>
  <c r="C47" i="13"/>
  <c r="AA47" i="13" s="1"/>
  <c r="C48" i="13"/>
  <c r="CU48" i="13" s="1"/>
  <c r="C49" i="13"/>
  <c r="AA49" i="13" s="1"/>
  <c r="C50" i="13"/>
  <c r="CU50" i="13" s="1"/>
  <c r="C51" i="13"/>
  <c r="C52" i="13"/>
  <c r="CU52" i="13" s="1"/>
  <c r="C53" i="13"/>
  <c r="AA53" i="13" s="1"/>
  <c r="C38" i="13"/>
  <c r="AA38" i="13" s="1"/>
  <c r="C13" i="13"/>
  <c r="CU13" i="13" s="1"/>
  <c r="C14" i="13"/>
  <c r="BW14" i="13" s="1"/>
  <c r="C15" i="13"/>
  <c r="CU15" i="13" s="1"/>
  <c r="C16" i="13"/>
  <c r="CU16" i="13" s="1"/>
  <c r="C17" i="13"/>
  <c r="BW17" i="13" s="1"/>
  <c r="C18" i="13"/>
  <c r="CU18" i="13" s="1"/>
  <c r="C19" i="13"/>
  <c r="CU19" i="13" s="1"/>
  <c r="C20" i="13"/>
  <c r="CU20" i="13" s="1"/>
  <c r="C21" i="13"/>
  <c r="BW21" i="13" s="1"/>
  <c r="C22" i="13"/>
  <c r="BW22" i="13" s="1"/>
  <c r="C23" i="13"/>
  <c r="CU23" i="13" s="1"/>
  <c r="C24" i="13"/>
  <c r="CU24" i="13" s="1"/>
  <c r="C25" i="13"/>
  <c r="AY25" i="13" s="1"/>
  <c r="C26" i="13"/>
  <c r="AY26" i="13" s="1"/>
  <c r="C27" i="13"/>
  <c r="CU27" i="13" s="1"/>
  <c r="C12" i="13"/>
  <c r="CU12" i="13" s="1"/>
  <c r="G7" i="22"/>
  <c r="G8" i="22"/>
  <c r="G9" i="22"/>
  <c r="G10" i="22"/>
  <c r="G11" i="22"/>
  <c r="G12" i="22"/>
  <c r="G13" i="22"/>
  <c r="G14" i="22"/>
  <c r="G15" i="22"/>
  <c r="G16" i="22"/>
  <c r="G17" i="22"/>
  <c r="G18" i="22"/>
  <c r="G19" i="22"/>
  <c r="G20" i="22"/>
  <c r="G21" i="22"/>
  <c r="G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6" i="22"/>
  <c r="BY148" i="14" l="1"/>
  <c r="BA144" i="14"/>
  <c r="BA152" i="14"/>
  <c r="AA12" i="14"/>
  <c r="CU12" i="14"/>
  <c r="E139" i="15"/>
  <c r="BA142" i="15"/>
  <c r="BA144" i="15"/>
  <c r="AB140" i="16"/>
  <c r="AB142" i="16"/>
  <c r="AB144" i="16"/>
  <c r="AB146" i="16"/>
  <c r="AB148" i="16"/>
  <c r="AB150" i="16"/>
  <c r="AB152" i="16"/>
  <c r="AA15" i="14"/>
  <c r="CU15" i="14"/>
  <c r="BY147" i="14"/>
  <c r="BY151" i="14"/>
  <c r="CW141" i="14"/>
  <c r="CW153" i="14"/>
  <c r="CW142" i="15"/>
  <c r="CW144" i="15"/>
  <c r="E149" i="16"/>
  <c r="E153" i="16"/>
  <c r="BY153" i="13"/>
  <c r="CU14" i="14"/>
  <c r="AY128" i="13"/>
  <c r="AY15" i="14"/>
  <c r="BW124" i="13"/>
  <c r="AY49" i="13"/>
  <c r="BW46" i="13"/>
  <c r="AY38" i="13"/>
  <c r="AY53" i="13"/>
  <c r="BW49" i="13"/>
  <c r="CU46" i="13"/>
  <c r="AA125" i="13"/>
  <c r="AY117" i="13"/>
  <c r="BW113" i="13"/>
  <c r="BW128" i="13"/>
  <c r="CU124" i="13"/>
  <c r="AA14" i="14"/>
  <c r="BW14" i="14"/>
  <c r="CU42" i="13"/>
  <c r="AY113" i="13"/>
  <c r="CU121" i="13"/>
  <c r="AY42" i="13"/>
  <c r="BW38" i="13"/>
  <c r="BW53" i="13"/>
  <c r="CU49" i="13"/>
  <c r="AA121" i="13"/>
  <c r="AY121" i="13"/>
  <c r="BW117" i="13"/>
  <c r="CU113" i="13"/>
  <c r="CU128" i="13"/>
  <c r="AY46" i="13"/>
  <c r="BW42" i="13"/>
  <c r="CU38" i="13"/>
  <c r="CU53" i="13"/>
  <c r="AY124" i="13"/>
  <c r="CU117" i="13"/>
  <c r="E152" i="13"/>
  <c r="E148" i="13"/>
  <c r="E144" i="13"/>
  <c r="E140" i="13"/>
  <c r="CW143" i="14"/>
  <c r="BA143" i="14"/>
  <c r="BA146" i="15"/>
  <c r="AB138" i="16"/>
  <c r="BV138" i="16"/>
  <c r="CW140" i="14"/>
  <c r="BY139" i="13"/>
  <c r="BY143" i="13"/>
  <c r="BY147" i="13"/>
  <c r="BY151" i="13"/>
  <c r="CW141" i="13"/>
  <c r="CW145" i="13"/>
  <c r="CW147" i="14"/>
  <c r="BA148" i="15"/>
  <c r="CW138" i="15"/>
  <c r="CW146" i="15"/>
  <c r="CW148" i="15"/>
  <c r="BV140" i="16"/>
  <c r="BV142" i="16"/>
  <c r="BV144" i="16"/>
  <c r="BV148" i="16"/>
  <c r="BV152" i="16"/>
  <c r="CS153" i="16"/>
  <c r="BY140" i="14"/>
  <c r="AC139" i="15"/>
  <c r="BA150" i="15"/>
  <c r="BA152" i="15"/>
  <c r="CW150" i="15"/>
  <c r="CS141" i="16"/>
  <c r="AC153" i="14"/>
  <c r="AC145" i="14"/>
  <c r="E146" i="15"/>
  <c r="AC141" i="13"/>
  <c r="AC145" i="13"/>
  <c r="AC149" i="13"/>
  <c r="AC153" i="13"/>
  <c r="BA139" i="13"/>
  <c r="BA143" i="13"/>
  <c r="BA147" i="13"/>
  <c r="BA151" i="13"/>
  <c r="BY145" i="13"/>
  <c r="BY149" i="13"/>
  <c r="E144" i="14"/>
  <c r="E144" i="15"/>
  <c r="AC138" i="15"/>
  <c r="AC144" i="15"/>
  <c r="BY142" i="15"/>
  <c r="BY144" i="15"/>
  <c r="BY146" i="15"/>
  <c r="BY148" i="15"/>
  <c r="BY150" i="15"/>
  <c r="BY152" i="15"/>
  <c r="E144" i="16"/>
  <c r="E148" i="16"/>
  <c r="AY138" i="16"/>
  <c r="AY144" i="16"/>
  <c r="AY148" i="16"/>
  <c r="AY152" i="16"/>
  <c r="CS138" i="16"/>
  <c r="CS148" i="16"/>
  <c r="CS150" i="16"/>
  <c r="E150" i="15"/>
  <c r="E149" i="14"/>
  <c r="AC151" i="14"/>
  <c r="AC147" i="14"/>
  <c r="AC143" i="14"/>
  <c r="BA151" i="14"/>
  <c r="BA139" i="14"/>
  <c r="BY138" i="14"/>
  <c r="BY150" i="14"/>
  <c r="BY146" i="14"/>
  <c r="BY142" i="14"/>
  <c r="CW138" i="14"/>
  <c r="CW150" i="14"/>
  <c r="CW146" i="14"/>
  <c r="CW151" i="14"/>
  <c r="E143" i="15"/>
  <c r="CW139" i="14"/>
  <c r="CW148" i="14"/>
  <c r="E147" i="15"/>
  <c r="E151" i="15"/>
  <c r="BA141" i="13"/>
  <c r="BA145" i="13"/>
  <c r="BA149" i="13"/>
  <c r="BA153" i="13"/>
  <c r="BY141" i="13"/>
  <c r="E153" i="14"/>
  <c r="CW142" i="14"/>
  <c r="E140" i="15"/>
  <c r="E151" i="13"/>
  <c r="E143" i="13"/>
  <c r="BA147" i="14"/>
  <c r="E142" i="13"/>
  <c r="AC139" i="13"/>
  <c r="BY148" i="13"/>
  <c r="BY144" i="13"/>
  <c r="E152" i="14"/>
  <c r="E148" i="14"/>
  <c r="E140" i="14"/>
  <c r="BY153" i="14"/>
  <c r="BY145" i="14"/>
  <c r="BY141" i="14"/>
  <c r="CW149" i="14"/>
  <c r="CW145" i="14"/>
  <c r="E153" i="15"/>
  <c r="E149" i="15"/>
  <c r="E145" i="15"/>
  <c r="E141" i="15"/>
  <c r="AC145" i="15"/>
  <c r="AC149" i="15"/>
  <c r="AC153" i="15"/>
  <c r="BY145" i="15"/>
  <c r="BY149" i="15"/>
  <c r="BY153" i="15"/>
  <c r="CW139" i="15"/>
  <c r="CW143" i="15"/>
  <c r="CW147" i="15"/>
  <c r="CW151" i="15"/>
  <c r="AB141" i="16"/>
  <c r="AB145" i="16"/>
  <c r="AB149" i="16"/>
  <c r="AB153" i="16"/>
  <c r="AY139" i="16"/>
  <c r="AY143" i="16"/>
  <c r="AY147" i="16"/>
  <c r="AY151" i="16"/>
  <c r="BV145" i="16"/>
  <c r="BV149" i="16"/>
  <c r="BV153" i="16"/>
  <c r="CS139" i="16"/>
  <c r="CS145" i="16"/>
  <c r="E151" i="14"/>
  <c r="E147" i="14"/>
  <c r="E139" i="14"/>
  <c r="E138" i="15"/>
  <c r="E152" i="15"/>
  <c r="CW149" i="13"/>
  <c r="CW153" i="13"/>
  <c r="E138" i="14"/>
  <c r="AC152" i="14"/>
  <c r="AC148" i="14"/>
  <c r="AC144" i="14"/>
  <c r="BA150" i="14"/>
  <c r="BA142" i="14"/>
  <c r="BY139" i="14"/>
  <c r="AC142" i="15"/>
  <c r="AC147" i="15"/>
  <c r="AC151" i="15"/>
  <c r="CW141" i="15"/>
  <c r="E152" i="16"/>
  <c r="AY141" i="16"/>
  <c r="BV139" i="16"/>
  <c r="CS143" i="16"/>
  <c r="E151" i="16"/>
  <c r="AY146" i="16"/>
  <c r="AY150" i="16"/>
  <c r="E143" i="16"/>
  <c r="E146" i="16"/>
  <c r="BV141" i="16"/>
  <c r="BV146" i="16"/>
  <c r="BV150" i="16"/>
  <c r="CS144" i="16"/>
  <c r="CS146" i="16"/>
  <c r="CS151" i="16"/>
  <c r="E145" i="16"/>
  <c r="E147" i="16"/>
  <c r="E150" i="16"/>
  <c r="AB139" i="16"/>
  <c r="AB143" i="16"/>
  <c r="AB147" i="16"/>
  <c r="AB151" i="16"/>
  <c r="AY140" i="16"/>
  <c r="AY142" i="16"/>
  <c r="AY145" i="16"/>
  <c r="AY149" i="16"/>
  <c r="AY153" i="16"/>
  <c r="BV143" i="16"/>
  <c r="BV147" i="16"/>
  <c r="BV151" i="16"/>
  <c r="CS140" i="16"/>
  <c r="CS142" i="16"/>
  <c r="CS147" i="16"/>
  <c r="CS149" i="16"/>
  <c r="CS152" i="16"/>
  <c r="AC148" i="15"/>
  <c r="AC152" i="15"/>
  <c r="BA138" i="15"/>
  <c r="BA139" i="15"/>
  <c r="BA141" i="15"/>
  <c r="BA145" i="15"/>
  <c r="BA149" i="15"/>
  <c r="BA153" i="15"/>
  <c r="BY143" i="15"/>
  <c r="BY151" i="15"/>
  <c r="AC140" i="15"/>
  <c r="CW152" i="15"/>
  <c r="AC141" i="15"/>
  <c r="AC143" i="15"/>
  <c r="AC146" i="15"/>
  <c r="AC150" i="15"/>
  <c r="BA140" i="15"/>
  <c r="BA143" i="15"/>
  <c r="BA147" i="15"/>
  <c r="BA151" i="15"/>
  <c r="BY147" i="15"/>
  <c r="CW140" i="15"/>
  <c r="CW145" i="15"/>
  <c r="CW149" i="15"/>
  <c r="CW153" i="15"/>
  <c r="BW12" i="14"/>
  <c r="CU13" i="14"/>
  <c r="BW13" i="14"/>
  <c r="AY13" i="14"/>
  <c r="BA138" i="14"/>
  <c r="BA146" i="14"/>
  <c r="BY149" i="14"/>
  <c r="E145" i="14"/>
  <c r="E141" i="14"/>
  <c r="AC150" i="14"/>
  <c r="AC142" i="14"/>
  <c r="BA153" i="14"/>
  <c r="BA149" i="14"/>
  <c r="BA145" i="14"/>
  <c r="BA141" i="14"/>
  <c r="CW144" i="14"/>
  <c r="AC149" i="14"/>
  <c r="BY143" i="14"/>
  <c r="AA22" i="13"/>
  <c r="AA18" i="13"/>
  <c r="AY22" i="13"/>
  <c r="BW26" i="13"/>
  <c r="CU26" i="13"/>
  <c r="CU14" i="13"/>
  <c r="AA48" i="13"/>
  <c r="AY48" i="13"/>
  <c r="AA119" i="13"/>
  <c r="AY123" i="13"/>
  <c r="BW123" i="13"/>
  <c r="CU123" i="13"/>
  <c r="CU51" i="13"/>
  <c r="BW51" i="13"/>
  <c r="AY51" i="13"/>
  <c r="CU39" i="13"/>
  <c r="BW39" i="13"/>
  <c r="AY39" i="13"/>
  <c r="CU118" i="13"/>
  <c r="BW118" i="13"/>
  <c r="AY118" i="13"/>
  <c r="AA21" i="13"/>
  <c r="AY21" i="13"/>
  <c r="BW25" i="13"/>
  <c r="BW13" i="13"/>
  <c r="CU21" i="13"/>
  <c r="AA51" i="13"/>
  <c r="AY44" i="13"/>
  <c r="BW44" i="13"/>
  <c r="CU44" i="13"/>
  <c r="AA118" i="13"/>
  <c r="AY119" i="13"/>
  <c r="CU119" i="13"/>
  <c r="CW140" i="13"/>
  <c r="AA26" i="13"/>
  <c r="AY14" i="13"/>
  <c r="BW18" i="13"/>
  <c r="CU22" i="13"/>
  <c r="CU43" i="13"/>
  <c r="BW43" i="13"/>
  <c r="AY43" i="13"/>
  <c r="CU122" i="13"/>
  <c r="BW122" i="13"/>
  <c r="AY122" i="13"/>
  <c r="AA25" i="13"/>
  <c r="AA13" i="13"/>
  <c r="AY17" i="13"/>
  <c r="CU25" i="13"/>
  <c r="CU17" i="13"/>
  <c r="AA12" i="13"/>
  <c r="AA24" i="13"/>
  <c r="AA20" i="13"/>
  <c r="AA16" i="13"/>
  <c r="AY12" i="13"/>
  <c r="AY24" i="13"/>
  <c r="AY20" i="13"/>
  <c r="AY16" i="13"/>
  <c r="BW12" i="13"/>
  <c r="BW24" i="13"/>
  <c r="BW20" i="13"/>
  <c r="BW16" i="13"/>
  <c r="AA50" i="13"/>
  <c r="AY40" i="13"/>
  <c r="AY45" i="13"/>
  <c r="AY50" i="13"/>
  <c r="BW40" i="13"/>
  <c r="BW45" i="13"/>
  <c r="BW50" i="13"/>
  <c r="CU40" i="13"/>
  <c r="CU45" i="13"/>
  <c r="AA127" i="13"/>
  <c r="AA122" i="13"/>
  <c r="AY115" i="13"/>
  <c r="AY120" i="13"/>
  <c r="AY125" i="13"/>
  <c r="BW115" i="13"/>
  <c r="BW120" i="13"/>
  <c r="BW125" i="13"/>
  <c r="CU115" i="13"/>
  <c r="CU120" i="13"/>
  <c r="E147" i="13"/>
  <c r="E139" i="13"/>
  <c r="BY152" i="13"/>
  <c r="AA14" i="13"/>
  <c r="AY18" i="13"/>
  <c r="AA52" i="13"/>
  <c r="BW48" i="13"/>
  <c r="CU47" i="13"/>
  <c r="BW47" i="13"/>
  <c r="AY47" i="13"/>
  <c r="CU126" i="13"/>
  <c r="BW126" i="13"/>
  <c r="AY126" i="13"/>
  <c r="CU114" i="13"/>
  <c r="BW114" i="13"/>
  <c r="AY114" i="13"/>
  <c r="AA17" i="13"/>
  <c r="AY13" i="13"/>
  <c r="AA27" i="13"/>
  <c r="AA23" i="13"/>
  <c r="AA19" i="13"/>
  <c r="AA15" i="13"/>
  <c r="AY27" i="13"/>
  <c r="AY23" i="13"/>
  <c r="AY19" i="13"/>
  <c r="AY15" i="13"/>
  <c r="BW27" i="13"/>
  <c r="BW23" i="13"/>
  <c r="BW19" i="13"/>
  <c r="BW15" i="13"/>
  <c r="AY41" i="13"/>
  <c r="AY52" i="13"/>
  <c r="BW41" i="13"/>
  <c r="BW52" i="13"/>
  <c r="CU41" i="13"/>
  <c r="AA126" i="13"/>
  <c r="AY116" i="13"/>
  <c r="AY127" i="13"/>
  <c r="BW116" i="13"/>
  <c r="BW127" i="13"/>
  <c r="CU116" i="13"/>
  <c r="E149" i="13"/>
  <c r="E141" i="13"/>
  <c r="AC140" i="13"/>
  <c r="AC143" i="13"/>
  <c r="AC144" i="13"/>
  <c r="AC147" i="13"/>
  <c r="AC148" i="13"/>
  <c r="AC151" i="13"/>
  <c r="AC152" i="13"/>
  <c r="CW139" i="13"/>
  <c r="CW143" i="13"/>
  <c r="CW144" i="13"/>
  <c r="CW147" i="13"/>
  <c r="CW148" i="13"/>
  <c r="CW151" i="13"/>
  <c r="CW152" i="13"/>
  <c r="BY150" i="13"/>
  <c r="BY146" i="13"/>
  <c r="BY142" i="13"/>
  <c r="E138" i="16"/>
  <c r="E139" i="16"/>
  <c r="E140" i="16"/>
  <c r="E141" i="16"/>
  <c r="E142" i="16"/>
  <c r="BY138" i="15"/>
  <c r="BY139" i="15"/>
  <c r="BY140" i="15"/>
  <c r="BY141" i="15"/>
  <c r="AC138" i="14"/>
  <c r="AC139" i="14"/>
  <c r="AC140" i="14"/>
  <c r="AC141" i="14"/>
  <c r="E150" i="14"/>
  <c r="CW142" i="13"/>
  <c r="BA140" i="13"/>
  <c r="BA144" i="13"/>
  <c r="BA148" i="13"/>
  <c r="BA152" i="13"/>
  <c r="AC150" i="13"/>
  <c r="E150" i="13"/>
  <c r="E146" i="13"/>
  <c r="AA16" i="14"/>
  <c r="AY16" i="14"/>
  <c r="BW16" i="14"/>
  <c r="P46" i="2" l="1"/>
  <c r="I46" i="2"/>
  <c r="J46" i="2" l="1"/>
  <c r="K46" i="2" s="1"/>
  <c r="I35" i="1" l="1"/>
  <c r="E35" i="1"/>
  <c r="I32" i="1"/>
  <c r="E32" i="1"/>
  <c r="F29" i="1"/>
  <c r="G29" i="1"/>
  <c r="H29" i="1"/>
  <c r="I29" i="1"/>
  <c r="E29" i="1"/>
  <c r="H35" i="1" l="1"/>
  <c r="G35" i="1"/>
  <c r="F35" i="1"/>
  <c r="H32" i="1"/>
  <c r="G32" i="1"/>
  <c r="F32" i="1"/>
  <c r="L37" i="2"/>
  <c r="L34" i="2"/>
  <c r="L31" i="2"/>
  <c r="E37" i="2"/>
  <c r="E34" i="2"/>
  <c r="E31" i="2"/>
  <c r="I38" i="2"/>
  <c r="I35" i="2"/>
  <c r="I32" i="2"/>
  <c r="P38" i="2"/>
  <c r="P35" i="2"/>
  <c r="P32" i="2"/>
  <c r="S31" i="2"/>
  <c r="W32" i="2"/>
  <c r="S34" i="2"/>
  <c r="W35" i="2"/>
  <c r="S37" i="2"/>
  <c r="W38" i="2"/>
  <c r="Z31" i="2"/>
  <c r="AD32" i="2"/>
  <c r="Z34" i="2"/>
  <c r="AD35" i="2"/>
  <c r="Z37" i="2"/>
  <c r="AD38" i="2"/>
  <c r="Z55" i="2"/>
  <c r="S55" i="2"/>
  <c r="Z52" i="2"/>
  <c r="S52" i="2"/>
  <c r="E49" i="2"/>
  <c r="L55" i="2"/>
  <c r="L52" i="2"/>
  <c r="L49" i="2"/>
  <c r="E55" i="2"/>
  <c r="E52" i="2"/>
  <c r="AD56" i="2"/>
  <c r="AD53" i="2"/>
  <c r="W56" i="2"/>
  <c r="W53" i="2"/>
  <c r="P56" i="2"/>
  <c r="P53" i="2"/>
  <c r="I56" i="2"/>
  <c r="I53" i="2"/>
  <c r="Z49" i="2"/>
  <c r="S49" i="2"/>
  <c r="AD47" i="2"/>
  <c r="W47" i="2"/>
  <c r="P47" i="2"/>
  <c r="I47" i="2"/>
  <c r="M19" i="10" l="1"/>
  <c r="M25" i="10"/>
  <c r="C104" i="3" l="1"/>
  <c r="N22" i="20" l="1"/>
  <c r="W54" i="7" l="1"/>
  <c r="W58" i="7"/>
  <c r="V58" i="7"/>
  <c r="R58" i="7"/>
  <c r="Q58" i="7"/>
  <c r="H133" i="7" s="1"/>
  <c r="M58" i="7"/>
  <c r="H58" i="7"/>
  <c r="H122" i="7"/>
  <c r="M122" i="7"/>
  <c r="R122" i="7"/>
  <c r="W122" i="7"/>
  <c r="M54" i="7"/>
  <c r="H54" i="7"/>
  <c r="I143" i="7"/>
  <c r="H143" i="7"/>
  <c r="G143" i="7"/>
  <c r="F143" i="7"/>
  <c r="Q122" i="7"/>
  <c r="M115" i="7"/>
  <c r="H115" i="7"/>
  <c r="C114" i="7"/>
  <c r="C113" i="7"/>
  <c r="D112" i="7"/>
  <c r="C112" i="7"/>
  <c r="C111" i="7"/>
  <c r="D109" i="7"/>
  <c r="D108" i="7"/>
  <c r="C108" i="7"/>
  <c r="C110" i="7" s="1"/>
  <c r="W105" i="7"/>
  <c r="R105" i="7"/>
  <c r="C104" i="7"/>
  <c r="Q104" i="7" s="1"/>
  <c r="Q105" i="7" s="1"/>
  <c r="I133" i="7"/>
  <c r="G133" i="7"/>
  <c r="F133" i="7"/>
  <c r="W72" i="7"/>
  <c r="R72" i="7"/>
  <c r="I132" i="7"/>
  <c r="G132" i="7"/>
  <c r="F132" i="7"/>
  <c r="I142" i="7"/>
  <c r="H140" i="7" l="1"/>
  <c r="F92" i="5"/>
  <c r="G108" i="7"/>
  <c r="G115" i="7" s="1"/>
  <c r="F142" i="7" s="1"/>
  <c r="L108" i="7"/>
  <c r="L115" i="7" s="1"/>
  <c r="G142" i="7" s="1"/>
  <c r="V104" i="7"/>
  <c r="V105" i="7" s="1"/>
  <c r="I140" i="7" l="1"/>
  <c r="G92" i="5"/>
  <c r="W85" i="7"/>
  <c r="R85" i="7"/>
  <c r="M85" i="7"/>
  <c r="H85" i="7"/>
  <c r="C84" i="7"/>
  <c r="C83" i="7"/>
  <c r="C82" i="7"/>
  <c r="D81" i="7"/>
  <c r="C81" i="7"/>
  <c r="C80" i="7"/>
  <c r="D79" i="7"/>
  <c r="C79" i="7"/>
  <c r="D78" i="7"/>
  <c r="C78" i="7"/>
  <c r="C77" i="7"/>
  <c r="D75" i="7"/>
  <c r="C75" i="7"/>
  <c r="C76" i="7" s="1"/>
  <c r="G76" i="7" s="1"/>
  <c r="P125" i="3"/>
  <c r="F125" i="3"/>
  <c r="L76" i="7" l="1"/>
  <c r="Q76" i="7"/>
  <c r="Q85" i="7" s="1"/>
  <c r="S24" i="2" s="1"/>
  <c r="V76" i="7"/>
  <c r="V85" i="7" s="1"/>
  <c r="Z24" i="2" s="1"/>
  <c r="G85" i="7"/>
  <c r="E24" i="2" s="1"/>
  <c r="L85" i="7"/>
  <c r="L24" i="2" s="1"/>
  <c r="P50" i="2"/>
  <c r="I50" i="2"/>
  <c r="F129" i="7" l="1"/>
  <c r="D82" i="5"/>
  <c r="I129" i="7"/>
  <c r="G82" i="5"/>
  <c r="H129" i="7"/>
  <c r="F82" i="5"/>
  <c r="G129" i="7"/>
  <c r="E82" i="5"/>
  <c r="AD61" i="2"/>
  <c r="Z26" i="2"/>
  <c r="L60" i="2"/>
  <c r="P60" i="2"/>
  <c r="P45" i="2"/>
  <c r="I45" i="2"/>
  <c r="E26" i="2"/>
  <c r="E25" i="2"/>
  <c r="E20" i="2"/>
  <c r="K19" i="10" l="1"/>
  <c r="K16" i="10"/>
  <c r="K20" i="10"/>
  <c r="K17" i="10"/>
  <c r="U17" i="10" s="1"/>
  <c r="K18" i="10"/>
  <c r="K21" i="10"/>
  <c r="U21" i="10" s="1"/>
  <c r="R40" i="10"/>
  <c r="R41" i="10"/>
  <c r="R42" i="10"/>
  <c r="R43" i="10"/>
  <c r="R44" i="10"/>
  <c r="R45" i="10"/>
  <c r="R46" i="10"/>
  <c r="R47" i="10"/>
  <c r="R48" i="10"/>
  <c r="R49" i="10"/>
  <c r="R50" i="10"/>
  <c r="R51" i="10"/>
  <c r="R52" i="10"/>
  <c r="R53" i="10"/>
  <c r="R54" i="10"/>
  <c r="R39" i="10"/>
  <c r="U39" i="10" s="1"/>
  <c r="Q60" i="2"/>
  <c r="R60" i="2" s="1"/>
  <c r="W101" i="7"/>
  <c r="I146" i="7" s="1"/>
  <c r="R101" i="7"/>
  <c r="H146" i="7" s="1"/>
  <c r="M101" i="7"/>
  <c r="G146" i="7" s="1"/>
  <c r="H101" i="7"/>
  <c r="F146" i="7" s="1"/>
  <c r="C100" i="7"/>
  <c r="C99" i="7"/>
  <c r="C98" i="7"/>
  <c r="D97" i="7"/>
  <c r="C97" i="7"/>
  <c r="C96" i="7"/>
  <c r="D95" i="7"/>
  <c r="C95" i="7"/>
  <c r="D94" i="7"/>
  <c r="C94" i="7"/>
  <c r="C93" i="7"/>
  <c r="D91" i="7"/>
  <c r="C91" i="7"/>
  <c r="C92" i="7" s="1"/>
  <c r="M72" i="7"/>
  <c r="H72" i="7"/>
  <c r="C71" i="7"/>
  <c r="C70" i="7"/>
  <c r="D69" i="7"/>
  <c r="C69" i="7"/>
  <c r="C68" i="7"/>
  <c r="D66" i="7"/>
  <c r="D65" i="7"/>
  <c r="C65" i="7"/>
  <c r="C67" i="7" s="1"/>
  <c r="W62" i="7"/>
  <c r="R62" i="7"/>
  <c r="C61" i="7"/>
  <c r="V61" i="7" s="1"/>
  <c r="V62" i="7" s="1"/>
  <c r="R54" i="7"/>
  <c r="D53" i="7"/>
  <c r="C53" i="7"/>
  <c r="D52" i="7"/>
  <c r="Q52" i="7" s="1"/>
  <c r="C52" i="7"/>
  <c r="C51" i="7"/>
  <c r="C50" i="7"/>
  <c r="D49" i="7"/>
  <c r="C49" i="7"/>
  <c r="C48" i="7"/>
  <c r="D47" i="7"/>
  <c r="C47" i="7"/>
  <c r="D46" i="7"/>
  <c r="C46" i="7"/>
  <c r="C45" i="7"/>
  <c r="D44" i="7"/>
  <c r="C44" i="7"/>
  <c r="D43" i="7"/>
  <c r="C43" i="7"/>
  <c r="D42" i="7"/>
  <c r="C42" i="7"/>
  <c r="D41" i="7"/>
  <c r="C41" i="7"/>
  <c r="D40" i="7"/>
  <c r="C40" i="7"/>
  <c r="D39" i="7"/>
  <c r="C39" i="7"/>
  <c r="S20" i="2"/>
  <c r="DA113" i="15" l="1"/>
  <c r="BE113" i="15"/>
  <c r="I113" i="15"/>
  <c r="CC113" i="14"/>
  <c r="AG113" i="14"/>
  <c r="DA113" i="13"/>
  <c r="BE113" i="13"/>
  <c r="I113" i="13"/>
  <c r="BE113" i="14"/>
  <c r="I113" i="14"/>
  <c r="CC113" i="13"/>
  <c r="AG113" i="13"/>
  <c r="CC113" i="15"/>
  <c r="AG113" i="15"/>
  <c r="DA113" i="14"/>
  <c r="CC92" i="15"/>
  <c r="I92" i="13"/>
  <c r="BE92" i="15"/>
  <c r="I92" i="15"/>
  <c r="CC92" i="14"/>
  <c r="AG92" i="14"/>
  <c r="CC92" i="13"/>
  <c r="AG92" i="13"/>
  <c r="BE92" i="14"/>
  <c r="DA92" i="13"/>
  <c r="DA92" i="15"/>
  <c r="AG92" i="15"/>
  <c r="DA92" i="14"/>
  <c r="I92" i="14"/>
  <c r="BE92" i="13"/>
  <c r="CC96" i="15"/>
  <c r="I96" i="14"/>
  <c r="BE96" i="15"/>
  <c r="I96" i="15"/>
  <c r="CC96" i="14"/>
  <c r="AG96" i="14"/>
  <c r="CC96" i="13"/>
  <c r="AG96" i="13"/>
  <c r="DA96" i="14"/>
  <c r="BE96" i="13"/>
  <c r="DA96" i="15"/>
  <c r="AG96" i="15"/>
  <c r="BE96" i="14"/>
  <c r="DA96" i="13"/>
  <c r="I96" i="13"/>
  <c r="I131" i="7"/>
  <c r="G86" i="5"/>
  <c r="Z28" i="2" s="1"/>
  <c r="CW113" i="16"/>
  <c r="BZ113" i="16"/>
  <c r="BC113" i="16"/>
  <c r="AF113" i="16"/>
  <c r="I113" i="16"/>
  <c r="CW96" i="16"/>
  <c r="BZ96" i="16"/>
  <c r="BC96" i="16"/>
  <c r="AF96" i="16"/>
  <c r="I96" i="16"/>
  <c r="CW92" i="16"/>
  <c r="BZ92" i="16"/>
  <c r="BC92" i="16"/>
  <c r="AF92" i="16"/>
  <c r="I92" i="16"/>
  <c r="G65" i="7"/>
  <c r="G72" i="7" s="1"/>
  <c r="F130" i="7" s="1"/>
  <c r="V65" i="7"/>
  <c r="V72" i="7" s="1"/>
  <c r="Q65" i="7"/>
  <c r="Q72" i="7" s="1"/>
  <c r="Q92" i="7"/>
  <c r="G92" i="7"/>
  <c r="V92" i="7"/>
  <c r="V101" i="7" s="1"/>
  <c r="L92" i="7"/>
  <c r="Q54" i="7"/>
  <c r="L65" i="7"/>
  <c r="L72" i="7" s="1"/>
  <c r="G130" i="7" s="1"/>
  <c r="Q61" i="7"/>
  <c r="Z12" i="2"/>
  <c r="Z20" i="2"/>
  <c r="I141" i="7" l="1"/>
  <c r="G91" i="5"/>
  <c r="Z47" i="2" s="1"/>
  <c r="H132" i="7"/>
  <c r="F85" i="5"/>
  <c r="S26" i="2" s="1"/>
  <c r="H130" i="7"/>
  <c r="I130" i="7"/>
  <c r="Q62" i="7"/>
  <c r="G101" i="7"/>
  <c r="Q101" i="7"/>
  <c r="I144" i="7"/>
  <c r="L101" i="7"/>
  <c r="AC10" i="2"/>
  <c r="O10" i="2"/>
  <c r="H10" i="2"/>
  <c r="V10" i="2"/>
  <c r="AB10" i="2"/>
  <c r="U10" i="2"/>
  <c r="N10" i="2"/>
  <c r="G10" i="2"/>
  <c r="AA10" i="2"/>
  <c r="T10" i="2"/>
  <c r="M10" i="2"/>
  <c r="F10" i="2"/>
  <c r="R104" i="3"/>
  <c r="H25" i="3"/>
  <c r="H35" i="3"/>
  <c r="F38" i="1"/>
  <c r="F39" i="1" s="1"/>
  <c r="G38" i="1"/>
  <c r="G39" i="1" s="1"/>
  <c r="H38" i="1"/>
  <c r="H39" i="1" s="1"/>
  <c r="I38" i="1"/>
  <c r="I39" i="1" s="1"/>
  <c r="F26" i="1"/>
  <c r="F27" i="1" s="1"/>
  <c r="G26" i="1"/>
  <c r="G27" i="1" s="1"/>
  <c r="H26" i="1"/>
  <c r="H27" i="1" s="1"/>
  <c r="I26" i="1"/>
  <c r="I27" i="1" s="1"/>
  <c r="E38" i="1"/>
  <c r="E39" i="1" s="1"/>
  <c r="E26" i="1"/>
  <c r="E27" i="1" s="1"/>
  <c r="G141" i="7" l="1"/>
  <c r="E91" i="5"/>
  <c r="L47" i="2" s="1"/>
  <c r="H141" i="7"/>
  <c r="H144" i="7" s="1"/>
  <c r="F91" i="5"/>
  <c r="S47" i="2" s="1"/>
  <c r="F141" i="7"/>
  <c r="F144" i="7" s="1"/>
  <c r="D91" i="5"/>
  <c r="E47" i="2" s="1"/>
  <c r="M101" i="10"/>
  <c r="M98" i="10"/>
  <c r="AE47" i="2"/>
  <c r="AF47" i="2" s="1"/>
  <c r="M103" i="10"/>
  <c r="M106" i="10"/>
  <c r="M100" i="10"/>
  <c r="M105" i="10"/>
  <c r="M92" i="10"/>
  <c r="M102" i="10"/>
  <c r="M94" i="10"/>
  <c r="M93" i="10"/>
  <c r="M97" i="10"/>
  <c r="M96" i="10"/>
  <c r="M95" i="10"/>
  <c r="M99" i="10"/>
  <c r="M104" i="10"/>
  <c r="H131" i="7"/>
  <c r="F86" i="5"/>
  <c r="S28" i="2" s="1"/>
  <c r="CV116" i="13"/>
  <c r="CV120" i="13"/>
  <c r="CV124" i="13"/>
  <c r="CV128" i="13"/>
  <c r="BX116" i="13"/>
  <c r="BX120" i="13"/>
  <c r="BX124" i="13"/>
  <c r="BX128" i="13"/>
  <c r="AZ116" i="13"/>
  <c r="AZ120" i="13"/>
  <c r="AZ124" i="13"/>
  <c r="AZ128" i="13"/>
  <c r="AB116" i="13"/>
  <c r="AB120" i="13"/>
  <c r="AB124" i="13"/>
  <c r="AB128" i="13"/>
  <c r="D116" i="13"/>
  <c r="D120" i="13"/>
  <c r="D124" i="13"/>
  <c r="D128" i="13"/>
  <c r="CV117" i="13"/>
  <c r="CV121" i="13"/>
  <c r="CV125" i="13"/>
  <c r="CV113" i="13"/>
  <c r="BX117" i="13"/>
  <c r="BX121" i="13"/>
  <c r="BX125" i="13"/>
  <c r="BX113" i="13"/>
  <c r="AZ117" i="13"/>
  <c r="AZ121" i="13"/>
  <c r="AZ125" i="13"/>
  <c r="AZ113" i="13"/>
  <c r="AB117" i="13"/>
  <c r="AB121" i="13"/>
  <c r="AB125" i="13"/>
  <c r="AB113" i="13"/>
  <c r="D117" i="13"/>
  <c r="D121" i="13"/>
  <c r="D125" i="13"/>
  <c r="D113" i="13"/>
  <c r="CV114" i="13"/>
  <c r="CV118" i="13"/>
  <c r="CV122" i="13"/>
  <c r="CV126" i="13"/>
  <c r="BX114" i="13"/>
  <c r="BX118" i="13"/>
  <c r="BX122" i="13"/>
  <c r="BX126" i="13"/>
  <c r="AZ114" i="13"/>
  <c r="AZ118" i="13"/>
  <c r="AZ122" i="13"/>
  <c r="AZ126" i="13"/>
  <c r="AB114" i="13"/>
  <c r="AB118" i="13"/>
  <c r="AB122" i="13"/>
  <c r="AB126" i="13"/>
  <c r="D114" i="13"/>
  <c r="D118" i="13"/>
  <c r="D122" i="13"/>
  <c r="D126" i="13"/>
  <c r="CV115" i="13"/>
  <c r="CV119" i="13"/>
  <c r="CV123" i="13"/>
  <c r="CV127" i="13"/>
  <c r="BX115" i="13"/>
  <c r="BX119" i="13"/>
  <c r="BX123" i="13"/>
  <c r="BX127" i="13"/>
  <c r="AZ115" i="13"/>
  <c r="AZ119" i="13"/>
  <c r="AZ123" i="13"/>
  <c r="AZ127" i="13"/>
  <c r="AB115" i="13"/>
  <c r="AB119" i="13"/>
  <c r="AB123" i="13"/>
  <c r="AB127" i="13"/>
  <c r="D115" i="13"/>
  <c r="D119" i="13"/>
  <c r="D123" i="13"/>
  <c r="D127" i="13"/>
  <c r="G144" i="7"/>
  <c r="AD50" i="2"/>
  <c r="W50" i="2"/>
  <c r="M18" i="10" l="1"/>
  <c r="M26" i="10"/>
  <c r="M24" i="10"/>
  <c r="M14" i="10"/>
  <c r="M28" i="10"/>
  <c r="M20" i="10"/>
  <c r="M22" i="10"/>
  <c r="M16" i="10"/>
  <c r="J47" i="2"/>
  <c r="K47" i="2" s="1"/>
  <c r="M69" i="10"/>
  <c r="M74" i="10"/>
  <c r="M79" i="10"/>
  <c r="M73" i="10"/>
  <c r="M78" i="10"/>
  <c r="X47" i="2"/>
  <c r="Y47" i="2" s="1"/>
  <c r="M72" i="10"/>
  <c r="M77" i="10"/>
  <c r="M67" i="10"/>
  <c r="M75" i="10"/>
  <c r="M68" i="10"/>
  <c r="M71" i="10"/>
  <c r="M80" i="10"/>
  <c r="M66" i="10"/>
  <c r="M70" i="10"/>
  <c r="M76" i="10"/>
  <c r="M43" i="10"/>
  <c r="M51" i="10"/>
  <c r="M48" i="10"/>
  <c r="M44" i="10"/>
  <c r="M52" i="10"/>
  <c r="Q47" i="2"/>
  <c r="R47" i="2" s="1"/>
  <c r="M47" i="10"/>
  <c r="M45" i="10"/>
  <c r="M53" i="10"/>
  <c r="M46" i="10"/>
  <c r="M54" i="10"/>
  <c r="M40" i="10"/>
  <c r="M41" i="10"/>
  <c r="M49" i="10"/>
  <c r="M42" i="10"/>
  <c r="M50" i="10"/>
  <c r="W17" i="10"/>
  <c r="W21" i="10"/>
  <c r="W23" i="10"/>
  <c r="W27" i="10"/>
  <c r="DD78" i="16" l="1"/>
  <c r="DD75" i="16"/>
  <c r="DD74" i="16"/>
  <c r="DD73" i="16"/>
  <c r="DD70" i="16"/>
  <c r="DD69" i="16"/>
  <c r="DD68" i="16"/>
  <c r="DD65" i="16"/>
  <c r="DD64" i="16"/>
  <c r="DD63" i="16"/>
  <c r="CD78" i="16"/>
  <c r="CD75" i="16"/>
  <c r="CD74" i="16"/>
  <c r="CD73" i="16"/>
  <c r="CD70" i="16"/>
  <c r="CD69" i="16"/>
  <c r="CD68" i="16"/>
  <c r="CD65" i="16"/>
  <c r="CD64" i="16"/>
  <c r="CD63" i="16"/>
  <c r="BD78" i="16"/>
  <c r="BD75" i="16"/>
  <c r="BD74" i="16"/>
  <c r="BD73" i="16"/>
  <c r="BD70" i="16"/>
  <c r="BD69" i="16"/>
  <c r="BD68" i="16"/>
  <c r="BD65" i="16"/>
  <c r="BD64" i="16"/>
  <c r="BD63" i="16"/>
  <c r="AD78" i="16"/>
  <c r="AD75" i="16"/>
  <c r="AD74" i="16"/>
  <c r="AD73" i="16"/>
  <c r="AD70" i="16"/>
  <c r="AD69" i="16"/>
  <c r="AD68" i="16"/>
  <c r="AD65" i="16"/>
  <c r="AD64" i="16"/>
  <c r="AD63" i="16"/>
  <c r="D78" i="16"/>
  <c r="D75" i="16"/>
  <c r="D74" i="16"/>
  <c r="D73" i="16"/>
  <c r="D70" i="16"/>
  <c r="D69" i="16"/>
  <c r="D68" i="16"/>
  <c r="D65" i="16"/>
  <c r="D64" i="16"/>
  <c r="D63" i="16"/>
  <c r="DD78" i="15"/>
  <c r="DD75" i="15"/>
  <c r="DD74" i="15"/>
  <c r="DD73" i="15"/>
  <c r="DD70" i="15"/>
  <c r="DD69" i="15"/>
  <c r="DD68" i="15"/>
  <c r="DD65" i="15"/>
  <c r="DD64" i="15"/>
  <c r="DD63" i="15"/>
  <c r="CD78" i="15"/>
  <c r="CD75" i="15"/>
  <c r="CD74" i="15"/>
  <c r="CD73" i="15"/>
  <c r="CD70" i="15"/>
  <c r="CD69" i="15"/>
  <c r="CD68" i="15"/>
  <c r="CD65" i="15"/>
  <c r="CD64" i="15"/>
  <c r="CD63" i="15"/>
  <c r="BD78" i="15"/>
  <c r="BD75" i="15"/>
  <c r="BD74" i="15"/>
  <c r="BD73" i="15"/>
  <c r="BD70" i="15"/>
  <c r="BD69" i="15"/>
  <c r="BD68" i="15"/>
  <c r="BD65" i="15"/>
  <c r="BD64" i="15"/>
  <c r="BD63" i="15"/>
  <c r="AD78" i="15"/>
  <c r="AD75" i="15"/>
  <c r="AD74" i="15"/>
  <c r="AD73" i="15"/>
  <c r="AD70" i="15"/>
  <c r="AD69" i="15"/>
  <c r="AD68" i="15"/>
  <c r="AD65" i="15"/>
  <c r="AD64" i="15"/>
  <c r="AD63" i="15"/>
  <c r="D78" i="15"/>
  <c r="D75" i="15"/>
  <c r="D74" i="15"/>
  <c r="D73" i="15"/>
  <c r="D70" i="15"/>
  <c r="D69" i="15"/>
  <c r="D68" i="15"/>
  <c r="D65" i="15"/>
  <c r="D64" i="15"/>
  <c r="D63" i="15"/>
  <c r="DD78" i="14"/>
  <c r="DD75" i="14"/>
  <c r="DD74" i="14"/>
  <c r="DD73" i="14"/>
  <c r="DD70" i="14"/>
  <c r="DD69" i="14"/>
  <c r="DD68" i="14"/>
  <c r="DD65" i="14"/>
  <c r="DD64" i="14"/>
  <c r="DD63" i="14"/>
  <c r="CD78" i="14"/>
  <c r="CD75" i="14"/>
  <c r="CD74" i="14"/>
  <c r="CD73" i="14"/>
  <c r="CD70" i="14"/>
  <c r="CD69" i="14"/>
  <c r="CD68" i="14"/>
  <c r="CD65" i="14"/>
  <c r="CD64" i="14"/>
  <c r="CD63" i="14"/>
  <c r="BD63" i="14"/>
  <c r="BD78" i="14"/>
  <c r="BD75" i="14"/>
  <c r="BD74" i="14"/>
  <c r="BD73" i="14"/>
  <c r="BD70" i="14"/>
  <c r="BD69" i="14"/>
  <c r="BD68" i="14"/>
  <c r="BD65" i="14"/>
  <c r="BD64" i="14"/>
  <c r="AD78" i="14"/>
  <c r="AD75" i="14"/>
  <c r="AD74" i="14"/>
  <c r="AD73" i="14"/>
  <c r="AD70" i="14"/>
  <c r="AD69" i="14"/>
  <c r="AD68" i="14"/>
  <c r="AD65" i="14"/>
  <c r="AD64" i="14"/>
  <c r="AD63" i="14"/>
  <c r="D78" i="14"/>
  <c r="D75" i="14"/>
  <c r="D74" i="14"/>
  <c r="D73" i="14"/>
  <c r="D70" i="14"/>
  <c r="D69" i="14"/>
  <c r="D68" i="14"/>
  <c r="D65" i="14"/>
  <c r="D64" i="14"/>
  <c r="D63" i="14"/>
  <c r="DD78" i="13"/>
  <c r="DD75" i="13"/>
  <c r="DD74" i="13"/>
  <c r="DD73" i="13"/>
  <c r="DD70" i="13"/>
  <c r="DD69" i="13"/>
  <c r="DD68" i="13"/>
  <c r="DD65" i="13"/>
  <c r="DD64" i="13"/>
  <c r="DD63" i="13"/>
  <c r="CD78" i="13"/>
  <c r="CD75" i="13"/>
  <c r="CD74" i="13"/>
  <c r="CD73" i="13"/>
  <c r="CD70" i="13"/>
  <c r="CD69" i="13"/>
  <c r="CD68" i="13"/>
  <c r="CD65" i="13"/>
  <c r="CD64" i="13"/>
  <c r="CD63" i="13"/>
  <c r="BD78" i="13"/>
  <c r="BD75" i="13"/>
  <c r="BD74" i="13"/>
  <c r="BD73" i="13"/>
  <c r="BD70" i="13"/>
  <c r="BD69" i="13"/>
  <c r="BD68" i="13"/>
  <c r="BD65" i="13"/>
  <c r="BD64" i="13"/>
  <c r="BD63" i="13"/>
  <c r="AD78" i="13"/>
  <c r="AD75" i="13"/>
  <c r="AD74" i="13"/>
  <c r="AD73" i="13"/>
  <c r="AD70" i="13"/>
  <c r="AD69" i="13"/>
  <c r="AD68" i="13"/>
  <c r="AD65" i="13"/>
  <c r="AD64" i="13"/>
  <c r="AD63" i="13"/>
  <c r="D78" i="13"/>
  <c r="D75" i="13"/>
  <c r="D74" i="13"/>
  <c r="D73" i="13"/>
  <c r="D70" i="13"/>
  <c r="D69" i="13"/>
  <c r="D68" i="13"/>
  <c r="D65" i="13"/>
  <c r="D64" i="13"/>
  <c r="D63" i="13"/>
  <c r="BS14" i="16" l="1"/>
  <c r="BS15" i="16" s="1"/>
  <c r="BS16" i="16" s="1"/>
  <c r="BS17" i="16" s="1"/>
  <c r="BS18" i="16" s="1"/>
  <c r="BS19" i="16" s="1"/>
  <c r="BS20" i="16" s="1"/>
  <c r="BS21" i="16" s="1"/>
  <c r="BS22" i="16" s="1"/>
  <c r="BS23" i="16" s="1"/>
  <c r="BS24" i="16" s="1"/>
  <c r="BS25" i="16" s="1"/>
  <c r="BS26" i="16" s="1"/>
  <c r="BS27" i="16" s="1"/>
  <c r="BS40" i="16"/>
  <c r="BS41" i="16" s="1"/>
  <c r="BS42" i="16" s="1"/>
  <c r="BS43" i="16" s="1"/>
  <c r="BS44" i="16" s="1"/>
  <c r="BS45" i="16" s="1"/>
  <c r="BS46" i="16" s="1"/>
  <c r="BS47" i="16" s="1"/>
  <c r="BS48" i="16" s="1"/>
  <c r="BS49" i="16" s="1"/>
  <c r="BS50" i="16" s="1"/>
  <c r="BS51" i="16" s="1"/>
  <c r="BS52" i="16" s="1"/>
  <c r="BS53" i="16" s="1"/>
  <c r="CB65" i="16"/>
  <c r="CB66" i="16" s="1"/>
  <c r="CB67" i="16" s="1"/>
  <c r="CB68" i="16" s="1"/>
  <c r="CB69" i="16" s="1"/>
  <c r="CB70" i="16" s="1"/>
  <c r="CB71" i="16" s="1"/>
  <c r="CB72" i="16" s="1"/>
  <c r="CB73" i="16" s="1"/>
  <c r="CB74" i="16" s="1"/>
  <c r="CB75" i="16" s="1"/>
  <c r="CB76" i="16" s="1"/>
  <c r="CB77" i="16" s="1"/>
  <c r="CB78" i="16" s="1"/>
  <c r="BS90" i="16"/>
  <c r="BS91" i="16" s="1"/>
  <c r="BS92" i="16" s="1"/>
  <c r="BS93" i="16" s="1"/>
  <c r="BS94" i="16" s="1"/>
  <c r="BS95" i="16" s="1"/>
  <c r="BS96" i="16" s="1"/>
  <c r="BS97" i="16" s="1"/>
  <c r="BS98" i="16" s="1"/>
  <c r="BS99" i="16" s="1"/>
  <c r="BS100" i="16" s="1"/>
  <c r="BS101" i="16" s="1"/>
  <c r="BS102" i="16" s="1"/>
  <c r="BS103" i="16" s="1"/>
  <c r="BS115" i="16"/>
  <c r="BS116" i="16" s="1"/>
  <c r="BS117" i="16" s="1"/>
  <c r="BS118" i="16" s="1"/>
  <c r="BS119" i="16" s="1"/>
  <c r="BS120" i="16" s="1"/>
  <c r="BS121" i="16" s="1"/>
  <c r="BS122" i="16" s="1"/>
  <c r="BS123" i="16" s="1"/>
  <c r="BS124" i="16" s="1"/>
  <c r="BS125" i="16" s="1"/>
  <c r="BS126" i="16" s="1"/>
  <c r="BS127" i="16" s="1"/>
  <c r="BS128" i="16" s="1"/>
  <c r="AV115" i="16"/>
  <c r="AV116" i="16" s="1"/>
  <c r="AV117" i="16" s="1"/>
  <c r="AV118" i="16" s="1"/>
  <c r="AV119" i="16" s="1"/>
  <c r="AV120" i="16" s="1"/>
  <c r="AV121" i="16" s="1"/>
  <c r="AV122" i="16" s="1"/>
  <c r="AV123" i="16" s="1"/>
  <c r="AV124" i="16" s="1"/>
  <c r="AV125" i="16" s="1"/>
  <c r="AV126" i="16" s="1"/>
  <c r="AV127" i="16" s="1"/>
  <c r="AV128" i="16" s="1"/>
  <c r="AV90" i="16"/>
  <c r="AV91" i="16" s="1"/>
  <c r="AV92" i="16" s="1"/>
  <c r="AV93" i="16" s="1"/>
  <c r="AV94" i="16" s="1"/>
  <c r="AV95" i="16" s="1"/>
  <c r="AV96" i="16" s="1"/>
  <c r="AV97" i="16" s="1"/>
  <c r="AV98" i="16" s="1"/>
  <c r="AV99" i="16" s="1"/>
  <c r="AV100" i="16" s="1"/>
  <c r="AV101" i="16" s="1"/>
  <c r="AV102" i="16" s="1"/>
  <c r="AV103" i="16" s="1"/>
  <c r="BB65" i="16"/>
  <c r="BB66" i="16" s="1"/>
  <c r="BB67" i="16" s="1"/>
  <c r="BB68" i="16" s="1"/>
  <c r="BB69" i="16" s="1"/>
  <c r="BB70" i="16" s="1"/>
  <c r="BB71" i="16" s="1"/>
  <c r="BB72" i="16" s="1"/>
  <c r="BB73" i="16" s="1"/>
  <c r="BB74" i="16" s="1"/>
  <c r="BB75" i="16" s="1"/>
  <c r="BB76" i="16" s="1"/>
  <c r="BB77" i="16" s="1"/>
  <c r="BB78" i="16" s="1"/>
  <c r="AV40" i="16"/>
  <c r="AV41" i="16" s="1"/>
  <c r="AV42" i="16" s="1"/>
  <c r="AV43" i="16" s="1"/>
  <c r="AV44" i="16" s="1"/>
  <c r="AV45" i="16" s="1"/>
  <c r="AV46" i="16" s="1"/>
  <c r="AV47" i="16" s="1"/>
  <c r="AV48" i="16" s="1"/>
  <c r="AV49" i="16" s="1"/>
  <c r="AV50" i="16" s="1"/>
  <c r="AV51" i="16" s="1"/>
  <c r="AV52" i="16" s="1"/>
  <c r="AV53" i="16" s="1"/>
  <c r="AV14" i="16"/>
  <c r="AV15" i="16" s="1"/>
  <c r="AV16" i="16" s="1"/>
  <c r="AV17" i="16" s="1"/>
  <c r="AV18" i="16" s="1"/>
  <c r="AV19" i="16" s="1"/>
  <c r="AV20" i="16" s="1"/>
  <c r="AV21" i="16" s="1"/>
  <c r="AV22" i="16" s="1"/>
  <c r="AV23" i="16" s="1"/>
  <c r="AV24" i="16" s="1"/>
  <c r="AV25" i="16" s="1"/>
  <c r="AV26" i="16" s="1"/>
  <c r="AV27" i="16" s="1"/>
  <c r="Y14" i="16"/>
  <c r="Y15" i="16" s="1"/>
  <c r="Y16" i="16" s="1"/>
  <c r="Y17" i="16" s="1"/>
  <c r="Y18" i="16" s="1"/>
  <c r="Y19" i="16" s="1"/>
  <c r="Y20" i="16" s="1"/>
  <c r="Y21" i="16" s="1"/>
  <c r="Y22" i="16" s="1"/>
  <c r="Y23" i="16" s="1"/>
  <c r="Y24" i="16" s="1"/>
  <c r="Y25" i="16" s="1"/>
  <c r="Y26" i="16" s="1"/>
  <c r="Y27" i="16" s="1"/>
  <c r="Y40" i="16"/>
  <c r="Y41" i="16" s="1"/>
  <c r="Y42" i="16" s="1"/>
  <c r="Y43" i="16" s="1"/>
  <c r="Y44" i="16" s="1"/>
  <c r="Y45" i="16" s="1"/>
  <c r="Y46" i="16" s="1"/>
  <c r="Y47" i="16" s="1"/>
  <c r="Y48" i="16" s="1"/>
  <c r="Y49" i="16" s="1"/>
  <c r="Y50" i="16" s="1"/>
  <c r="Y51" i="16" s="1"/>
  <c r="Y52" i="16" s="1"/>
  <c r="Y53" i="16" s="1"/>
  <c r="AB65" i="16"/>
  <c r="AB66" i="16" s="1"/>
  <c r="AB67" i="16" s="1"/>
  <c r="AB68" i="16" s="1"/>
  <c r="AB69" i="16" s="1"/>
  <c r="AB70" i="16" s="1"/>
  <c r="AB71" i="16" s="1"/>
  <c r="AB72" i="16" s="1"/>
  <c r="AB73" i="16" s="1"/>
  <c r="AB74" i="16" s="1"/>
  <c r="AB75" i="16" s="1"/>
  <c r="AB76" i="16" s="1"/>
  <c r="AB77" i="16" s="1"/>
  <c r="AB78" i="16" s="1"/>
  <c r="Y90" i="16"/>
  <c r="Y91" i="16" s="1"/>
  <c r="Y92" i="16" s="1"/>
  <c r="Y93" i="16" s="1"/>
  <c r="Y94" i="16" s="1"/>
  <c r="Y95" i="16" s="1"/>
  <c r="Y96" i="16" s="1"/>
  <c r="Y97" i="16" s="1"/>
  <c r="Y98" i="16" s="1"/>
  <c r="Y99" i="16" s="1"/>
  <c r="Y100" i="16" s="1"/>
  <c r="Y101" i="16" s="1"/>
  <c r="Y102" i="16" s="1"/>
  <c r="Y103" i="16" s="1"/>
  <c r="Y115" i="16"/>
  <c r="Y116" i="16" s="1"/>
  <c r="Y117" i="16" s="1"/>
  <c r="Y118" i="16" s="1"/>
  <c r="Y119" i="16" s="1"/>
  <c r="Y120" i="16" s="1"/>
  <c r="Y121" i="16" s="1"/>
  <c r="Y122" i="16" s="1"/>
  <c r="Y123" i="16" s="1"/>
  <c r="Y124" i="16" s="1"/>
  <c r="Y125" i="16" s="1"/>
  <c r="Y126" i="16" s="1"/>
  <c r="Y127" i="16" s="1"/>
  <c r="Y128" i="16" s="1"/>
  <c r="B115" i="16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90" i="16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65" i="16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40" i="16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14" i="16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CT115" i="15"/>
  <c r="CT116" i="15" s="1"/>
  <c r="CT117" i="15" s="1"/>
  <c r="CT118" i="15" s="1"/>
  <c r="CT119" i="15" s="1"/>
  <c r="CT120" i="15" s="1"/>
  <c r="CT121" i="15" s="1"/>
  <c r="CT122" i="15" s="1"/>
  <c r="CT123" i="15" s="1"/>
  <c r="CT124" i="15" s="1"/>
  <c r="CT125" i="15" s="1"/>
  <c r="CT126" i="15" s="1"/>
  <c r="CT127" i="15" s="1"/>
  <c r="CT128" i="15" s="1"/>
  <c r="CT90" i="15"/>
  <c r="CT91" i="15" s="1"/>
  <c r="CT92" i="15" s="1"/>
  <c r="CT93" i="15" s="1"/>
  <c r="CT94" i="15" s="1"/>
  <c r="CT95" i="15" s="1"/>
  <c r="CT96" i="15" s="1"/>
  <c r="CT97" i="15" s="1"/>
  <c r="CT98" i="15" s="1"/>
  <c r="CT99" i="15" s="1"/>
  <c r="CT100" i="15" s="1"/>
  <c r="CT101" i="15" s="1"/>
  <c r="CT102" i="15" s="1"/>
  <c r="CT103" i="15" s="1"/>
  <c r="DB65" i="15"/>
  <c r="DB66" i="15" s="1"/>
  <c r="DB67" i="15" s="1"/>
  <c r="DB68" i="15" s="1"/>
  <c r="DB69" i="15" s="1"/>
  <c r="DB70" i="15" s="1"/>
  <c r="DB71" i="15" s="1"/>
  <c r="DB72" i="15" s="1"/>
  <c r="DB73" i="15" s="1"/>
  <c r="DB74" i="15" s="1"/>
  <c r="DB75" i="15" s="1"/>
  <c r="DB76" i="15" s="1"/>
  <c r="DB77" i="15" s="1"/>
  <c r="DB78" i="15" s="1"/>
  <c r="CT40" i="15"/>
  <c r="CT41" i="15" s="1"/>
  <c r="CT42" i="15" s="1"/>
  <c r="CT43" i="15" s="1"/>
  <c r="CT44" i="15" s="1"/>
  <c r="CT45" i="15" s="1"/>
  <c r="CT46" i="15" s="1"/>
  <c r="CT47" i="15" s="1"/>
  <c r="CT48" i="15" s="1"/>
  <c r="CT49" i="15" s="1"/>
  <c r="CT50" i="15" s="1"/>
  <c r="CT51" i="15" s="1"/>
  <c r="CT52" i="15" s="1"/>
  <c r="CT53" i="15" s="1"/>
  <c r="CT14" i="15"/>
  <c r="CT15" i="15" s="1"/>
  <c r="CT16" i="15" s="1"/>
  <c r="CT17" i="15" s="1"/>
  <c r="CT18" i="15" s="1"/>
  <c r="CT19" i="15" s="1"/>
  <c r="CT20" i="15" s="1"/>
  <c r="CT21" i="15" s="1"/>
  <c r="CT22" i="15" s="1"/>
  <c r="CT23" i="15" s="1"/>
  <c r="CT24" i="15" s="1"/>
  <c r="CT25" i="15" s="1"/>
  <c r="CT26" i="15" s="1"/>
  <c r="CT27" i="15" s="1"/>
  <c r="BV14" i="15"/>
  <c r="BV15" i="15" s="1"/>
  <c r="BV16" i="15" s="1"/>
  <c r="BV17" i="15" s="1"/>
  <c r="BV18" i="15" s="1"/>
  <c r="BV19" i="15" s="1"/>
  <c r="BV20" i="15" s="1"/>
  <c r="BV21" i="15" s="1"/>
  <c r="BV22" i="15" s="1"/>
  <c r="BV23" i="15" s="1"/>
  <c r="BV24" i="15" s="1"/>
  <c r="BV25" i="15" s="1"/>
  <c r="BV26" i="15" s="1"/>
  <c r="BV27" i="15" s="1"/>
  <c r="BV40" i="15"/>
  <c r="BV41" i="15" s="1"/>
  <c r="BV42" i="15" s="1"/>
  <c r="BV43" i="15" s="1"/>
  <c r="BV44" i="15" s="1"/>
  <c r="BV45" i="15" s="1"/>
  <c r="BV46" i="15" s="1"/>
  <c r="BV47" i="15" s="1"/>
  <c r="BV48" i="15" s="1"/>
  <c r="BV49" i="15" s="1"/>
  <c r="BV50" i="15" s="1"/>
  <c r="BV51" i="15" s="1"/>
  <c r="BV52" i="15" s="1"/>
  <c r="BV53" i="15" s="1"/>
  <c r="CB65" i="15"/>
  <c r="CB66" i="15" s="1"/>
  <c r="CB67" i="15" s="1"/>
  <c r="CB68" i="15" s="1"/>
  <c r="CB69" i="15" s="1"/>
  <c r="CB70" i="15" s="1"/>
  <c r="CB71" i="15" s="1"/>
  <c r="CB72" i="15" s="1"/>
  <c r="CB73" i="15" s="1"/>
  <c r="CB74" i="15" s="1"/>
  <c r="CB75" i="15" s="1"/>
  <c r="CB76" i="15" s="1"/>
  <c r="CB77" i="15" s="1"/>
  <c r="CB78" i="15" s="1"/>
  <c r="BV90" i="15"/>
  <c r="BV91" i="15" s="1"/>
  <c r="BV92" i="15" s="1"/>
  <c r="BV93" i="15" s="1"/>
  <c r="BV94" i="15" s="1"/>
  <c r="BV95" i="15" s="1"/>
  <c r="BV96" i="15" s="1"/>
  <c r="BV97" i="15" s="1"/>
  <c r="BV98" i="15" s="1"/>
  <c r="BV99" i="15" s="1"/>
  <c r="BV100" i="15" s="1"/>
  <c r="BV101" i="15" s="1"/>
  <c r="BV102" i="15" s="1"/>
  <c r="BV103" i="15" s="1"/>
  <c r="BV115" i="15"/>
  <c r="BV116" i="15" s="1"/>
  <c r="BV117" i="15" s="1"/>
  <c r="BV118" i="15" s="1"/>
  <c r="BV119" i="15" s="1"/>
  <c r="BV120" i="15" s="1"/>
  <c r="BV121" i="15" s="1"/>
  <c r="BV122" i="15" s="1"/>
  <c r="BV123" i="15" s="1"/>
  <c r="BV124" i="15" s="1"/>
  <c r="BV125" i="15" s="1"/>
  <c r="BV126" i="15" s="1"/>
  <c r="BV127" i="15" s="1"/>
  <c r="BV128" i="15" s="1"/>
  <c r="AX115" i="15"/>
  <c r="AX116" i="15" s="1"/>
  <c r="AX117" i="15" s="1"/>
  <c r="AX118" i="15" s="1"/>
  <c r="AX119" i="15" s="1"/>
  <c r="AX120" i="15" s="1"/>
  <c r="AX121" i="15" s="1"/>
  <c r="AX122" i="15" s="1"/>
  <c r="AX123" i="15" s="1"/>
  <c r="AX124" i="15" s="1"/>
  <c r="AX125" i="15" s="1"/>
  <c r="AX126" i="15" s="1"/>
  <c r="AX127" i="15" s="1"/>
  <c r="AX128" i="15" s="1"/>
  <c r="AX90" i="15"/>
  <c r="AX91" i="15" s="1"/>
  <c r="AX92" i="15" s="1"/>
  <c r="AX93" i="15" s="1"/>
  <c r="AX94" i="15" s="1"/>
  <c r="AX95" i="15" s="1"/>
  <c r="AX96" i="15" s="1"/>
  <c r="AX97" i="15" s="1"/>
  <c r="AX98" i="15" s="1"/>
  <c r="AX99" i="15" s="1"/>
  <c r="AX100" i="15" s="1"/>
  <c r="AX101" i="15" s="1"/>
  <c r="AX102" i="15" s="1"/>
  <c r="AX103" i="15" s="1"/>
  <c r="BB65" i="15"/>
  <c r="BB66" i="15" s="1"/>
  <c r="BB67" i="15" s="1"/>
  <c r="BB68" i="15" s="1"/>
  <c r="BB69" i="15" s="1"/>
  <c r="BB70" i="15" s="1"/>
  <c r="BB71" i="15" s="1"/>
  <c r="BB72" i="15" s="1"/>
  <c r="BB73" i="15" s="1"/>
  <c r="BB74" i="15" s="1"/>
  <c r="BB75" i="15" s="1"/>
  <c r="BB76" i="15" s="1"/>
  <c r="BB77" i="15" s="1"/>
  <c r="BB78" i="15" s="1"/>
  <c r="AX40" i="15"/>
  <c r="AX41" i="15" s="1"/>
  <c r="AX42" i="15" s="1"/>
  <c r="AX43" i="15" s="1"/>
  <c r="AX44" i="15" s="1"/>
  <c r="AX45" i="15" s="1"/>
  <c r="AX46" i="15" s="1"/>
  <c r="AX47" i="15" s="1"/>
  <c r="AX48" i="15" s="1"/>
  <c r="AX49" i="15" s="1"/>
  <c r="AX50" i="15" s="1"/>
  <c r="AX51" i="15" s="1"/>
  <c r="AX52" i="15" s="1"/>
  <c r="AX53" i="15" s="1"/>
  <c r="AX14" i="15"/>
  <c r="AX15" i="15" s="1"/>
  <c r="AX16" i="15" s="1"/>
  <c r="AX17" i="15" s="1"/>
  <c r="AX18" i="15" s="1"/>
  <c r="AX19" i="15" s="1"/>
  <c r="AX20" i="15" s="1"/>
  <c r="AX21" i="15" s="1"/>
  <c r="AX22" i="15" s="1"/>
  <c r="AX23" i="15" s="1"/>
  <c r="AX24" i="15" s="1"/>
  <c r="AX25" i="15" s="1"/>
  <c r="AX26" i="15" s="1"/>
  <c r="AX27" i="15" s="1"/>
  <c r="Z14" i="15"/>
  <c r="Z15" i="15" s="1"/>
  <c r="Z16" i="15" s="1"/>
  <c r="Z17" i="15" s="1"/>
  <c r="Z18" i="15" s="1"/>
  <c r="Z19" i="15" s="1"/>
  <c r="Z20" i="15" s="1"/>
  <c r="Z21" i="15" s="1"/>
  <c r="Z22" i="15" s="1"/>
  <c r="Z23" i="15" s="1"/>
  <c r="Z24" i="15" s="1"/>
  <c r="Z25" i="15" s="1"/>
  <c r="Z26" i="15" s="1"/>
  <c r="Z27" i="15" s="1"/>
  <c r="Z40" i="15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AB65" i="15"/>
  <c r="AB66" i="15" s="1"/>
  <c r="AB67" i="15" s="1"/>
  <c r="AB68" i="15" s="1"/>
  <c r="AB69" i="15" s="1"/>
  <c r="AB70" i="15" s="1"/>
  <c r="AB71" i="15" s="1"/>
  <c r="AB72" i="15" s="1"/>
  <c r="AB73" i="15" s="1"/>
  <c r="AB74" i="15" s="1"/>
  <c r="AB75" i="15" s="1"/>
  <c r="AB76" i="15" s="1"/>
  <c r="AB77" i="15" s="1"/>
  <c r="AB78" i="15" s="1"/>
  <c r="Z90" i="15"/>
  <c r="Z91" i="15" s="1"/>
  <c r="Z92" i="15" s="1"/>
  <c r="Z93" i="15" s="1"/>
  <c r="Z94" i="15" s="1"/>
  <c r="Z95" i="15" s="1"/>
  <c r="Z96" i="15" s="1"/>
  <c r="Z97" i="15" s="1"/>
  <c r="Z98" i="15" s="1"/>
  <c r="Z99" i="15" s="1"/>
  <c r="Z100" i="15" s="1"/>
  <c r="Z101" i="15" s="1"/>
  <c r="Z102" i="15" s="1"/>
  <c r="Z103" i="15" s="1"/>
  <c r="Z115" i="15"/>
  <c r="Z116" i="15" s="1"/>
  <c r="Z117" i="15" s="1"/>
  <c r="Z118" i="15" s="1"/>
  <c r="Z119" i="15" s="1"/>
  <c r="Z120" i="15" s="1"/>
  <c r="Z121" i="15" s="1"/>
  <c r="Z122" i="15" s="1"/>
  <c r="Z123" i="15" s="1"/>
  <c r="Z124" i="15" s="1"/>
  <c r="Z125" i="15" s="1"/>
  <c r="Z126" i="15" s="1"/>
  <c r="Z127" i="15" s="1"/>
  <c r="Z128" i="15" s="1"/>
  <c r="B115" i="15"/>
  <c r="B116" i="15" s="1"/>
  <c r="B117" i="15" s="1"/>
  <c r="B118" i="15" s="1"/>
  <c r="B119" i="15" s="1"/>
  <c r="B120" i="15" s="1"/>
  <c r="B121" i="15" s="1"/>
  <c r="B122" i="15" s="1"/>
  <c r="B123" i="15" s="1"/>
  <c r="B124" i="15" s="1"/>
  <c r="B125" i="15" s="1"/>
  <c r="B126" i="15" s="1"/>
  <c r="B127" i="15" s="1"/>
  <c r="B128" i="15" s="1"/>
  <c r="B90" i="15"/>
  <c r="B91" i="15" s="1"/>
  <c r="B92" i="15" s="1"/>
  <c r="B93" i="15" s="1"/>
  <c r="B94" i="15" s="1"/>
  <c r="B95" i="15" s="1"/>
  <c r="B96" i="15" s="1"/>
  <c r="B97" i="15" s="1"/>
  <c r="B98" i="15" s="1"/>
  <c r="B99" i="15" s="1"/>
  <c r="B100" i="15" s="1"/>
  <c r="B101" i="15" s="1"/>
  <c r="B102" i="15" s="1"/>
  <c r="B103" i="15" s="1"/>
  <c r="B65" i="15"/>
  <c r="B66" i="15" s="1"/>
  <c r="B67" i="15" s="1"/>
  <c r="B68" i="15" s="1"/>
  <c r="B69" i="15" s="1"/>
  <c r="B70" i="15" s="1"/>
  <c r="B71" i="15" s="1"/>
  <c r="B72" i="15" s="1"/>
  <c r="B73" i="15" s="1"/>
  <c r="B74" i="15" s="1"/>
  <c r="B75" i="15" s="1"/>
  <c r="B76" i="15" s="1"/>
  <c r="B77" i="15" s="1"/>
  <c r="B78" i="15" s="1"/>
  <c r="B40" i="15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B52" i="15" s="1"/>
  <c r="B53" i="15" s="1"/>
  <c r="B14" i="15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CT14" i="14"/>
  <c r="CT15" i="14" s="1"/>
  <c r="CT16" i="14" s="1"/>
  <c r="CT17" i="14" s="1"/>
  <c r="CT18" i="14" s="1"/>
  <c r="CT19" i="14" s="1"/>
  <c r="CT20" i="14" s="1"/>
  <c r="CT21" i="14" s="1"/>
  <c r="CT22" i="14" s="1"/>
  <c r="CT23" i="14" s="1"/>
  <c r="CT24" i="14" s="1"/>
  <c r="CT25" i="14" s="1"/>
  <c r="CT26" i="14" s="1"/>
  <c r="CT27" i="14" s="1"/>
  <c r="CT40" i="14"/>
  <c r="CT41" i="14" s="1"/>
  <c r="CT42" i="14" s="1"/>
  <c r="CT43" i="14" s="1"/>
  <c r="CT44" i="14" s="1"/>
  <c r="CT45" i="14" s="1"/>
  <c r="CT46" i="14" s="1"/>
  <c r="CT47" i="14" s="1"/>
  <c r="CT48" i="14" s="1"/>
  <c r="CT49" i="14" s="1"/>
  <c r="CT50" i="14" s="1"/>
  <c r="CT51" i="14" s="1"/>
  <c r="CT52" i="14" s="1"/>
  <c r="CT53" i="14" s="1"/>
  <c r="DB65" i="14"/>
  <c r="DB66" i="14" s="1"/>
  <c r="DB67" i="14" s="1"/>
  <c r="DB68" i="14" s="1"/>
  <c r="DB69" i="14" s="1"/>
  <c r="DB70" i="14" s="1"/>
  <c r="DB71" i="14" s="1"/>
  <c r="DB72" i="14" s="1"/>
  <c r="DB73" i="14" s="1"/>
  <c r="DB74" i="14" s="1"/>
  <c r="DB75" i="14" s="1"/>
  <c r="DB76" i="14" s="1"/>
  <c r="DB77" i="14" s="1"/>
  <c r="DB78" i="14" s="1"/>
  <c r="CT90" i="14"/>
  <c r="CT91" i="14" s="1"/>
  <c r="CT92" i="14" s="1"/>
  <c r="CT93" i="14" s="1"/>
  <c r="CT94" i="14" s="1"/>
  <c r="CT95" i="14" s="1"/>
  <c r="CT96" i="14" s="1"/>
  <c r="CT97" i="14" s="1"/>
  <c r="CT98" i="14" s="1"/>
  <c r="CT99" i="14" s="1"/>
  <c r="CT100" i="14" s="1"/>
  <c r="CT101" i="14" s="1"/>
  <c r="CT102" i="14" s="1"/>
  <c r="CT103" i="14" s="1"/>
  <c r="CT115" i="14"/>
  <c r="CT116" i="14" s="1"/>
  <c r="CT117" i="14" s="1"/>
  <c r="CT118" i="14" s="1"/>
  <c r="CT119" i="14" s="1"/>
  <c r="CT120" i="14" s="1"/>
  <c r="CT121" i="14" s="1"/>
  <c r="CT122" i="14" s="1"/>
  <c r="CT123" i="14" s="1"/>
  <c r="CT124" i="14" s="1"/>
  <c r="CT125" i="14" s="1"/>
  <c r="CT126" i="14" s="1"/>
  <c r="CT127" i="14" s="1"/>
  <c r="CT128" i="14" s="1"/>
  <c r="BV115" i="14"/>
  <c r="BV116" i="14" s="1"/>
  <c r="BV117" i="14" s="1"/>
  <c r="BV118" i="14" s="1"/>
  <c r="BV119" i="14" s="1"/>
  <c r="BV120" i="14" s="1"/>
  <c r="BV121" i="14" s="1"/>
  <c r="BV122" i="14" s="1"/>
  <c r="BV123" i="14" s="1"/>
  <c r="BV124" i="14" s="1"/>
  <c r="BV125" i="14" s="1"/>
  <c r="BV126" i="14" s="1"/>
  <c r="BV127" i="14" s="1"/>
  <c r="BV128" i="14" s="1"/>
  <c r="BV90" i="14"/>
  <c r="BV91" i="14" s="1"/>
  <c r="BV92" i="14" s="1"/>
  <c r="BV93" i="14" s="1"/>
  <c r="BV94" i="14" s="1"/>
  <c r="BV95" i="14" s="1"/>
  <c r="BV96" i="14" s="1"/>
  <c r="BV97" i="14" s="1"/>
  <c r="BV98" i="14" s="1"/>
  <c r="BV99" i="14" s="1"/>
  <c r="BV100" i="14" s="1"/>
  <c r="BV101" i="14" s="1"/>
  <c r="BV102" i="14" s="1"/>
  <c r="BV103" i="14" s="1"/>
  <c r="CB65" i="14"/>
  <c r="CB66" i="14" s="1"/>
  <c r="CB67" i="14" s="1"/>
  <c r="CB68" i="14" s="1"/>
  <c r="CB69" i="14" s="1"/>
  <c r="CB70" i="14" s="1"/>
  <c r="CB71" i="14" s="1"/>
  <c r="CB72" i="14" s="1"/>
  <c r="CB73" i="14" s="1"/>
  <c r="CB74" i="14" s="1"/>
  <c r="CB75" i="14" s="1"/>
  <c r="CB76" i="14" s="1"/>
  <c r="CB77" i="14" s="1"/>
  <c r="CB78" i="14" s="1"/>
  <c r="BV40" i="14"/>
  <c r="BV41" i="14" s="1"/>
  <c r="BV42" i="14" s="1"/>
  <c r="BV43" i="14" s="1"/>
  <c r="BV44" i="14" s="1"/>
  <c r="BV45" i="14" s="1"/>
  <c r="BV46" i="14" s="1"/>
  <c r="BV47" i="14" s="1"/>
  <c r="BV48" i="14" s="1"/>
  <c r="BV49" i="14" s="1"/>
  <c r="BV50" i="14" s="1"/>
  <c r="BV51" i="14" s="1"/>
  <c r="BV52" i="14" s="1"/>
  <c r="BV53" i="14" s="1"/>
  <c r="BV14" i="14"/>
  <c r="BV15" i="14" s="1"/>
  <c r="BV16" i="14" s="1"/>
  <c r="BV17" i="14" s="1"/>
  <c r="BV18" i="14" s="1"/>
  <c r="BV19" i="14" s="1"/>
  <c r="BV20" i="14" s="1"/>
  <c r="BV21" i="14" s="1"/>
  <c r="BV22" i="14" s="1"/>
  <c r="BV23" i="14" s="1"/>
  <c r="BV24" i="14" s="1"/>
  <c r="BV25" i="14" s="1"/>
  <c r="BV26" i="14" s="1"/>
  <c r="BV27" i="14" s="1"/>
  <c r="AX115" i="14"/>
  <c r="AX116" i="14" s="1"/>
  <c r="AX117" i="14" s="1"/>
  <c r="AX118" i="14" s="1"/>
  <c r="AX119" i="14" s="1"/>
  <c r="AX120" i="14" s="1"/>
  <c r="AX121" i="14" s="1"/>
  <c r="AX122" i="14" s="1"/>
  <c r="AX123" i="14" s="1"/>
  <c r="AX124" i="14" s="1"/>
  <c r="AX125" i="14" s="1"/>
  <c r="AX126" i="14" s="1"/>
  <c r="AX127" i="14" s="1"/>
  <c r="AX128" i="14" s="1"/>
  <c r="AX90" i="14"/>
  <c r="AX91" i="14" s="1"/>
  <c r="AX92" i="14" s="1"/>
  <c r="AX93" i="14" s="1"/>
  <c r="AX94" i="14" s="1"/>
  <c r="AX95" i="14" s="1"/>
  <c r="AX96" i="14" s="1"/>
  <c r="AX97" i="14" s="1"/>
  <c r="AX98" i="14" s="1"/>
  <c r="AX99" i="14" s="1"/>
  <c r="AX100" i="14" s="1"/>
  <c r="AX101" i="14" s="1"/>
  <c r="AX102" i="14" s="1"/>
  <c r="AX103" i="14" s="1"/>
  <c r="BB65" i="14"/>
  <c r="BB66" i="14" s="1"/>
  <c r="BB67" i="14" s="1"/>
  <c r="BB68" i="14" s="1"/>
  <c r="BB69" i="14" s="1"/>
  <c r="BB70" i="14" s="1"/>
  <c r="BB71" i="14" s="1"/>
  <c r="BB72" i="14" s="1"/>
  <c r="BB73" i="14" s="1"/>
  <c r="BB74" i="14" s="1"/>
  <c r="BB75" i="14" s="1"/>
  <c r="BB76" i="14" s="1"/>
  <c r="BB77" i="14" s="1"/>
  <c r="BB78" i="14" s="1"/>
  <c r="AX40" i="14"/>
  <c r="AX41" i="14" s="1"/>
  <c r="AX42" i="14" s="1"/>
  <c r="AX43" i="14" s="1"/>
  <c r="AX44" i="14" s="1"/>
  <c r="AX45" i="14" s="1"/>
  <c r="AX46" i="14" s="1"/>
  <c r="AX47" i="14" s="1"/>
  <c r="AX48" i="14" s="1"/>
  <c r="AX49" i="14" s="1"/>
  <c r="AX50" i="14" s="1"/>
  <c r="AX51" i="14" s="1"/>
  <c r="AX52" i="14" s="1"/>
  <c r="AX53" i="14" s="1"/>
  <c r="AX14" i="14"/>
  <c r="AX15" i="14" s="1"/>
  <c r="AX16" i="14" s="1"/>
  <c r="AX17" i="14" s="1"/>
  <c r="AX18" i="14" s="1"/>
  <c r="AX19" i="14" s="1"/>
  <c r="AX20" i="14" s="1"/>
  <c r="AX21" i="14" s="1"/>
  <c r="AX22" i="14" s="1"/>
  <c r="AX23" i="14" s="1"/>
  <c r="AX24" i="14" s="1"/>
  <c r="AX25" i="14" s="1"/>
  <c r="AX26" i="14" s="1"/>
  <c r="AX27" i="14" s="1"/>
  <c r="Z14" i="14"/>
  <c r="Z15" i="14" s="1"/>
  <c r="Z16" i="14" s="1"/>
  <c r="Z17" i="14" s="1"/>
  <c r="Z18" i="14" s="1"/>
  <c r="Z19" i="14" s="1"/>
  <c r="Z20" i="14" s="1"/>
  <c r="Z21" i="14" s="1"/>
  <c r="Z22" i="14" s="1"/>
  <c r="Z23" i="14" s="1"/>
  <c r="Z24" i="14" s="1"/>
  <c r="Z25" i="14" s="1"/>
  <c r="Z26" i="14" s="1"/>
  <c r="Z27" i="14" s="1"/>
  <c r="Z40" i="14"/>
  <c r="Z41" i="14" s="1"/>
  <c r="Z42" i="14" s="1"/>
  <c r="Z43" i="14" s="1"/>
  <c r="Z44" i="14" s="1"/>
  <c r="Z45" i="14" s="1"/>
  <c r="Z46" i="14" s="1"/>
  <c r="Z47" i="14" s="1"/>
  <c r="Z48" i="14" s="1"/>
  <c r="Z49" i="14" s="1"/>
  <c r="Z50" i="14" s="1"/>
  <c r="Z51" i="14" s="1"/>
  <c r="Z52" i="14" s="1"/>
  <c r="Z53" i="14" s="1"/>
  <c r="AB65" i="14"/>
  <c r="AB66" i="14" s="1"/>
  <c r="AB67" i="14" s="1"/>
  <c r="AB68" i="14" s="1"/>
  <c r="AB69" i="14" s="1"/>
  <c r="AB70" i="14" s="1"/>
  <c r="AB71" i="14" s="1"/>
  <c r="AB72" i="14" s="1"/>
  <c r="AB73" i="14" s="1"/>
  <c r="AB74" i="14" s="1"/>
  <c r="AB75" i="14" s="1"/>
  <c r="AB76" i="14" s="1"/>
  <c r="AB77" i="14" s="1"/>
  <c r="AB78" i="14" s="1"/>
  <c r="Z90" i="14"/>
  <c r="Z91" i="14" s="1"/>
  <c r="Z92" i="14" s="1"/>
  <c r="Z93" i="14" s="1"/>
  <c r="Z94" i="14" s="1"/>
  <c r="Z95" i="14" s="1"/>
  <c r="Z96" i="14" s="1"/>
  <c r="Z97" i="14" s="1"/>
  <c r="Z98" i="14" s="1"/>
  <c r="Z99" i="14" s="1"/>
  <c r="Z100" i="14" s="1"/>
  <c r="Z101" i="14" s="1"/>
  <c r="Z102" i="14" s="1"/>
  <c r="Z103" i="14" s="1"/>
  <c r="Z115" i="14"/>
  <c r="Z116" i="14" s="1"/>
  <c r="Z117" i="14" s="1"/>
  <c r="Z118" i="14" s="1"/>
  <c r="Z119" i="14" s="1"/>
  <c r="Z120" i="14" s="1"/>
  <c r="Z121" i="14" s="1"/>
  <c r="Z122" i="14" s="1"/>
  <c r="Z123" i="14" s="1"/>
  <c r="Z124" i="14" s="1"/>
  <c r="Z125" i="14" s="1"/>
  <c r="Z126" i="14" s="1"/>
  <c r="Z127" i="14" s="1"/>
  <c r="Z128" i="14" s="1"/>
  <c r="B115" i="14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90" i="14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65" i="14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40" i="14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14" i="14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CT14" i="13"/>
  <c r="CT15" i="13" s="1"/>
  <c r="CT16" i="13" s="1"/>
  <c r="CT17" i="13" s="1"/>
  <c r="CT18" i="13" s="1"/>
  <c r="CT19" i="13" s="1"/>
  <c r="CT20" i="13" s="1"/>
  <c r="CT21" i="13" s="1"/>
  <c r="CT22" i="13" s="1"/>
  <c r="CT23" i="13" s="1"/>
  <c r="CT24" i="13" s="1"/>
  <c r="CT25" i="13" s="1"/>
  <c r="CT26" i="13" s="1"/>
  <c r="CT27" i="13" s="1"/>
  <c r="CT40" i="13"/>
  <c r="CT41" i="13" s="1"/>
  <c r="CT42" i="13" s="1"/>
  <c r="CT43" i="13" s="1"/>
  <c r="CT44" i="13" s="1"/>
  <c r="CT45" i="13" s="1"/>
  <c r="CT46" i="13" s="1"/>
  <c r="CT47" i="13" s="1"/>
  <c r="CT48" i="13" s="1"/>
  <c r="CT49" i="13" s="1"/>
  <c r="CT50" i="13" s="1"/>
  <c r="CT51" i="13" s="1"/>
  <c r="CT52" i="13" s="1"/>
  <c r="CT53" i="13" s="1"/>
  <c r="DB65" i="13"/>
  <c r="DB66" i="13" s="1"/>
  <c r="DB67" i="13" s="1"/>
  <c r="DB68" i="13" s="1"/>
  <c r="DB69" i="13" s="1"/>
  <c r="DB70" i="13" s="1"/>
  <c r="DB71" i="13" s="1"/>
  <c r="DB72" i="13" s="1"/>
  <c r="DB73" i="13" s="1"/>
  <c r="DB74" i="13" s="1"/>
  <c r="DB75" i="13" s="1"/>
  <c r="DB76" i="13" s="1"/>
  <c r="DB77" i="13" s="1"/>
  <c r="DB78" i="13" s="1"/>
  <c r="CT90" i="13"/>
  <c r="CT91" i="13" s="1"/>
  <c r="CT92" i="13" s="1"/>
  <c r="CT93" i="13" s="1"/>
  <c r="CT94" i="13" s="1"/>
  <c r="CT95" i="13" s="1"/>
  <c r="CT96" i="13" s="1"/>
  <c r="CT97" i="13" s="1"/>
  <c r="CT98" i="13" s="1"/>
  <c r="CT99" i="13" s="1"/>
  <c r="CT100" i="13" s="1"/>
  <c r="CT101" i="13" s="1"/>
  <c r="CT102" i="13" s="1"/>
  <c r="CT103" i="13" s="1"/>
  <c r="D8" i="5" l="1"/>
  <c r="E98" i="5" l="1"/>
  <c r="F80" i="5"/>
  <c r="S23" i="2" s="1"/>
  <c r="G80" i="5"/>
  <c r="Z23" i="2" s="1"/>
  <c r="E65" i="5"/>
  <c r="L20" i="2" s="1"/>
  <c r="E94" i="5"/>
  <c r="L45" i="2" s="1"/>
  <c r="D94" i="5"/>
  <c r="E45" i="2" s="1"/>
  <c r="E84" i="5"/>
  <c r="F87" i="5"/>
  <c r="S29" i="2" s="1"/>
  <c r="E80" i="5"/>
  <c r="L23" i="2" s="1"/>
  <c r="E87" i="5"/>
  <c r="L29" i="2" s="1"/>
  <c r="F98" i="5"/>
  <c r="G83" i="5"/>
  <c r="Z25" i="2" s="1"/>
  <c r="G87" i="5"/>
  <c r="Z29" i="2" s="1"/>
  <c r="D84" i="5"/>
  <c r="F95" i="5"/>
  <c r="F83" i="5"/>
  <c r="S25" i="2" s="1"/>
  <c r="E83" i="5"/>
  <c r="G97" i="5"/>
  <c r="Z61" i="2" s="1"/>
  <c r="D87" i="5"/>
  <c r="E29" i="2" s="1"/>
  <c r="G98" i="5"/>
  <c r="E85" i="5"/>
  <c r="L26" i="2" s="1"/>
  <c r="F84" i="5"/>
  <c r="G84" i="5"/>
  <c r="CP114" i="16"/>
  <c r="CP115" i="16" s="1"/>
  <c r="CP116" i="16" s="1"/>
  <c r="CP117" i="16" s="1"/>
  <c r="CP118" i="16" s="1"/>
  <c r="CP119" i="16" s="1"/>
  <c r="CT115" i="13"/>
  <c r="CT116" i="13" s="1"/>
  <c r="CT117" i="13" s="1"/>
  <c r="CT118" i="13" s="1"/>
  <c r="CP89" i="16"/>
  <c r="CP90" i="16" s="1"/>
  <c r="CP91" i="16" s="1"/>
  <c r="CP92" i="16" s="1"/>
  <c r="CP93" i="16" s="1"/>
  <c r="J45" i="2" l="1"/>
  <c r="K45" i="2" s="1"/>
  <c r="K15" i="10"/>
  <c r="U15" i="10" s="1"/>
  <c r="K14" i="10"/>
  <c r="K41" i="10"/>
  <c r="K40" i="10"/>
  <c r="Q45" i="2"/>
  <c r="R45" i="2" s="1"/>
  <c r="S102" i="10"/>
  <c r="S105" i="10"/>
  <c r="S96" i="10"/>
  <c r="S104" i="10"/>
  <c r="S99" i="10"/>
  <c r="S106" i="10"/>
  <c r="S92" i="10"/>
  <c r="S93" i="10"/>
  <c r="AE61" i="2"/>
  <c r="AF61" i="2" s="1"/>
  <c r="S94" i="10"/>
  <c r="S101" i="10"/>
  <c r="S95" i="10"/>
  <c r="S98" i="10"/>
  <c r="S103" i="10"/>
  <c r="S100" i="10"/>
  <c r="S97" i="10"/>
  <c r="E93" i="5"/>
  <c r="L46" i="2" s="1"/>
  <c r="L25" i="2"/>
  <c r="CT119" i="13"/>
  <c r="CT120" i="13" s="1"/>
  <c r="CT121" i="13" s="1"/>
  <c r="CT122" i="13" s="1"/>
  <c r="CT123" i="13" s="1"/>
  <c r="CP120" i="16"/>
  <c r="CP94" i="16"/>
  <c r="DB64" i="16"/>
  <c r="DB65" i="16" s="1"/>
  <c r="DB66" i="16" s="1"/>
  <c r="DL61" i="16"/>
  <c r="DK61" i="16"/>
  <c r="CL61" i="16"/>
  <c r="CK61" i="16"/>
  <c r="BL61" i="16"/>
  <c r="BK61" i="16"/>
  <c r="AL61" i="16"/>
  <c r="AK61" i="16"/>
  <c r="L61" i="16"/>
  <c r="K61" i="16"/>
  <c r="DL61" i="15"/>
  <c r="DK61" i="15"/>
  <c r="CL61" i="15"/>
  <c r="CK61" i="15"/>
  <c r="BL61" i="15"/>
  <c r="BK61" i="15"/>
  <c r="AL61" i="15"/>
  <c r="AK61" i="15"/>
  <c r="L61" i="15"/>
  <c r="K61" i="15"/>
  <c r="DL61" i="14"/>
  <c r="DK61" i="14"/>
  <c r="CL61" i="14"/>
  <c r="CK61" i="14"/>
  <c r="BL61" i="14"/>
  <c r="BK61" i="14"/>
  <c r="AL61" i="14"/>
  <c r="AK61" i="14"/>
  <c r="L61" i="14"/>
  <c r="K61" i="14"/>
  <c r="G5" i="18"/>
  <c r="H5" i="18"/>
  <c r="D5" i="18"/>
  <c r="L41" i="10" l="1"/>
  <c r="L40" i="10"/>
  <c r="Q46" i="2"/>
  <c r="R46" i="2" s="1"/>
  <c r="AG90" i="15"/>
  <c r="CC90" i="14"/>
  <c r="DA90" i="14"/>
  <c r="AG90" i="14"/>
  <c r="BC90" i="16"/>
  <c r="BE90" i="14"/>
  <c r="AG90" i="13"/>
  <c r="I90" i="14"/>
  <c r="CC90" i="15"/>
  <c r="CW90" i="16"/>
  <c r="BZ90" i="16"/>
  <c r="BE90" i="15"/>
  <c r="I90" i="13"/>
  <c r="AF90" i="16"/>
  <c r="DA90" i="13"/>
  <c r="CC90" i="13"/>
  <c r="BE90" i="13"/>
  <c r="DA90" i="15"/>
  <c r="I90" i="15"/>
  <c r="I90" i="16"/>
  <c r="W15" i="10"/>
  <c r="D8" i="17"/>
  <c r="D12" i="17"/>
  <c r="D16" i="17"/>
  <c r="D20" i="17"/>
  <c r="D10" i="17"/>
  <c r="D18" i="17"/>
  <c r="D11" i="17"/>
  <c r="D19" i="17"/>
  <c r="D9" i="17"/>
  <c r="D13" i="17"/>
  <c r="D17" i="17"/>
  <c r="D21" i="17"/>
  <c r="D14" i="17"/>
  <c r="D22" i="17"/>
  <c r="D15" i="17"/>
  <c r="D7" i="17"/>
  <c r="CP121" i="16"/>
  <c r="CT124" i="13"/>
  <c r="CP95" i="16"/>
  <c r="DB67" i="16"/>
  <c r="DB68" i="16" s="1"/>
  <c r="D35" i="7"/>
  <c r="D34" i="7"/>
  <c r="D33" i="7"/>
  <c r="V33" i="7" s="1"/>
  <c r="D32" i="7"/>
  <c r="D31" i="7"/>
  <c r="D30" i="7"/>
  <c r="D29" i="7"/>
  <c r="D28" i="7"/>
  <c r="D27" i="7"/>
  <c r="V27" i="7" s="1"/>
  <c r="D26" i="7"/>
  <c r="Q26" i="7" s="1"/>
  <c r="D25" i="7"/>
  <c r="D24" i="7"/>
  <c r="D23" i="7"/>
  <c r="D22" i="7"/>
  <c r="D21" i="7"/>
  <c r="D20" i="7"/>
  <c r="D19" i="7"/>
  <c r="D18" i="7"/>
  <c r="D16" i="7"/>
  <c r="D15" i="7"/>
  <c r="D17" i="7" s="1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19" i="7"/>
  <c r="C18" i="7"/>
  <c r="C16" i="7"/>
  <c r="C15" i="7"/>
  <c r="C17" i="7" s="1"/>
  <c r="F25" i="22"/>
  <c r="G25" i="22"/>
  <c r="E25" i="22"/>
  <c r="D25" i="22"/>
  <c r="D159" i="3"/>
  <c r="D154" i="3"/>
  <c r="D151" i="3"/>
  <c r="D146" i="3"/>
  <c r="D145" i="3"/>
  <c r="C159" i="3"/>
  <c r="C158" i="3"/>
  <c r="C157" i="3"/>
  <c r="C156" i="3"/>
  <c r="C155" i="3"/>
  <c r="C154" i="3"/>
  <c r="C153" i="3"/>
  <c r="C152" i="3"/>
  <c r="C150" i="3"/>
  <c r="C149" i="3"/>
  <c r="C148" i="3"/>
  <c r="C147" i="3"/>
  <c r="C146" i="3"/>
  <c r="C145" i="3"/>
  <c r="D140" i="3"/>
  <c r="D139" i="3"/>
  <c r="D138" i="3"/>
  <c r="D137" i="3"/>
  <c r="C140" i="3"/>
  <c r="C139" i="3"/>
  <c r="C138" i="3"/>
  <c r="C137" i="3"/>
  <c r="D133" i="3"/>
  <c r="D125" i="3"/>
  <c r="D121" i="3"/>
  <c r="D119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D112" i="3"/>
  <c r="D111" i="3"/>
  <c r="D110" i="3"/>
  <c r="D109" i="3"/>
  <c r="C115" i="3"/>
  <c r="C114" i="3"/>
  <c r="C113" i="3"/>
  <c r="C112" i="3"/>
  <c r="C111" i="3"/>
  <c r="C110" i="3"/>
  <c r="C109" i="3"/>
  <c r="C108" i="3"/>
  <c r="D104" i="3"/>
  <c r="D103" i="3"/>
  <c r="D99" i="3"/>
  <c r="D98" i="3"/>
  <c r="D96" i="3"/>
  <c r="D95" i="3"/>
  <c r="D94" i="3"/>
  <c r="D93" i="3"/>
  <c r="D90" i="3"/>
  <c r="L90" i="3" s="1"/>
  <c r="D89" i="3"/>
  <c r="D87" i="3"/>
  <c r="D86" i="3"/>
  <c r="D85" i="3"/>
  <c r="D84" i="3"/>
  <c r="C103" i="3"/>
  <c r="C102" i="3"/>
  <c r="AA102" i="3" s="1"/>
  <c r="C101" i="3"/>
  <c r="C100" i="3"/>
  <c r="C99" i="3"/>
  <c r="C98" i="3"/>
  <c r="C97" i="3"/>
  <c r="C96" i="3"/>
  <c r="V96" i="3" s="1"/>
  <c r="C95" i="3"/>
  <c r="C94" i="3"/>
  <c r="C93" i="3"/>
  <c r="C92" i="3"/>
  <c r="C91" i="3"/>
  <c r="C90" i="3"/>
  <c r="C89" i="3"/>
  <c r="C88" i="3"/>
  <c r="C84" i="3"/>
  <c r="C86" i="3" s="1"/>
  <c r="D78" i="3"/>
  <c r="D75" i="3"/>
  <c r="D74" i="3"/>
  <c r="C80" i="3"/>
  <c r="C79" i="3"/>
  <c r="C78" i="3"/>
  <c r="C77" i="3"/>
  <c r="C74" i="3"/>
  <c r="C76" i="3" s="1"/>
  <c r="D70" i="3"/>
  <c r="D69" i="3"/>
  <c r="D66" i="3"/>
  <c r="D64" i="3"/>
  <c r="D63" i="3"/>
  <c r="D61" i="3"/>
  <c r="D60" i="3"/>
  <c r="D59" i="3"/>
  <c r="D58" i="3"/>
  <c r="D57" i="3"/>
  <c r="V57" i="3" s="1"/>
  <c r="D56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2" i="3"/>
  <c r="C51" i="3"/>
  <c r="D44" i="3"/>
  <c r="D42" i="3"/>
  <c r="D41" i="3"/>
  <c r="D38" i="3"/>
  <c r="C47" i="3"/>
  <c r="C46" i="3"/>
  <c r="C45" i="3"/>
  <c r="C44" i="3"/>
  <c r="C43" i="3"/>
  <c r="C42" i="3"/>
  <c r="C41" i="3"/>
  <c r="C40" i="3"/>
  <c r="C38" i="3"/>
  <c r="C39" i="3" s="1"/>
  <c r="D34" i="3"/>
  <c r="D33" i="3"/>
  <c r="D32" i="3"/>
  <c r="D31" i="3"/>
  <c r="D30" i="3"/>
  <c r="Q30" i="3" s="1"/>
  <c r="D29" i="3"/>
  <c r="D28" i="3"/>
  <c r="D27" i="3"/>
  <c r="D26" i="3"/>
  <c r="D25" i="3"/>
  <c r="V25" i="3" s="1"/>
  <c r="D24" i="3"/>
  <c r="D23" i="3"/>
  <c r="D22" i="3"/>
  <c r="D21" i="3"/>
  <c r="C34" i="3"/>
  <c r="C33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D20" i="3"/>
  <c r="D19" i="3"/>
  <c r="C18" i="3"/>
  <c r="C17" i="3"/>
  <c r="D17" i="3"/>
  <c r="D15" i="3"/>
  <c r="D14" i="3"/>
  <c r="D16" i="3" s="1"/>
  <c r="C15" i="3"/>
  <c r="C14" i="3"/>
  <c r="C16" i="3" s="1"/>
  <c r="F50" i="21"/>
  <c r="D50" i="21"/>
  <c r="D36" i="21"/>
  <c r="D35" i="21"/>
  <c r="D12" i="18"/>
  <c r="AA32" i="3" l="1"/>
  <c r="V32" i="3"/>
  <c r="Q104" i="3"/>
  <c r="V104" i="3"/>
  <c r="Q21" i="7"/>
  <c r="G21" i="7"/>
  <c r="V21" i="7"/>
  <c r="L21" i="7"/>
  <c r="S30" i="3"/>
  <c r="AC67" i="3"/>
  <c r="I34" i="1"/>
  <c r="I36" i="1" s="1"/>
  <c r="F34" i="1"/>
  <c r="F36" i="1" s="1"/>
  <c r="E34" i="1"/>
  <c r="E36" i="1" s="1"/>
  <c r="H34" i="1"/>
  <c r="H36" i="1" s="1"/>
  <c r="G34" i="1"/>
  <c r="G36" i="1" s="1"/>
  <c r="G31" i="1"/>
  <c r="G33" i="1" s="1"/>
  <c r="H31" i="1"/>
  <c r="H33" i="1" s="1"/>
  <c r="F31" i="1"/>
  <c r="F33" i="1" s="1"/>
  <c r="I31" i="1"/>
  <c r="I33" i="1" s="1"/>
  <c r="E31" i="1"/>
  <c r="E33" i="1" s="1"/>
  <c r="I28" i="1"/>
  <c r="I30" i="1" s="1"/>
  <c r="H28" i="1"/>
  <c r="H30" i="1" s="1"/>
  <c r="H37" i="1" s="1"/>
  <c r="G44" i="21" s="1"/>
  <c r="F28" i="1"/>
  <c r="F30" i="1" s="1"/>
  <c r="E28" i="1"/>
  <c r="E30" i="1" s="1"/>
  <c r="G28" i="1"/>
  <c r="G30" i="1" s="1"/>
  <c r="E36" i="2"/>
  <c r="J38" i="2" s="1"/>
  <c r="K38" i="2" s="1"/>
  <c r="S54" i="2"/>
  <c r="Z36" i="2"/>
  <c r="AE38" i="2" s="1"/>
  <c r="AF38" i="2" s="1"/>
  <c r="E54" i="2"/>
  <c r="S36" i="2"/>
  <c r="X38" i="2" s="1"/>
  <c r="Y38" i="2" s="1"/>
  <c r="L54" i="2"/>
  <c r="L36" i="2"/>
  <c r="Q38" i="2" s="1"/>
  <c r="R38" i="2" s="1"/>
  <c r="Z54" i="2"/>
  <c r="L33" i="2"/>
  <c r="Q35" i="2" s="1"/>
  <c r="R35" i="2" s="1"/>
  <c r="S51" i="2"/>
  <c r="E33" i="2"/>
  <c r="J35" i="2" s="1"/>
  <c r="K35" i="2" s="1"/>
  <c r="E51" i="2"/>
  <c r="Z33" i="2"/>
  <c r="AE35" i="2" s="1"/>
  <c r="AF35" i="2" s="1"/>
  <c r="Z51" i="2"/>
  <c r="L51" i="2"/>
  <c r="S33" i="2"/>
  <c r="X35" i="2" s="1"/>
  <c r="Y35" i="2" s="1"/>
  <c r="E30" i="2"/>
  <c r="J32" i="2" s="1"/>
  <c r="Z30" i="2"/>
  <c r="AE32" i="2" s="1"/>
  <c r="L30" i="2"/>
  <c r="Q32" i="2" s="1"/>
  <c r="S30" i="2"/>
  <c r="X32" i="2" s="1"/>
  <c r="L48" i="2"/>
  <c r="E48" i="2"/>
  <c r="AA25" i="3"/>
  <c r="AC39" i="3"/>
  <c r="AC25" i="3"/>
  <c r="Q39" i="3"/>
  <c r="AA39" i="3"/>
  <c r="AC32" i="3"/>
  <c r="X96" i="3"/>
  <c r="AC102" i="3"/>
  <c r="S39" i="3"/>
  <c r="S104" i="3"/>
  <c r="F9" i="18"/>
  <c r="DE76" i="16"/>
  <c r="DE66" i="16"/>
  <c r="CE76" i="16"/>
  <c r="CE66" i="16"/>
  <c r="BE76" i="16"/>
  <c r="BE66" i="16"/>
  <c r="AE76" i="16"/>
  <c r="AE66" i="16"/>
  <c r="E76" i="16"/>
  <c r="E66" i="16"/>
  <c r="DE76" i="15"/>
  <c r="DE66" i="15"/>
  <c r="CE76" i="15"/>
  <c r="CE66" i="15"/>
  <c r="BE76" i="15"/>
  <c r="BE66" i="15"/>
  <c r="AE76" i="15"/>
  <c r="AE66" i="15"/>
  <c r="E76" i="15"/>
  <c r="E66" i="15"/>
  <c r="DE71" i="16"/>
  <c r="CE71" i="16"/>
  <c r="BE71" i="16"/>
  <c r="AE71" i="16"/>
  <c r="E71" i="16"/>
  <c r="DE71" i="15"/>
  <c r="CE71" i="15"/>
  <c r="BE71" i="15"/>
  <c r="AE71" i="15"/>
  <c r="E71" i="15"/>
  <c r="AE71" i="14"/>
  <c r="BE71" i="14"/>
  <c r="CE71" i="14"/>
  <c r="DE71" i="14"/>
  <c r="DE71" i="13"/>
  <c r="CE71" i="13"/>
  <c r="BE71" i="13"/>
  <c r="AE71" i="13"/>
  <c r="E71" i="13"/>
  <c r="E76" i="14"/>
  <c r="E66" i="14"/>
  <c r="AE66" i="14"/>
  <c r="E71" i="14"/>
  <c r="AE76" i="14"/>
  <c r="CE76" i="14"/>
  <c r="DE76" i="14"/>
  <c r="DE76" i="13"/>
  <c r="AE66" i="13"/>
  <c r="E76" i="13"/>
  <c r="CE66" i="13"/>
  <c r="BE66" i="13"/>
  <c r="BE76" i="14"/>
  <c r="BE66" i="14"/>
  <c r="CE66" i="14"/>
  <c r="DE66" i="14"/>
  <c r="DE66" i="13"/>
  <c r="CE76" i="13"/>
  <c r="E66" i="13"/>
  <c r="BE76" i="13"/>
  <c r="AE76" i="13"/>
  <c r="E9" i="18"/>
  <c r="DE72" i="16"/>
  <c r="CE72" i="16"/>
  <c r="BE72" i="16"/>
  <c r="AE72" i="16"/>
  <c r="E72" i="16"/>
  <c r="DE72" i="15"/>
  <c r="CE72" i="15"/>
  <c r="BE72" i="15"/>
  <c r="AE72" i="15"/>
  <c r="E72" i="15"/>
  <c r="DE77" i="16"/>
  <c r="DE67" i="16"/>
  <c r="CE77" i="16"/>
  <c r="CE67" i="16"/>
  <c r="BE77" i="16"/>
  <c r="BE67" i="16"/>
  <c r="AE77" i="16"/>
  <c r="AE67" i="16"/>
  <c r="E77" i="16"/>
  <c r="E67" i="16"/>
  <c r="DE77" i="15"/>
  <c r="DE67" i="15"/>
  <c r="CE77" i="15"/>
  <c r="CE67" i="15"/>
  <c r="BE77" i="15"/>
  <c r="BE67" i="15"/>
  <c r="AE77" i="15"/>
  <c r="AE67" i="15"/>
  <c r="E77" i="15"/>
  <c r="E67" i="15"/>
  <c r="AE67" i="14"/>
  <c r="BE67" i="14"/>
  <c r="CE67" i="14"/>
  <c r="DE67" i="14"/>
  <c r="DE67" i="13"/>
  <c r="CE67" i="13"/>
  <c r="BE67" i="13"/>
  <c r="AE67" i="13"/>
  <c r="E67" i="13"/>
  <c r="E72" i="14"/>
  <c r="AE77" i="14"/>
  <c r="BE77" i="14"/>
  <c r="CE77" i="14"/>
  <c r="DE77" i="14"/>
  <c r="DE77" i="13"/>
  <c r="CE77" i="13"/>
  <c r="BE77" i="13"/>
  <c r="AE77" i="13"/>
  <c r="E77" i="13"/>
  <c r="E77" i="14"/>
  <c r="E67" i="14"/>
  <c r="BE72" i="13"/>
  <c r="BE72" i="14"/>
  <c r="CE72" i="14"/>
  <c r="DE72" i="14"/>
  <c r="DE72" i="13"/>
  <c r="E72" i="13"/>
  <c r="AE72" i="13"/>
  <c r="AE72" i="14"/>
  <c r="CE72" i="13"/>
  <c r="G9" i="18"/>
  <c r="DE74" i="16"/>
  <c r="DH74" i="16" s="1"/>
  <c r="DE64" i="16"/>
  <c r="DH64" i="16" s="1"/>
  <c r="CE74" i="16"/>
  <c r="CH74" i="16" s="1"/>
  <c r="CE64" i="16"/>
  <c r="CH64" i="16" s="1"/>
  <c r="BE74" i="16"/>
  <c r="BH74" i="16" s="1"/>
  <c r="BE64" i="16"/>
  <c r="BH64" i="16" s="1"/>
  <c r="AE74" i="16"/>
  <c r="AH74" i="16" s="1"/>
  <c r="AE64" i="16"/>
  <c r="AH64" i="16" s="1"/>
  <c r="E74" i="16"/>
  <c r="H74" i="16" s="1"/>
  <c r="E64" i="16"/>
  <c r="H64" i="16" s="1"/>
  <c r="DE74" i="15"/>
  <c r="DH74" i="15" s="1"/>
  <c r="DE64" i="15"/>
  <c r="DH64" i="15" s="1"/>
  <c r="CE74" i="15"/>
  <c r="CH74" i="15" s="1"/>
  <c r="CE64" i="15"/>
  <c r="CH64" i="15" s="1"/>
  <c r="BE74" i="15"/>
  <c r="BH74" i="15" s="1"/>
  <c r="BE64" i="15"/>
  <c r="BH64" i="15" s="1"/>
  <c r="AE74" i="15"/>
  <c r="AH74" i="15" s="1"/>
  <c r="AE64" i="15"/>
  <c r="AH64" i="15" s="1"/>
  <c r="E74" i="15"/>
  <c r="E64" i="15"/>
  <c r="DE69" i="16"/>
  <c r="DH69" i="16" s="1"/>
  <c r="CE69" i="16"/>
  <c r="CH69" i="16" s="1"/>
  <c r="BE69" i="16"/>
  <c r="BH69" i="16" s="1"/>
  <c r="AE69" i="16"/>
  <c r="AH69" i="16" s="1"/>
  <c r="E69" i="16"/>
  <c r="H69" i="16" s="1"/>
  <c r="DE69" i="15"/>
  <c r="DH69" i="15" s="1"/>
  <c r="CE69" i="15"/>
  <c r="CH69" i="15" s="1"/>
  <c r="BE69" i="15"/>
  <c r="BH69" i="15" s="1"/>
  <c r="AE69" i="15"/>
  <c r="AH69" i="15" s="1"/>
  <c r="E69" i="15"/>
  <c r="E74" i="14"/>
  <c r="H74" i="14" s="1"/>
  <c r="E64" i="14"/>
  <c r="H64" i="14" s="1"/>
  <c r="AE74" i="14"/>
  <c r="AH74" i="14" s="1"/>
  <c r="BE74" i="14"/>
  <c r="BH74" i="14" s="1"/>
  <c r="AE69" i="14"/>
  <c r="AH69" i="14" s="1"/>
  <c r="BE69" i="14"/>
  <c r="BH69" i="14" s="1"/>
  <c r="CE69" i="14"/>
  <c r="CH69" i="14" s="1"/>
  <c r="DE69" i="14"/>
  <c r="DH69" i="14" s="1"/>
  <c r="DE69" i="13"/>
  <c r="DH69" i="13" s="1"/>
  <c r="CE69" i="13"/>
  <c r="CH69" i="13" s="1"/>
  <c r="BE69" i="13"/>
  <c r="BH69" i="13" s="1"/>
  <c r="AE69" i="13"/>
  <c r="AH69" i="13" s="1"/>
  <c r="E69" i="13"/>
  <c r="H69" i="13" s="1"/>
  <c r="E69" i="14"/>
  <c r="H69" i="14" s="1"/>
  <c r="AE64" i="14"/>
  <c r="AH64" i="14" s="1"/>
  <c r="BE64" i="13"/>
  <c r="BH64" i="13" s="1"/>
  <c r="AE74" i="13"/>
  <c r="AH74" i="13" s="1"/>
  <c r="CE64" i="13"/>
  <c r="CH64" i="13" s="1"/>
  <c r="CE74" i="14"/>
  <c r="CH74" i="14" s="1"/>
  <c r="DE74" i="14"/>
  <c r="DH74" i="14" s="1"/>
  <c r="DE74" i="13"/>
  <c r="DH74" i="13" s="1"/>
  <c r="AE64" i="13"/>
  <c r="AH64" i="13" s="1"/>
  <c r="E74" i="13"/>
  <c r="H74" i="13" s="1"/>
  <c r="BE64" i="14"/>
  <c r="BH64" i="14" s="1"/>
  <c r="CE64" i="14"/>
  <c r="CH64" i="14" s="1"/>
  <c r="DE64" i="14"/>
  <c r="DH64" i="14" s="1"/>
  <c r="DE64" i="13"/>
  <c r="DH64" i="13" s="1"/>
  <c r="CE74" i="13"/>
  <c r="CH74" i="13" s="1"/>
  <c r="E64" i="13"/>
  <c r="H64" i="13" s="1"/>
  <c r="BE74" i="13"/>
  <c r="BH74" i="13" s="1"/>
  <c r="Z48" i="2"/>
  <c r="S48" i="2"/>
  <c r="D9" i="18"/>
  <c r="E8" i="17" s="1"/>
  <c r="DE78" i="16"/>
  <c r="DH78" i="16" s="1"/>
  <c r="DE68" i="16"/>
  <c r="DH68" i="16" s="1"/>
  <c r="CE78" i="16"/>
  <c r="CH78" i="16" s="1"/>
  <c r="CE68" i="16"/>
  <c r="CH68" i="16" s="1"/>
  <c r="BE78" i="16"/>
  <c r="BH78" i="16" s="1"/>
  <c r="BE68" i="16"/>
  <c r="BH68" i="16" s="1"/>
  <c r="AE78" i="16"/>
  <c r="AH78" i="16" s="1"/>
  <c r="AE68" i="16"/>
  <c r="AH68" i="16" s="1"/>
  <c r="E78" i="16"/>
  <c r="H78" i="16" s="1"/>
  <c r="E68" i="16"/>
  <c r="H68" i="16" s="1"/>
  <c r="DE78" i="15"/>
  <c r="DH78" i="15" s="1"/>
  <c r="DE68" i="15"/>
  <c r="DH68" i="15" s="1"/>
  <c r="CE78" i="15"/>
  <c r="CH78" i="15" s="1"/>
  <c r="CE68" i="15"/>
  <c r="CH68" i="15" s="1"/>
  <c r="BE78" i="15"/>
  <c r="BH78" i="15" s="1"/>
  <c r="BE68" i="15"/>
  <c r="BH68" i="15" s="1"/>
  <c r="AE78" i="15"/>
  <c r="AH78" i="15" s="1"/>
  <c r="AE68" i="15"/>
  <c r="AH68" i="15" s="1"/>
  <c r="E78" i="15"/>
  <c r="H78" i="15" s="1"/>
  <c r="E68" i="15"/>
  <c r="H68" i="15" s="1"/>
  <c r="DE73" i="16"/>
  <c r="DH73" i="16" s="1"/>
  <c r="DE63" i="16"/>
  <c r="DH63" i="16" s="1"/>
  <c r="CE73" i="16"/>
  <c r="CH73" i="16" s="1"/>
  <c r="CE63" i="16"/>
  <c r="CH63" i="16" s="1"/>
  <c r="BE73" i="16"/>
  <c r="BH73" i="16" s="1"/>
  <c r="BE63" i="16"/>
  <c r="BH63" i="16" s="1"/>
  <c r="AE73" i="16"/>
  <c r="AH73" i="16" s="1"/>
  <c r="AE63" i="16"/>
  <c r="AH63" i="16" s="1"/>
  <c r="E73" i="16"/>
  <c r="H73" i="16" s="1"/>
  <c r="E63" i="16"/>
  <c r="H63" i="16" s="1"/>
  <c r="DE73" i="15"/>
  <c r="DH73" i="15" s="1"/>
  <c r="DE63" i="15"/>
  <c r="DH63" i="15" s="1"/>
  <c r="CE73" i="15"/>
  <c r="CH73" i="15" s="1"/>
  <c r="CE63" i="15"/>
  <c r="CH63" i="15" s="1"/>
  <c r="BE73" i="15"/>
  <c r="BH73" i="15" s="1"/>
  <c r="BE63" i="15"/>
  <c r="BH63" i="15" s="1"/>
  <c r="AE73" i="15"/>
  <c r="AH73" i="15" s="1"/>
  <c r="AE63" i="15"/>
  <c r="AH63" i="15" s="1"/>
  <c r="E73" i="15"/>
  <c r="H73" i="15" s="1"/>
  <c r="E63" i="15"/>
  <c r="H63" i="15" s="1"/>
  <c r="AE63" i="14"/>
  <c r="AH63" i="14" s="1"/>
  <c r="BE63" i="14"/>
  <c r="BH63" i="14" s="1"/>
  <c r="CE63" i="14"/>
  <c r="CH63" i="14" s="1"/>
  <c r="DE63" i="14"/>
  <c r="DH63" i="14" s="1"/>
  <c r="DE63" i="13"/>
  <c r="DH63" i="13" s="1"/>
  <c r="CE63" i="13"/>
  <c r="CH63" i="13" s="1"/>
  <c r="BE63" i="13"/>
  <c r="BH63" i="13" s="1"/>
  <c r="AE63" i="13"/>
  <c r="AH63" i="13" s="1"/>
  <c r="E63" i="13"/>
  <c r="H63" i="13" s="1"/>
  <c r="E78" i="14"/>
  <c r="H78" i="14" s="1"/>
  <c r="E68" i="14"/>
  <c r="H68" i="14" s="1"/>
  <c r="AE78" i="14"/>
  <c r="AH78" i="14" s="1"/>
  <c r="BE78" i="14"/>
  <c r="BH78" i="14" s="1"/>
  <c r="AE73" i="14"/>
  <c r="AH73" i="14" s="1"/>
  <c r="BE73" i="14"/>
  <c r="BH73" i="14" s="1"/>
  <c r="CE73" i="14"/>
  <c r="CH73" i="14" s="1"/>
  <c r="DE73" i="14"/>
  <c r="DH73" i="14" s="1"/>
  <c r="DE73" i="13"/>
  <c r="DH73" i="13" s="1"/>
  <c r="CE73" i="13"/>
  <c r="CH73" i="13" s="1"/>
  <c r="BE73" i="13"/>
  <c r="BH73" i="13" s="1"/>
  <c r="AE73" i="13"/>
  <c r="AH73" i="13" s="1"/>
  <c r="E73" i="13"/>
  <c r="H73" i="13" s="1"/>
  <c r="E73" i="14"/>
  <c r="H73" i="14" s="1"/>
  <c r="E63" i="14"/>
  <c r="H63" i="14" s="1"/>
  <c r="BE68" i="14"/>
  <c r="BH68" i="14" s="1"/>
  <c r="CE68" i="14"/>
  <c r="CH68" i="14" s="1"/>
  <c r="DE68" i="14"/>
  <c r="DH68" i="14" s="1"/>
  <c r="DE68" i="13"/>
  <c r="DH68" i="13" s="1"/>
  <c r="CE78" i="13"/>
  <c r="CH78" i="13" s="1"/>
  <c r="E68" i="13"/>
  <c r="H68" i="13" s="1"/>
  <c r="BE68" i="13"/>
  <c r="BH68" i="13" s="1"/>
  <c r="AE78" i="13"/>
  <c r="AH78" i="13" s="1"/>
  <c r="DE78" i="13"/>
  <c r="DH78" i="13" s="1"/>
  <c r="AE68" i="13"/>
  <c r="AH68" i="13" s="1"/>
  <c r="E78" i="13"/>
  <c r="H78" i="13" s="1"/>
  <c r="CE68" i="13"/>
  <c r="CH68" i="13" s="1"/>
  <c r="BE78" i="13"/>
  <c r="BH78" i="13" s="1"/>
  <c r="AE68" i="14"/>
  <c r="AH68" i="14" s="1"/>
  <c r="CE78" i="14"/>
  <c r="CH78" i="14" s="1"/>
  <c r="DE78" i="14"/>
  <c r="DH78" i="14" s="1"/>
  <c r="H9" i="18"/>
  <c r="DE70" i="16"/>
  <c r="DH70" i="16" s="1"/>
  <c r="CE70" i="16"/>
  <c r="CH70" i="16" s="1"/>
  <c r="BE70" i="16"/>
  <c r="BH70" i="16" s="1"/>
  <c r="AE70" i="16"/>
  <c r="AH70" i="16" s="1"/>
  <c r="E70" i="16"/>
  <c r="H70" i="16" s="1"/>
  <c r="DE70" i="15"/>
  <c r="DH70" i="15" s="1"/>
  <c r="CE70" i="15"/>
  <c r="CH70" i="15" s="1"/>
  <c r="BE70" i="15"/>
  <c r="BH70" i="15" s="1"/>
  <c r="AE70" i="15"/>
  <c r="AH70" i="15" s="1"/>
  <c r="E70" i="15"/>
  <c r="DE75" i="16"/>
  <c r="DH75" i="16" s="1"/>
  <c r="DE65" i="16"/>
  <c r="DH65" i="16" s="1"/>
  <c r="CE75" i="16"/>
  <c r="CH75" i="16" s="1"/>
  <c r="CE65" i="16"/>
  <c r="CH65" i="16" s="1"/>
  <c r="BE75" i="16"/>
  <c r="BH75" i="16" s="1"/>
  <c r="BE65" i="16"/>
  <c r="BH65" i="16" s="1"/>
  <c r="AE75" i="16"/>
  <c r="AH75" i="16" s="1"/>
  <c r="AE65" i="16"/>
  <c r="AH65" i="16" s="1"/>
  <c r="E75" i="16"/>
  <c r="H75" i="16" s="1"/>
  <c r="E65" i="16"/>
  <c r="H65" i="16" s="1"/>
  <c r="DE75" i="15"/>
  <c r="DH75" i="15" s="1"/>
  <c r="DE65" i="15"/>
  <c r="DH65" i="15" s="1"/>
  <c r="CE75" i="15"/>
  <c r="CH75" i="15" s="1"/>
  <c r="CE65" i="15"/>
  <c r="CH65" i="15" s="1"/>
  <c r="BE75" i="15"/>
  <c r="BH75" i="15" s="1"/>
  <c r="BE65" i="15"/>
  <c r="BH65" i="15" s="1"/>
  <c r="AE75" i="15"/>
  <c r="AH75" i="15" s="1"/>
  <c r="AE65" i="15"/>
  <c r="AH65" i="15" s="1"/>
  <c r="E75" i="15"/>
  <c r="E65" i="15"/>
  <c r="AE75" i="14"/>
  <c r="AH75" i="14" s="1"/>
  <c r="BE75" i="14"/>
  <c r="BH75" i="14" s="1"/>
  <c r="CE75" i="14"/>
  <c r="CH75" i="14" s="1"/>
  <c r="DE75" i="14"/>
  <c r="DH75" i="14" s="1"/>
  <c r="DE75" i="13"/>
  <c r="DH75" i="13" s="1"/>
  <c r="CE75" i="13"/>
  <c r="CH75" i="13" s="1"/>
  <c r="BE75" i="13"/>
  <c r="BH75" i="13" s="1"/>
  <c r="AE75" i="13"/>
  <c r="AH75" i="13" s="1"/>
  <c r="E75" i="13"/>
  <c r="H75" i="13" s="1"/>
  <c r="E70" i="14"/>
  <c r="H70" i="14" s="1"/>
  <c r="AE70" i="14"/>
  <c r="AH70" i="14" s="1"/>
  <c r="AE65" i="14"/>
  <c r="AH65" i="14" s="1"/>
  <c r="BE65" i="14"/>
  <c r="BH65" i="14" s="1"/>
  <c r="CE65" i="14"/>
  <c r="CH65" i="14" s="1"/>
  <c r="CP65" i="14" s="1"/>
  <c r="DE65" i="14"/>
  <c r="DH65" i="14" s="1"/>
  <c r="DE65" i="13"/>
  <c r="DH65" i="13" s="1"/>
  <c r="CE65" i="13"/>
  <c r="CH65" i="13" s="1"/>
  <c r="BE65" i="13"/>
  <c r="BH65" i="13" s="1"/>
  <c r="AE65" i="13"/>
  <c r="AH65" i="13" s="1"/>
  <c r="E65" i="13"/>
  <c r="H65" i="13" s="1"/>
  <c r="E75" i="14"/>
  <c r="H75" i="14" s="1"/>
  <c r="P75" i="14" s="1"/>
  <c r="E65" i="14"/>
  <c r="H65" i="14" s="1"/>
  <c r="P65" i="14" s="1"/>
  <c r="CE70" i="13"/>
  <c r="CH70" i="13" s="1"/>
  <c r="BE70" i="14"/>
  <c r="BH70" i="14" s="1"/>
  <c r="CE70" i="14"/>
  <c r="CH70" i="14" s="1"/>
  <c r="CP70" i="14" s="1"/>
  <c r="DE70" i="14"/>
  <c r="DH70" i="14" s="1"/>
  <c r="DP70" i="14" s="1"/>
  <c r="BE70" i="13"/>
  <c r="BH70" i="13" s="1"/>
  <c r="AE70" i="13"/>
  <c r="AH70" i="13" s="1"/>
  <c r="DE70" i="13"/>
  <c r="DH70" i="13" s="1"/>
  <c r="E70" i="13"/>
  <c r="H70" i="13" s="1"/>
  <c r="C87" i="3"/>
  <c r="C85" i="3"/>
  <c r="D10" i="5"/>
  <c r="CP122" i="16"/>
  <c r="CT125" i="13"/>
  <c r="CP96" i="16"/>
  <c r="DB69" i="16"/>
  <c r="B4" i="15"/>
  <c r="B4" i="14"/>
  <c r="D9" i="5"/>
  <c r="AP65" i="15" l="1"/>
  <c r="BP78" i="14"/>
  <c r="AP73" i="15"/>
  <c r="CP78" i="15"/>
  <c r="P69" i="14"/>
  <c r="BP69" i="14"/>
  <c r="BP69" i="15"/>
  <c r="DP64" i="15"/>
  <c r="BP65" i="14"/>
  <c r="AP75" i="15"/>
  <c r="AP78" i="14"/>
  <c r="DP63" i="14"/>
  <c r="BP63" i="15"/>
  <c r="P68" i="15"/>
  <c r="DP68" i="15"/>
  <c r="AP69" i="14"/>
  <c r="CP69" i="15"/>
  <c r="DP74" i="15"/>
  <c r="AP65" i="14"/>
  <c r="DP75" i="14"/>
  <c r="BP65" i="15"/>
  <c r="DP68" i="14"/>
  <c r="P68" i="14"/>
  <c r="CP63" i="14"/>
  <c r="BP73" i="15"/>
  <c r="P78" i="15"/>
  <c r="DP78" i="15"/>
  <c r="DP74" i="14"/>
  <c r="BP74" i="14"/>
  <c r="DP69" i="15"/>
  <c r="AP64" i="15"/>
  <c r="AP70" i="14"/>
  <c r="CP75" i="14"/>
  <c r="BP75" i="15"/>
  <c r="AP70" i="15"/>
  <c r="CP68" i="14"/>
  <c r="P78" i="14"/>
  <c r="BP63" i="14"/>
  <c r="CP63" i="15"/>
  <c r="AP68" i="15"/>
  <c r="CP74" i="14"/>
  <c r="AP74" i="14"/>
  <c r="AP74" i="15"/>
  <c r="E37" i="1"/>
  <c r="D44" i="21" s="1"/>
  <c r="P70" i="14"/>
  <c r="BP75" i="14"/>
  <c r="CP65" i="15"/>
  <c r="BP70" i="15"/>
  <c r="BP68" i="14"/>
  <c r="DP73" i="14"/>
  <c r="AP63" i="14"/>
  <c r="CP73" i="15"/>
  <c r="AP78" i="15"/>
  <c r="DP64" i="14"/>
  <c r="P64" i="14"/>
  <c r="BP64" i="15"/>
  <c r="AP75" i="14"/>
  <c r="CP75" i="15"/>
  <c r="CP70" i="15"/>
  <c r="DP78" i="14"/>
  <c r="P63" i="14"/>
  <c r="CP73" i="14"/>
  <c r="P63" i="15"/>
  <c r="DP63" i="15"/>
  <c r="BP68" i="15"/>
  <c r="CP64" i="14"/>
  <c r="P74" i="14"/>
  <c r="BP74" i="15"/>
  <c r="BP70" i="14"/>
  <c r="DP65" i="15"/>
  <c r="DP70" i="15"/>
  <c r="CP78" i="14"/>
  <c r="P73" i="14"/>
  <c r="BP73" i="14"/>
  <c r="P73" i="15"/>
  <c r="DP73" i="15"/>
  <c r="BP78" i="15"/>
  <c r="BP64" i="14"/>
  <c r="DP69" i="14"/>
  <c r="CP64" i="15"/>
  <c r="M142" i="15"/>
  <c r="M148" i="15"/>
  <c r="DE152" i="15"/>
  <c r="CG153" i="15"/>
  <c r="CG148" i="15"/>
  <c r="AK140" i="15"/>
  <c r="AK148" i="15"/>
  <c r="BI138" i="15"/>
  <c r="CG141" i="15"/>
  <c r="BI153" i="15"/>
  <c r="CG140" i="15"/>
  <c r="BI149" i="15"/>
  <c r="BI145" i="15"/>
  <c r="M150" i="15"/>
  <c r="CG142" i="15"/>
  <c r="AK149" i="15"/>
  <c r="AK141" i="15"/>
  <c r="BI146" i="15"/>
  <c r="AK152" i="15"/>
  <c r="CG143" i="15"/>
  <c r="AK146" i="15"/>
  <c r="DE141" i="15"/>
  <c r="BI139" i="15"/>
  <c r="M149" i="15"/>
  <c r="CG149" i="15"/>
  <c r="CG146" i="15"/>
  <c r="AK147" i="15"/>
  <c r="BI147" i="15"/>
  <c r="DE151" i="15"/>
  <c r="DE144" i="15"/>
  <c r="AK153" i="15"/>
  <c r="AK144" i="15"/>
  <c r="DE139" i="15"/>
  <c r="BI142" i="15"/>
  <c r="DE142" i="15"/>
  <c r="AK139" i="15"/>
  <c r="M146" i="15"/>
  <c r="CG150" i="15"/>
  <c r="DE147" i="15"/>
  <c r="DE153" i="15"/>
  <c r="DE148" i="15"/>
  <c r="M138" i="15"/>
  <c r="R138" i="15" s="1"/>
  <c r="CG139" i="15"/>
  <c r="DE143" i="15"/>
  <c r="CG152" i="15"/>
  <c r="M153" i="15"/>
  <c r="M145" i="15"/>
  <c r="CG145" i="15"/>
  <c r="CG144" i="15"/>
  <c r="BI144" i="15"/>
  <c r="M140" i="15"/>
  <c r="DE150" i="15"/>
  <c r="M151" i="15"/>
  <c r="BI151" i="15"/>
  <c r="AK150" i="15"/>
  <c r="M143" i="15"/>
  <c r="AK143" i="15"/>
  <c r="M141" i="15"/>
  <c r="M144" i="15"/>
  <c r="BI150" i="15"/>
  <c r="CG138" i="15"/>
  <c r="AK142" i="15"/>
  <c r="CG147" i="15"/>
  <c r="BI143" i="15"/>
  <c r="AK138" i="15"/>
  <c r="M152" i="15"/>
  <c r="M139" i="15"/>
  <c r="AK151" i="15"/>
  <c r="CG151" i="15"/>
  <c r="BI140" i="15"/>
  <c r="DE149" i="15"/>
  <c r="M147" i="15"/>
  <c r="DE146" i="15"/>
  <c r="AK145" i="15"/>
  <c r="BI152" i="15"/>
  <c r="DE145" i="15"/>
  <c r="DE138" i="15"/>
  <c r="BI141" i="15"/>
  <c r="DE140" i="15"/>
  <c r="BI148" i="15"/>
  <c r="M142" i="14"/>
  <c r="CG144" i="14"/>
  <c r="CG152" i="14"/>
  <c r="DE152" i="14"/>
  <c r="BI148" i="14"/>
  <c r="BI140" i="14"/>
  <c r="M143" i="14"/>
  <c r="AK146" i="14"/>
  <c r="M146" i="14"/>
  <c r="M151" i="14"/>
  <c r="BI139" i="14"/>
  <c r="AK150" i="14"/>
  <c r="AK151" i="14"/>
  <c r="AK140" i="14"/>
  <c r="M149" i="14"/>
  <c r="BI151" i="14"/>
  <c r="CG139" i="14"/>
  <c r="CG140" i="14"/>
  <c r="BI138" i="14"/>
  <c r="CG148" i="14"/>
  <c r="CG142" i="14"/>
  <c r="DE140" i="14"/>
  <c r="DE147" i="14"/>
  <c r="AK141" i="14"/>
  <c r="DE153" i="14"/>
  <c r="M150" i="14"/>
  <c r="CG147" i="14"/>
  <c r="CG141" i="14"/>
  <c r="M141" i="14"/>
  <c r="M144" i="14"/>
  <c r="BI145" i="14"/>
  <c r="AK153" i="14"/>
  <c r="DE150" i="14"/>
  <c r="CG149" i="14"/>
  <c r="M153" i="14"/>
  <c r="AK152" i="14"/>
  <c r="AK139" i="14"/>
  <c r="CG143" i="14"/>
  <c r="AK147" i="14"/>
  <c r="AK148" i="14"/>
  <c r="M138" i="14"/>
  <c r="R138" i="14" s="1"/>
  <c r="M148" i="14"/>
  <c r="BI153" i="14"/>
  <c r="CG153" i="14"/>
  <c r="M145" i="14"/>
  <c r="BI141" i="14"/>
  <c r="AK145" i="14"/>
  <c r="BI146" i="14"/>
  <c r="DE151" i="14"/>
  <c r="CG151" i="14"/>
  <c r="CG146" i="14"/>
  <c r="CG145" i="14"/>
  <c r="M140" i="14"/>
  <c r="AK149" i="14"/>
  <c r="DE144" i="14"/>
  <c r="M152" i="14"/>
  <c r="DE146" i="14"/>
  <c r="DE145" i="14"/>
  <c r="DE149" i="14"/>
  <c r="BI149" i="14"/>
  <c r="BI152" i="14"/>
  <c r="BI147" i="14"/>
  <c r="M147" i="14"/>
  <c r="DE142" i="14"/>
  <c r="BI144" i="14"/>
  <c r="AK138" i="14"/>
  <c r="DE143" i="14"/>
  <c r="M139" i="14"/>
  <c r="AK142" i="14"/>
  <c r="CG138" i="14"/>
  <c r="AK143" i="14"/>
  <c r="BI143" i="14"/>
  <c r="DE138" i="14"/>
  <c r="DE141" i="14"/>
  <c r="BI142" i="14"/>
  <c r="BI150" i="14"/>
  <c r="DE148" i="14"/>
  <c r="AK144" i="14"/>
  <c r="DE139" i="14"/>
  <c r="CG150" i="14"/>
  <c r="DP65" i="14"/>
  <c r="DP75" i="15"/>
  <c r="AP68" i="14"/>
  <c r="AP73" i="14"/>
  <c r="AP63" i="15"/>
  <c r="CP68" i="15"/>
  <c r="AP64" i="14"/>
  <c r="CP69" i="14"/>
  <c r="AP69" i="15"/>
  <c r="CP74" i="15"/>
  <c r="G106" i="10"/>
  <c r="G102" i="10"/>
  <c r="G98" i="10"/>
  <c r="G94" i="10"/>
  <c r="G80" i="10"/>
  <c r="G76" i="10"/>
  <c r="G72" i="10"/>
  <c r="G68" i="10"/>
  <c r="G54" i="10"/>
  <c r="G50" i="10"/>
  <c r="G46" i="10"/>
  <c r="G42" i="10"/>
  <c r="G14" i="10"/>
  <c r="G18" i="10"/>
  <c r="G22" i="10"/>
  <c r="G103" i="10"/>
  <c r="G99" i="10"/>
  <c r="G95" i="10"/>
  <c r="G91" i="10"/>
  <c r="G77" i="10"/>
  <c r="G73" i="10"/>
  <c r="G69" i="10"/>
  <c r="G65" i="10"/>
  <c r="G51" i="10"/>
  <c r="G47" i="10"/>
  <c r="G43" i="10"/>
  <c r="G39" i="10"/>
  <c r="G17" i="10"/>
  <c r="G21" i="10"/>
  <c r="G13" i="10"/>
  <c r="G101" i="10"/>
  <c r="G93" i="10"/>
  <c r="G75" i="10"/>
  <c r="G67" i="10"/>
  <c r="G49" i="10"/>
  <c r="G41" i="10"/>
  <c r="G19" i="10"/>
  <c r="G100" i="10"/>
  <c r="G92" i="10"/>
  <c r="G74" i="10"/>
  <c r="G66" i="10"/>
  <c r="G48" i="10"/>
  <c r="G40" i="10"/>
  <c r="G20" i="10"/>
  <c r="G105" i="10"/>
  <c r="G97" i="10"/>
  <c r="G79" i="10"/>
  <c r="G71" i="10"/>
  <c r="G53" i="10"/>
  <c r="G45" i="10"/>
  <c r="G15" i="10"/>
  <c r="G104" i="10"/>
  <c r="G96" i="10"/>
  <c r="G78" i="10"/>
  <c r="G70" i="10"/>
  <c r="G52" i="10"/>
  <c r="G44" i="10"/>
  <c r="G16" i="10"/>
  <c r="J50" i="2"/>
  <c r="E50" i="2"/>
  <c r="AE53" i="2"/>
  <c r="AF53" i="2" s="1"/>
  <c r="Z53" i="2"/>
  <c r="X53" i="2"/>
  <c r="Y53" i="2" s="1"/>
  <c r="S53" i="2"/>
  <c r="Q56" i="2"/>
  <c r="R56" i="2" s="1"/>
  <c r="L56" i="2"/>
  <c r="X56" i="2"/>
  <c r="Y56" i="2" s="1"/>
  <c r="S56" i="2"/>
  <c r="X50" i="2"/>
  <c r="S50" i="2"/>
  <c r="Q50" i="2"/>
  <c r="L50" i="2"/>
  <c r="Q53" i="2"/>
  <c r="R53" i="2" s="1"/>
  <c r="L53" i="2"/>
  <c r="AE50" i="2"/>
  <c r="Z50" i="2"/>
  <c r="J53" i="2"/>
  <c r="K53" i="2" s="1"/>
  <c r="E53" i="2"/>
  <c r="AE56" i="2"/>
  <c r="AF56" i="2" s="1"/>
  <c r="Z56" i="2"/>
  <c r="J56" i="2"/>
  <c r="K56" i="2" s="1"/>
  <c r="E56" i="2"/>
  <c r="G37" i="1"/>
  <c r="F44" i="21" s="1"/>
  <c r="DJ138" i="15"/>
  <c r="AP138" i="15"/>
  <c r="BN138" i="15"/>
  <c r="CL138" i="15"/>
  <c r="BN138" i="14"/>
  <c r="DJ138" i="14"/>
  <c r="CL138" i="14"/>
  <c r="AP138" i="14"/>
  <c r="E11" i="17"/>
  <c r="E15" i="17"/>
  <c r="E21" i="17"/>
  <c r="E20" i="17"/>
  <c r="I37" i="1"/>
  <c r="H44" i="21" s="1"/>
  <c r="E17" i="17"/>
  <c r="E16" i="17"/>
  <c r="E7" i="17"/>
  <c r="E19" i="17"/>
  <c r="F37" i="1"/>
  <c r="E44" i="21" s="1"/>
  <c r="Y32" i="2"/>
  <c r="X40" i="2"/>
  <c r="F81" i="5" s="1"/>
  <c r="R32" i="2"/>
  <c r="Q40" i="2"/>
  <c r="E81" i="5" s="1"/>
  <c r="J58" i="2"/>
  <c r="K50" i="2"/>
  <c r="AF32" i="2"/>
  <c r="AE40" i="2"/>
  <c r="G81" i="5" s="1"/>
  <c r="R50" i="2"/>
  <c r="R64" i="2" s="1"/>
  <c r="Q58" i="2"/>
  <c r="K32" i="2"/>
  <c r="J40" i="2"/>
  <c r="D81" i="5" s="1"/>
  <c r="Y50" i="2"/>
  <c r="X58" i="2"/>
  <c r="AF50" i="2"/>
  <c r="AE58" i="2"/>
  <c r="E22" i="17"/>
  <c r="E13" i="17"/>
  <c r="E18" i="17"/>
  <c r="E12" i="17"/>
  <c r="E14" i="17"/>
  <c r="E9" i="17"/>
  <c r="E10" i="17"/>
  <c r="D28" i="22"/>
  <c r="CP123" i="16"/>
  <c r="CT126" i="13"/>
  <c r="CP97" i="16"/>
  <c r="DB70" i="16"/>
  <c r="DL61" i="13"/>
  <c r="DK61" i="13"/>
  <c r="CL61" i="13"/>
  <c r="CK61" i="13"/>
  <c r="BL61" i="13"/>
  <c r="BK61" i="13"/>
  <c r="AL61" i="13"/>
  <c r="AK61" i="13"/>
  <c r="L61" i="13"/>
  <c r="K61" i="13"/>
  <c r="E90" i="5" l="1"/>
  <c r="R58" i="2"/>
  <c r="AF58" i="2"/>
  <c r="G90" i="5"/>
  <c r="O20" i="10"/>
  <c r="O18" i="10"/>
  <c r="O24" i="10"/>
  <c r="O14" i="10"/>
  <c r="O26" i="10"/>
  <c r="Y58" i="2"/>
  <c r="F90" i="5"/>
  <c r="P18" i="10"/>
  <c r="P14" i="10"/>
  <c r="P20" i="10"/>
  <c r="P26" i="10"/>
  <c r="P24" i="10"/>
  <c r="K58" i="2"/>
  <c r="D90" i="5"/>
  <c r="N20" i="10"/>
  <c r="N24" i="10"/>
  <c r="N14" i="10"/>
  <c r="N26" i="10"/>
  <c r="N18" i="10"/>
  <c r="O22" i="10"/>
  <c r="O25" i="10"/>
  <c r="O28" i="10"/>
  <c r="O16" i="10"/>
  <c r="O19" i="10"/>
  <c r="O92" i="10"/>
  <c r="O94" i="10"/>
  <c r="O96" i="10"/>
  <c r="O98" i="10"/>
  <c r="O100" i="10"/>
  <c r="O102" i="10"/>
  <c r="O104" i="10"/>
  <c r="O106" i="10"/>
  <c r="O99" i="10"/>
  <c r="O105" i="10"/>
  <c r="O93" i="10"/>
  <c r="O101" i="10"/>
  <c r="O95" i="10"/>
  <c r="O103" i="10"/>
  <c r="O97" i="10"/>
  <c r="P19" i="10"/>
  <c r="P22" i="10"/>
  <c r="P16" i="10"/>
  <c r="P25" i="10"/>
  <c r="P28" i="10"/>
  <c r="N66" i="10"/>
  <c r="N70" i="10"/>
  <c r="N74" i="10"/>
  <c r="N78" i="10"/>
  <c r="N69" i="10"/>
  <c r="N73" i="10"/>
  <c r="N77" i="10"/>
  <c r="N71" i="10"/>
  <c r="N68" i="10"/>
  <c r="N72" i="10"/>
  <c r="N76" i="10"/>
  <c r="N80" i="10"/>
  <c r="N75" i="10"/>
  <c r="N79" i="10"/>
  <c r="N67" i="10"/>
  <c r="P93" i="10"/>
  <c r="P95" i="10"/>
  <c r="P97" i="10"/>
  <c r="P99" i="10"/>
  <c r="P101" i="10"/>
  <c r="P103" i="10"/>
  <c r="P105" i="10"/>
  <c r="P92" i="10"/>
  <c r="P94" i="10"/>
  <c r="P96" i="10"/>
  <c r="P98" i="10"/>
  <c r="P100" i="10"/>
  <c r="P102" i="10"/>
  <c r="P104" i="10"/>
  <c r="P106" i="10"/>
  <c r="N92" i="10"/>
  <c r="N94" i="10"/>
  <c r="U94" i="10" s="1"/>
  <c r="N96" i="10"/>
  <c r="N98" i="10"/>
  <c r="N100" i="10"/>
  <c r="U100" i="10" s="1"/>
  <c r="N102" i="10"/>
  <c r="U102" i="10" s="1"/>
  <c r="N104" i="10"/>
  <c r="N106" i="10"/>
  <c r="U106" i="10" s="1"/>
  <c r="N93" i="10"/>
  <c r="N95" i="10"/>
  <c r="U95" i="10" s="1"/>
  <c r="N97" i="10"/>
  <c r="N99" i="10"/>
  <c r="N101" i="10"/>
  <c r="N103" i="10"/>
  <c r="U103" i="10" s="1"/>
  <c r="N105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P68" i="10"/>
  <c r="P72" i="10"/>
  <c r="P76" i="10"/>
  <c r="P80" i="10"/>
  <c r="P67" i="10"/>
  <c r="P71" i="10"/>
  <c r="P75" i="10"/>
  <c r="P79" i="10"/>
  <c r="P73" i="10"/>
  <c r="P77" i="10"/>
  <c r="P66" i="10"/>
  <c r="P70" i="10"/>
  <c r="P74" i="10"/>
  <c r="P78" i="10"/>
  <c r="P69" i="10"/>
  <c r="O67" i="10"/>
  <c r="O71" i="10"/>
  <c r="O75" i="10"/>
  <c r="O79" i="10"/>
  <c r="O66" i="10"/>
  <c r="O70" i="10"/>
  <c r="O74" i="10"/>
  <c r="O78" i="10"/>
  <c r="O80" i="10"/>
  <c r="O69" i="10"/>
  <c r="O73" i="10"/>
  <c r="O77" i="10"/>
  <c r="O72" i="10"/>
  <c r="O76" i="10"/>
  <c r="O68" i="10"/>
  <c r="N25" i="10"/>
  <c r="N16" i="10"/>
  <c r="N28" i="10"/>
  <c r="N19" i="10"/>
  <c r="N22" i="10"/>
  <c r="O40" i="10"/>
  <c r="O41" i="10"/>
  <c r="O42" i="10"/>
  <c r="O43" i="10"/>
  <c r="O44" i="10"/>
  <c r="O45" i="10"/>
  <c r="O46" i="10"/>
  <c r="O47" i="10"/>
  <c r="O48" i="10"/>
  <c r="O49" i="10"/>
  <c r="O50" i="10"/>
  <c r="O51" i="10"/>
  <c r="O52" i="10"/>
  <c r="O53" i="10"/>
  <c r="O54" i="10"/>
  <c r="P40" i="10"/>
  <c r="P41" i="10"/>
  <c r="P42" i="10"/>
  <c r="P43" i="10"/>
  <c r="P44" i="10"/>
  <c r="P45" i="10"/>
  <c r="P46" i="10"/>
  <c r="P47" i="10"/>
  <c r="P48" i="10"/>
  <c r="P49" i="10"/>
  <c r="P50" i="10"/>
  <c r="P51" i="10"/>
  <c r="P52" i="10"/>
  <c r="P53" i="10"/>
  <c r="P54" i="10"/>
  <c r="BN139" i="14"/>
  <c r="DJ139" i="15"/>
  <c r="DJ140" i="15" s="1"/>
  <c r="DJ141" i="15" s="1"/>
  <c r="DJ142" i="15" s="1"/>
  <c r="DJ143" i="15" s="1"/>
  <c r="DJ144" i="15" s="1"/>
  <c r="DJ145" i="15" s="1"/>
  <c r="DJ146" i="15" s="1"/>
  <c r="DJ147" i="15" s="1"/>
  <c r="DJ148" i="15" s="1"/>
  <c r="DJ149" i="15" s="1"/>
  <c r="DJ150" i="15" s="1"/>
  <c r="DJ151" i="15" s="1"/>
  <c r="DJ152" i="15" s="1"/>
  <c r="DJ153" i="15" s="1"/>
  <c r="AK160" i="15" s="1"/>
  <c r="R139" i="14"/>
  <c r="R140" i="14" s="1"/>
  <c r="R141" i="14" s="1"/>
  <c r="R142" i="14" s="1"/>
  <c r="R143" i="14" s="1"/>
  <c r="R144" i="14" s="1"/>
  <c r="R145" i="14" s="1"/>
  <c r="R146" i="14" s="1"/>
  <c r="R147" i="14" s="1"/>
  <c r="R148" i="14" s="1"/>
  <c r="R149" i="14" s="1"/>
  <c r="R150" i="14" s="1"/>
  <c r="R151" i="14" s="1"/>
  <c r="R152" i="14" s="1"/>
  <c r="R153" i="14" s="1"/>
  <c r="AG160" i="14" s="1"/>
  <c r="CL139" i="14"/>
  <c r="CL140" i="14" s="1"/>
  <c r="CL141" i="14" s="1"/>
  <c r="CL142" i="14" s="1"/>
  <c r="CL143" i="14" s="1"/>
  <c r="CL144" i="14" s="1"/>
  <c r="CL145" i="14" s="1"/>
  <c r="CL146" i="14" s="1"/>
  <c r="CL147" i="14" s="1"/>
  <c r="CL148" i="14" s="1"/>
  <c r="CL149" i="14" s="1"/>
  <c r="CL150" i="14" s="1"/>
  <c r="CL151" i="14" s="1"/>
  <c r="CL152" i="14" s="1"/>
  <c r="CL153" i="14" s="1"/>
  <c r="AJ160" i="14" s="1"/>
  <c r="BN139" i="15"/>
  <c r="BN140" i="15" s="1"/>
  <c r="BN141" i="15" s="1"/>
  <c r="BN142" i="15" s="1"/>
  <c r="BN143" i="15" s="1"/>
  <c r="BN144" i="15" s="1"/>
  <c r="BN145" i="15" s="1"/>
  <c r="BN146" i="15" s="1"/>
  <c r="BN147" i="15" s="1"/>
  <c r="BN148" i="15" s="1"/>
  <c r="BN149" i="15" s="1"/>
  <c r="BN150" i="15" s="1"/>
  <c r="BN151" i="15" s="1"/>
  <c r="BN152" i="15" s="1"/>
  <c r="BN153" i="15" s="1"/>
  <c r="AI160" i="15" s="1"/>
  <c r="R139" i="15"/>
  <c r="R140" i="15" s="1"/>
  <c r="R141" i="15" s="1"/>
  <c r="R142" i="15" s="1"/>
  <c r="R143" i="15" s="1"/>
  <c r="R144" i="15" s="1"/>
  <c r="R145" i="15" s="1"/>
  <c r="R146" i="15" s="1"/>
  <c r="R147" i="15" s="1"/>
  <c r="R148" i="15" s="1"/>
  <c r="R149" i="15" s="1"/>
  <c r="R150" i="15" s="1"/>
  <c r="R151" i="15" s="1"/>
  <c r="R152" i="15" s="1"/>
  <c r="R153" i="15" s="1"/>
  <c r="AG160" i="15" s="1"/>
  <c r="AP139" i="15"/>
  <c r="AP140" i="15" s="1"/>
  <c r="AP141" i="15" s="1"/>
  <c r="AP142" i="15" s="1"/>
  <c r="AP143" i="15" s="1"/>
  <c r="AP144" i="15" s="1"/>
  <c r="AP145" i="15" s="1"/>
  <c r="AP146" i="15" s="1"/>
  <c r="AP147" i="15" s="1"/>
  <c r="AP148" i="15" s="1"/>
  <c r="AP149" i="15" s="1"/>
  <c r="AP150" i="15" s="1"/>
  <c r="AP151" i="15" s="1"/>
  <c r="AP152" i="15" s="1"/>
  <c r="AP153" i="15" s="1"/>
  <c r="AH160" i="15" s="1"/>
  <c r="CL139" i="15"/>
  <c r="CL140" i="15" s="1"/>
  <c r="CL141" i="15" s="1"/>
  <c r="CL142" i="15" s="1"/>
  <c r="CL143" i="15" s="1"/>
  <c r="CL144" i="15" s="1"/>
  <c r="CL145" i="15" s="1"/>
  <c r="CL146" i="15" s="1"/>
  <c r="CL147" i="15" s="1"/>
  <c r="CL148" i="15" s="1"/>
  <c r="CL149" i="15" s="1"/>
  <c r="CL150" i="15" s="1"/>
  <c r="CL151" i="15" s="1"/>
  <c r="CL152" i="15" s="1"/>
  <c r="CL153" i="15" s="1"/>
  <c r="AJ160" i="15" s="1"/>
  <c r="BN140" i="14"/>
  <c r="BN141" i="14" s="1"/>
  <c r="BN142" i="14" s="1"/>
  <c r="BN143" i="14" s="1"/>
  <c r="BN144" i="14" s="1"/>
  <c r="BN145" i="14" s="1"/>
  <c r="BN146" i="14" s="1"/>
  <c r="BN147" i="14" s="1"/>
  <c r="BN148" i="14" s="1"/>
  <c r="BN149" i="14" s="1"/>
  <c r="BN150" i="14" s="1"/>
  <c r="BN151" i="14" s="1"/>
  <c r="BN152" i="14" s="1"/>
  <c r="BN153" i="14" s="1"/>
  <c r="AI160" i="14" s="1"/>
  <c r="AP139" i="14"/>
  <c r="AP140" i="14" s="1"/>
  <c r="AP141" i="14" s="1"/>
  <c r="AP142" i="14" s="1"/>
  <c r="AP143" i="14" s="1"/>
  <c r="AP144" i="14" s="1"/>
  <c r="AP145" i="14" s="1"/>
  <c r="AP146" i="14" s="1"/>
  <c r="AP147" i="14" s="1"/>
  <c r="AP148" i="14" s="1"/>
  <c r="AP149" i="14" s="1"/>
  <c r="AP150" i="14" s="1"/>
  <c r="AP151" i="14" s="1"/>
  <c r="AP152" i="14" s="1"/>
  <c r="AP153" i="14" s="1"/>
  <c r="AH160" i="14" s="1"/>
  <c r="DJ139" i="14"/>
  <c r="DJ140" i="14" s="1"/>
  <c r="DJ141" i="14" s="1"/>
  <c r="DJ142" i="14" s="1"/>
  <c r="DJ143" i="14" s="1"/>
  <c r="DJ144" i="14" s="1"/>
  <c r="DJ145" i="14" s="1"/>
  <c r="DJ146" i="14" s="1"/>
  <c r="DJ147" i="14" s="1"/>
  <c r="DJ148" i="14" s="1"/>
  <c r="DJ149" i="14" s="1"/>
  <c r="DJ150" i="14" s="1"/>
  <c r="DJ151" i="14" s="1"/>
  <c r="DJ152" i="14" s="1"/>
  <c r="DJ153" i="14" s="1"/>
  <c r="AK160" i="14" s="1"/>
  <c r="AF40" i="2"/>
  <c r="R40" i="2"/>
  <c r="K40" i="2"/>
  <c r="Q64" i="2"/>
  <c r="Y40" i="2"/>
  <c r="CP124" i="16"/>
  <c r="CT127" i="13"/>
  <c r="CP98" i="16"/>
  <c r="DB71" i="16"/>
  <c r="U105" i="10" l="1"/>
  <c r="DA52" i="13" s="1"/>
  <c r="U98" i="10"/>
  <c r="I45" i="15" s="1"/>
  <c r="DA53" i="15"/>
  <c r="BE53" i="15"/>
  <c r="I53" i="15"/>
  <c r="CC53" i="14"/>
  <c r="AG53" i="14"/>
  <c r="DA53" i="13"/>
  <c r="BE53" i="13"/>
  <c r="I53" i="13"/>
  <c r="CC53" i="15"/>
  <c r="AG53" i="15"/>
  <c r="DA53" i="14"/>
  <c r="BE53" i="14"/>
  <c r="I53" i="14"/>
  <c r="CC53" i="13"/>
  <c r="AG53" i="13"/>
  <c r="DA45" i="15"/>
  <c r="BE45" i="15"/>
  <c r="AG45" i="14"/>
  <c r="DA45" i="13"/>
  <c r="BE45" i="13"/>
  <c r="I45" i="13"/>
  <c r="BE45" i="14"/>
  <c r="I45" i="14"/>
  <c r="CC45" i="15"/>
  <c r="AG45" i="15"/>
  <c r="DA45" i="14"/>
  <c r="CC47" i="15"/>
  <c r="AG47" i="15"/>
  <c r="DA47" i="14"/>
  <c r="BE47" i="14"/>
  <c r="I47" i="14"/>
  <c r="CC47" i="13"/>
  <c r="AG47" i="13"/>
  <c r="DA47" i="15"/>
  <c r="BE47" i="15"/>
  <c r="I47" i="15"/>
  <c r="CC47" i="14"/>
  <c r="AG47" i="14"/>
  <c r="DA47" i="13"/>
  <c r="BE47" i="13"/>
  <c r="I47" i="13"/>
  <c r="CC52" i="15"/>
  <c r="AG52" i="15"/>
  <c r="CC52" i="14"/>
  <c r="AG52" i="14"/>
  <c r="I52" i="13"/>
  <c r="DA52" i="14"/>
  <c r="BE52" i="14"/>
  <c r="I52" i="14"/>
  <c r="CC52" i="13"/>
  <c r="AG52" i="13"/>
  <c r="I52" i="15"/>
  <c r="DA50" i="15"/>
  <c r="BE50" i="15"/>
  <c r="I50" i="15"/>
  <c r="CC50" i="15"/>
  <c r="AG50" i="15"/>
  <c r="DA50" i="14"/>
  <c r="BE50" i="14"/>
  <c r="I50" i="14"/>
  <c r="CC50" i="13"/>
  <c r="AG50" i="13"/>
  <c r="CC50" i="14"/>
  <c r="AG50" i="14"/>
  <c r="DA50" i="13"/>
  <c r="BE50" i="13"/>
  <c r="I50" i="13"/>
  <c r="DA42" i="15"/>
  <c r="BE42" i="15"/>
  <c r="I42" i="15"/>
  <c r="CC42" i="15"/>
  <c r="AG42" i="15"/>
  <c r="DA42" i="14"/>
  <c r="CC42" i="14"/>
  <c r="AG42" i="14"/>
  <c r="DA42" i="13"/>
  <c r="BE42" i="13"/>
  <c r="I42" i="13"/>
  <c r="BE42" i="14"/>
  <c r="I42" i="14"/>
  <c r="CC42" i="13"/>
  <c r="AG42" i="13"/>
  <c r="DA49" i="15"/>
  <c r="BE49" i="15"/>
  <c r="I49" i="15"/>
  <c r="CC49" i="14"/>
  <c r="AG49" i="14"/>
  <c r="DA49" i="13"/>
  <c r="BE49" i="13"/>
  <c r="I49" i="13"/>
  <c r="CC49" i="15"/>
  <c r="AG49" i="15"/>
  <c r="DA49" i="14"/>
  <c r="BE49" i="14"/>
  <c r="I49" i="14"/>
  <c r="CC49" i="13"/>
  <c r="AG49" i="13"/>
  <c r="DA41" i="15"/>
  <c r="BE41" i="15"/>
  <c r="I41" i="15"/>
  <c r="CC41" i="14"/>
  <c r="AG41" i="14"/>
  <c r="DA41" i="13"/>
  <c r="BE41" i="13"/>
  <c r="I41" i="13"/>
  <c r="BE41" i="14"/>
  <c r="I41" i="14"/>
  <c r="CC41" i="13"/>
  <c r="AG41" i="13"/>
  <c r="CC41" i="15"/>
  <c r="AG41" i="15"/>
  <c r="DA41" i="14"/>
  <c r="U54" i="10"/>
  <c r="U50" i="10"/>
  <c r="BC124" i="16" s="1"/>
  <c r="U46" i="10"/>
  <c r="CW120" i="16" s="1"/>
  <c r="U42" i="10"/>
  <c r="CW128" i="16"/>
  <c r="BZ128" i="16"/>
  <c r="BC128" i="16"/>
  <c r="AF128" i="16"/>
  <c r="I128" i="16"/>
  <c r="CW124" i="16"/>
  <c r="BZ124" i="16"/>
  <c r="I124" i="16"/>
  <c r="BZ50" i="16"/>
  <c r="BC50" i="16"/>
  <c r="AF50" i="16"/>
  <c r="CW50" i="16"/>
  <c r="I50" i="16"/>
  <c r="BZ42" i="16"/>
  <c r="BC42" i="16"/>
  <c r="AF42" i="16"/>
  <c r="CW42" i="16"/>
  <c r="I42" i="16"/>
  <c r="BZ49" i="16"/>
  <c r="BC49" i="16"/>
  <c r="AF49" i="16"/>
  <c r="CW49" i="16"/>
  <c r="I49" i="16"/>
  <c r="BZ41" i="16"/>
  <c r="BC41" i="16"/>
  <c r="AF41" i="16"/>
  <c r="CW41" i="16"/>
  <c r="I41" i="16"/>
  <c r="U53" i="10"/>
  <c r="U49" i="10"/>
  <c r="U45" i="10"/>
  <c r="U41" i="10"/>
  <c r="U101" i="10"/>
  <c r="BZ47" i="16"/>
  <c r="BC47" i="16"/>
  <c r="AF47" i="16"/>
  <c r="CW47" i="16"/>
  <c r="I47" i="16"/>
  <c r="U52" i="10"/>
  <c r="U48" i="10"/>
  <c r="U44" i="10"/>
  <c r="U40" i="10"/>
  <c r="U99" i="10"/>
  <c r="BZ53" i="16"/>
  <c r="BC53" i="16"/>
  <c r="AF53" i="16"/>
  <c r="CW53" i="16"/>
  <c r="I53" i="16"/>
  <c r="BZ45" i="16"/>
  <c r="BC45" i="16"/>
  <c r="AF45" i="16"/>
  <c r="CW45" i="16"/>
  <c r="I45" i="16"/>
  <c r="U80" i="10"/>
  <c r="U51" i="10"/>
  <c r="U47" i="10"/>
  <c r="U43" i="10"/>
  <c r="BZ52" i="16"/>
  <c r="BC52" i="16"/>
  <c r="AF52" i="16"/>
  <c r="CW52" i="16"/>
  <c r="I52" i="16"/>
  <c r="U97" i="10"/>
  <c r="U104" i="10"/>
  <c r="U96" i="10"/>
  <c r="CP125" i="16"/>
  <c r="CT128" i="13"/>
  <c r="CP99" i="16"/>
  <c r="DB72" i="16"/>
  <c r="BE52" i="15" l="1"/>
  <c r="BE52" i="13"/>
  <c r="AG45" i="13"/>
  <c r="CC45" i="14"/>
  <c r="DA52" i="15"/>
  <c r="CC45" i="13"/>
  <c r="AF124" i="16"/>
  <c r="CC44" i="15"/>
  <c r="AG44" i="15"/>
  <c r="DA44" i="14"/>
  <c r="I44" i="15"/>
  <c r="DA44" i="15"/>
  <c r="BE44" i="15"/>
  <c r="CC44" i="14"/>
  <c r="BE44" i="14"/>
  <c r="AG44" i="14"/>
  <c r="I44" i="14"/>
  <c r="DA44" i="13"/>
  <c r="CC44" i="13"/>
  <c r="BE44" i="13"/>
  <c r="AG44" i="13"/>
  <c r="I44" i="13"/>
  <c r="DA46" i="15"/>
  <c r="BE46" i="15"/>
  <c r="I46" i="15"/>
  <c r="BE46" i="14"/>
  <c r="I46" i="14"/>
  <c r="CC46" i="13"/>
  <c r="AG46" i="13"/>
  <c r="CC46" i="15"/>
  <c r="AG46" i="15"/>
  <c r="DA46" i="14"/>
  <c r="CC46" i="14"/>
  <c r="AG46" i="14"/>
  <c r="DA46" i="13"/>
  <c r="BE46" i="13"/>
  <c r="I46" i="13"/>
  <c r="CC51" i="15"/>
  <c r="AG51" i="15"/>
  <c r="DA51" i="14"/>
  <c r="BE51" i="14"/>
  <c r="I51" i="14"/>
  <c r="CC51" i="13"/>
  <c r="AG51" i="13"/>
  <c r="DA51" i="15"/>
  <c r="BE51" i="15"/>
  <c r="I51" i="15"/>
  <c r="CC51" i="14"/>
  <c r="AG51" i="14"/>
  <c r="DA51" i="13"/>
  <c r="BE51" i="13"/>
  <c r="I51" i="13"/>
  <c r="CC43" i="15"/>
  <c r="AG43" i="15"/>
  <c r="DA43" i="14"/>
  <c r="BE43" i="14"/>
  <c r="I43" i="14"/>
  <c r="CC43" i="13"/>
  <c r="AG43" i="13"/>
  <c r="CC43" i="14"/>
  <c r="AG43" i="14"/>
  <c r="DA43" i="13"/>
  <c r="BE43" i="13"/>
  <c r="I43" i="13"/>
  <c r="DA43" i="15"/>
  <c r="BE43" i="15"/>
  <c r="I43" i="15"/>
  <c r="CC48" i="15"/>
  <c r="AG48" i="15"/>
  <c r="DA48" i="14"/>
  <c r="DA48" i="15"/>
  <c r="BE48" i="15"/>
  <c r="I48" i="15"/>
  <c r="CC48" i="14"/>
  <c r="AG48" i="14"/>
  <c r="DA48" i="13"/>
  <c r="BE48" i="13"/>
  <c r="I48" i="13"/>
  <c r="BE48" i="14"/>
  <c r="I48" i="14"/>
  <c r="CC48" i="13"/>
  <c r="AG48" i="13"/>
  <c r="CC27" i="15"/>
  <c r="AG27" i="15"/>
  <c r="DA27" i="14"/>
  <c r="BE27" i="14"/>
  <c r="I27" i="14"/>
  <c r="DA27" i="13"/>
  <c r="BE27" i="13"/>
  <c r="I27" i="13"/>
  <c r="AG27" i="13"/>
  <c r="DA27" i="15"/>
  <c r="BE27" i="15"/>
  <c r="I27" i="15"/>
  <c r="CC27" i="14"/>
  <c r="AG27" i="14"/>
  <c r="CC27" i="13"/>
  <c r="DA126" i="15"/>
  <c r="BE126" i="15"/>
  <c r="I126" i="15"/>
  <c r="CC126" i="14"/>
  <c r="AG126" i="14"/>
  <c r="DA126" i="13"/>
  <c r="BE126" i="13"/>
  <c r="I126" i="13"/>
  <c r="CC126" i="15"/>
  <c r="AG126" i="15"/>
  <c r="DA126" i="14"/>
  <c r="BE126" i="14"/>
  <c r="I126" i="14"/>
  <c r="CC126" i="13"/>
  <c r="AG126" i="13"/>
  <c r="BC120" i="16"/>
  <c r="CC120" i="15"/>
  <c r="AG120" i="15"/>
  <c r="DA120" i="14"/>
  <c r="CC120" i="14"/>
  <c r="AG120" i="14"/>
  <c r="DA120" i="13"/>
  <c r="BE120" i="13"/>
  <c r="I120" i="13"/>
  <c r="BE120" i="14"/>
  <c r="I120" i="14"/>
  <c r="CC120" i="13"/>
  <c r="AG120" i="13"/>
  <c r="DA120" i="15"/>
  <c r="BE120" i="15"/>
  <c r="I120" i="15"/>
  <c r="DA114" i="15"/>
  <c r="BE114" i="15"/>
  <c r="I114" i="15"/>
  <c r="CC114" i="14"/>
  <c r="BE114" i="14"/>
  <c r="I114" i="14"/>
  <c r="CC114" i="13"/>
  <c r="AG114" i="13"/>
  <c r="CC114" i="15"/>
  <c r="AG114" i="15"/>
  <c r="DA114" i="14"/>
  <c r="AG114" i="14"/>
  <c r="DA114" i="13"/>
  <c r="BE114" i="13"/>
  <c r="I114" i="13"/>
  <c r="CC123" i="15"/>
  <c r="AG123" i="15"/>
  <c r="DA123" i="14"/>
  <c r="BE123" i="14"/>
  <c r="I123" i="14"/>
  <c r="CC123" i="13"/>
  <c r="AG123" i="13"/>
  <c r="DA123" i="15"/>
  <c r="BE123" i="15"/>
  <c r="I123" i="15"/>
  <c r="CC123" i="14"/>
  <c r="AG123" i="14"/>
  <c r="DA123" i="13"/>
  <c r="BE123" i="13"/>
  <c r="I123" i="13"/>
  <c r="CC124" i="15"/>
  <c r="AG124" i="15"/>
  <c r="DA124" i="14"/>
  <c r="DA124" i="15"/>
  <c r="BE124" i="15"/>
  <c r="I124" i="15"/>
  <c r="BE124" i="14"/>
  <c r="I124" i="14"/>
  <c r="CC124" i="13"/>
  <c r="AG124" i="13"/>
  <c r="CC124" i="14"/>
  <c r="AG124" i="14"/>
  <c r="DA124" i="13"/>
  <c r="BE124" i="13"/>
  <c r="I124" i="13"/>
  <c r="DA117" i="15"/>
  <c r="BE117" i="15"/>
  <c r="I117" i="15"/>
  <c r="CC117" i="14"/>
  <c r="AG117" i="14"/>
  <c r="DA117" i="13"/>
  <c r="BE117" i="13"/>
  <c r="I117" i="13"/>
  <c r="CC117" i="15"/>
  <c r="AG117" i="15"/>
  <c r="DA117" i="14"/>
  <c r="BE117" i="14"/>
  <c r="I117" i="14"/>
  <c r="CC117" i="13"/>
  <c r="AG117" i="13"/>
  <c r="DA118" i="15"/>
  <c r="BE118" i="15"/>
  <c r="I118" i="15"/>
  <c r="CC118" i="15"/>
  <c r="AG118" i="15"/>
  <c r="DA118" i="14"/>
  <c r="BE118" i="14"/>
  <c r="I118" i="14"/>
  <c r="CC118" i="13"/>
  <c r="AG118" i="13"/>
  <c r="CC118" i="14"/>
  <c r="AG118" i="14"/>
  <c r="DA118" i="13"/>
  <c r="BE118" i="13"/>
  <c r="I118" i="13"/>
  <c r="CC127" i="15"/>
  <c r="AG127" i="15"/>
  <c r="DA127" i="14"/>
  <c r="BE127" i="14"/>
  <c r="I127" i="14"/>
  <c r="CC127" i="13"/>
  <c r="AG127" i="13"/>
  <c r="CC127" i="14"/>
  <c r="AG127" i="14"/>
  <c r="DA127" i="13"/>
  <c r="BE127" i="13"/>
  <c r="I127" i="13"/>
  <c r="DA127" i="15"/>
  <c r="BE127" i="15"/>
  <c r="I127" i="15"/>
  <c r="CC128" i="15"/>
  <c r="AG128" i="15"/>
  <c r="DA128" i="14"/>
  <c r="BE128" i="14"/>
  <c r="I128" i="14"/>
  <c r="CC128" i="13"/>
  <c r="AG128" i="13"/>
  <c r="CC128" i="14"/>
  <c r="AG128" i="14"/>
  <c r="DA128" i="13"/>
  <c r="BE128" i="13"/>
  <c r="I128" i="13"/>
  <c r="DA128" i="15"/>
  <c r="BE128" i="15"/>
  <c r="I128" i="15"/>
  <c r="DA125" i="15"/>
  <c r="BE125" i="15"/>
  <c r="I125" i="15"/>
  <c r="CC125" i="14"/>
  <c r="AG125" i="14"/>
  <c r="DA125" i="13"/>
  <c r="BE125" i="13"/>
  <c r="I125" i="13"/>
  <c r="CC125" i="15"/>
  <c r="AG125" i="15"/>
  <c r="DA125" i="14"/>
  <c r="BE125" i="14"/>
  <c r="I125" i="14"/>
  <c r="CC125" i="13"/>
  <c r="AG125" i="13"/>
  <c r="CC119" i="15"/>
  <c r="AG119" i="15"/>
  <c r="DA119" i="14"/>
  <c r="BE119" i="14"/>
  <c r="I119" i="14"/>
  <c r="CC119" i="13"/>
  <c r="AG119" i="13"/>
  <c r="DA119" i="15"/>
  <c r="BE119" i="15"/>
  <c r="I119" i="15"/>
  <c r="CC119" i="14"/>
  <c r="AG119" i="14"/>
  <c r="DA119" i="13"/>
  <c r="BE119" i="13"/>
  <c r="I119" i="13"/>
  <c r="DA121" i="15"/>
  <c r="BE121" i="15"/>
  <c r="I121" i="15"/>
  <c r="CC121" i="14"/>
  <c r="AG121" i="14"/>
  <c r="DA121" i="13"/>
  <c r="BE121" i="13"/>
  <c r="I121" i="13"/>
  <c r="CC121" i="15"/>
  <c r="AG121" i="15"/>
  <c r="DA121" i="14"/>
  <c r="BE121" i="14"/>
  <c r="I121" i="14"/>
  <c r="CC121" i="13"/>
  <c r="AG121" i="13"/>
  <c r="DA122" i="15"/>
  <c r="BE122" i="15"/>
  <c r="I122" i="15"/>
  <c r="BE122" i="14"/>
  <c r="I122" i="14"/>
  <c r="CC122" i="13"/>
  <c r="AG122" i="13"/>
  <c r="CC122" i="14"/>
  <c r="AG122" i="14"/>
  <c r="DA122" i="13"/>
  <c r="BE122" i="13"/>
  <c r="I122" i="13"/>
  <c r="CC122" i="15"/>
  <c r="AG122" i="15"/>
  <c r="DA122" i="14"/>
  <c r="CC115" i="15"/>
  <c r="AG115" i="15"/>
  <c r="DA115" i="14"/>
  <c r="BE115" i="14"/>
  <c r="I115" i="14"/>
  <c r="CC115" i="13"/>
  <c r="AG115" i="13"/>
  <c r="DA115" i="15"/>
  <c r="BE115" i="15"/>
  <c r="I115" i="15"/>
  <c r="CC115" i="14"/>
  <c r="AG115" i="14"/>
  <c r="DA115" i="13"/>
  <c r="BE115" i="13"/>
  <c r="I115" i="13"/>
  <c r="BZ120" i="16"/>
  <c r="BZ116" i="16"/>
  <c r="CC116" i="15"/>
  <c r="AG116" i="15"/>
  <c r="DA116" i="14"/>
  <c r="DA116" i="15"/>
  <c r="BE116" i="15"/>
  <c r="I116" i="15"/>
  <c r="CC116" i="14"/>
  <c r="AG116" i="14"/>
  <c r="DA116" i="13"/>
  <c r="BE116" i="13"/>
  <c r="I116" i="13"/>
  <c r="BE116" i="14"/>
  <c r="I116" i="14"/>
  <c r="CC116" i="13"/>
  <c r="AG116" i="13"/>
  <c r="CW116" i="16"/>
  <c r="I116" i="16"/>
  <c r="I120" i="16"/>
  <c r="AF116" i="16"/>
  <c r="BC116" i="16"/>
  <c r="AF120" i="16"/>
  <c r="CW118" i="16"/>
  <c r="BZ118" i="16"/>
  <c r="BC118" i="16"/>
  <c r="AF118" i="16"/>
  <c r="I118" i="16"/>
  <c r="CW123" i="16"/>
  <c r="BZ123" i="16"/>
  <c r="BC123" i="16"/>
  <c r="AF123" i="16"/>
  <c r="I123" i="16"/>
  <c r="BZ43" i="16"/>
  <c r="BC43" i="16"/>
  <c r="AF43" i="16"/>
  <c r="CW43" i="16"/>
  <c r="I43" i="16"/>
  <c r="CW117" i="16"/>
  <c r="BZ117" i="16"/>
  <c r="BC117" i="16"/>
  <c r="AF117" i="16"/>
  <c r="I117" i="16"/>
  <c r="CW122" i="16"/>
  <c r="BZ122" i="16"/>
  <c r="BC122" i="16"/>
  <c r="AF122" i="16"/>
  <c r="I122" i="16"/>
  <c r="BZ48" i="16"/>
  <c r="BC48" i="16"/>
  <c r="AF48" i="16"/>
  <c r="CW48" i="16"/>
  <c r="I48" i="16"/>
  <c r="CW127" i="16"/>
  <c r="BZ127" i="16"/>
  <c r="BC127" i="16"/>
  <c r="AF127" i="16"/>
  <c r="I127" i="16"/>
  <c r="BZ51" i="16"/>
  <c r="BC51" i="16"/>
  <c r="AF51" i="16"/>
  <c r="CW51" i="16"/>
  <c r="I51" i="16"/>
  <c r="CW121" i="16"/>
  <c r="BZ121" i="16"/>
  <c r="BC121" i="16"/>
  <c r="AF121" i="16"/>
  <c r="I121" i="16"/>
  <c r="BZ46" i="16"/>
  <c r="BC46" i="16"/>
  <c r="AF46" i="16"/>
  <c r="CW46" i="16"/>
  <c r="I46" i="16"/>
  <c r="CW126" i="16"/>
  <c r="BZ126" i="16"/>
  <c r="BC126" i="16"/>
  <c r="AF126" i="16"/>
  <c r="I126" i="16"/>
  <c r="CW115" i="16"/>
  <c r="BZ115" i="16"/>
  <c r="BC115" i="16"/>
  <c r="AF115" i="16"/>
  <c r="I115" i="16"/>
  <c r="BZ44" i="16"/>
  <c r="BC44" i="16"/>
  <c r="AF44" i="16"/>
  <c r="CW44" i="16"/>
  <c r="I44" i="16"/>
  <c r="CW125" i="16"/>
  <c r="BZ125" i="16"/>
  <c r="BC125" i="16"/>
  <c r="AF125" i="16"/>
  <c r="I125" i="16"/>
  <c r="CW27" i="16"/>
  <c r="BZ27" i="16"/>
  <c r="BC27" i="16"/>
  <c r="AF27" i="16"/>
  <c r="I27" i="16"/>
  <c r="CW114" i="16"/>
  <c r="BZ114" i="16"/>
  <c r="BC114" i="16"/>
  <c r="AF114" i="16"/>
  <c r="I114" i="16"/>
  <c r="CW119" i="16"/>
  <c r="BZ119" i="16"/>
  <c r="BC119" i="16"/>
  <c r="AF119" i="16"/>
  <c r="I119" i="16"/>
  <c r="CP126" i="16"/>
  <c r="CP100" i="16"/>
  <c r="DB73" i="16"/>
  <c r="CP127" i="16" l="1"/>
  <c r="CP101" i="16"/>
  <c r="DB74" i="16"/>
  <c r="CP128" i="16" l="1"/>
  <c r="CP102" i="16"/>
  <c r="DB75" i="16"/>
  <c r="CP103" i="16" l="1"/>
  <c r="DB76" i="16"/>
  <c r="DB77" i="16" l="1"/>
  <c r="DB78" i="16" l="1"/>
  <c r="I7" i="23" l="1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H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15" i="3"/>
  <c r="F9" i="23" l="1"/>
  <c r="F18" i="23"/>
  <c r="E8" i="23"/>
  <c r="E16" i="23"/>
  <c r="E17" i="23"/>
  <c r="D7" i="23"/>
  <c r="D8" i="23"/>
  <c r="D9" i="23"/>
  <c r="D11" i="23"/>
  <c r="D12" i="23"/>
  <c r="D14" i="23"/>
  <c r="D15" i="23"/>
  <c r="D17" i="23"/>
  <c r="D18" i="23"/>
  <c r="D20" i="23"/>
  <c r="D21" i="23"/>
  <c r="D21" i="22"/>
  <c r="D18" i="22"/>
  <c r="D15" i="22"/>
  <c r="D12" i="22"/>
  <c r="D9" i="22"/>
  <c r="E12" i="23"/>
  <c r="F11" i="23"/>
  <c r="D19" i="23" l="1"/>
  <c r="D16" i="23"/>
  <c r="K16" i="23" s="1"/>
  <c r="D10" i="23"/>
  <c r="D22" i="23"/>
  <c r="D13" i="23"/>
  <c r="K8" i="23"/>
  <c r="F17" i="23"/>
  <c r="E18" i="23"/>
  <c r="K18" i="23" s="1"/>
  <c r="L18" i="23" s="1"/>
  <c r="F10" i="23"/>
  <c r="E10" i="23"/>
  <c r="E9" i="23"/>
  <c r="K9" i="23" s="1"/>
  <c r="L9" i="23" s="1"/>
  <c r="F16" i="23"/>
  <c r="F8" i="23"/>
  <c r="K17" i="23"/>
  <c r="E7" i="23"/>
  <c r="K7" i="23" s="1"/>
  <c r="E15" i="23"/>
  <c r="K15" i="23" s="1"/>
  <c r="F7" i="23"/>
  <c r="F15" i="23"/>
  <c r="E22" i="23"/>
  <c r="E14" i="23"/>
  <c r="K14" i="23" s="1"/>
  <c r="F22" i="23"/>
  <c r="F14" i="23"/>
  <c r="E21" i="23"/>
  <c r="K21" i="23" s="1"/>
  <c r="E13" i="23"/>
  <c r="F21" i="23"/>
  <c r="F13" i="23"/>
  <c r="K12" i="23"/>
  <c r="E20" i="23"/>
  <c r="K20" i="23" s="1"/>
  <c r="F20" i="23"/>
  <c r="F12" i="23"/>
  <c r="E19" i="23"/>
  <c r="E11" i="23"/>
  <c r="K11" i="23" s="1"/>
  <c r="L11" i="23" s="1"/>
  <c r="F19" i="23"/>
  <c r="K19" i="23" l="1"/>
  <c r="L19" i="23" s="1"/>
  <c r="K13" i="23"/>
  <c r="L13" i="23" s="1"/>
  <c r="K22" i="23"/>
  <c r="L22" i="23" s="1"/>
  <c r="K10" i="23"/>
  <c r="L10" i="23" s="1"/>
  <c r="L17" i="23"/>
  <c r="L21" i="23"/>
  <c r="L16" i="23"/>
  <c r="L15" i="23"/>
  <c r="L20" i="23"/>
  <c r="L8" i="23"/>
  <c r="L14" i="23"/>
  <c r="L7" i="23"/>
  <c r="L12" i="23"/>
  <c r="P140" i="3"/>
  <c r="Z74" i="3" l="1"/>
  <c r="AB74" i="3" s="1"/>
  <c r="AB81" i="3" s="1"/>
  <c r="U74" i="3"/>
  <c r="W74" i="3" s="1"/>
  <c r="P74" i="3"/>
  <c r="R74" i="3" s="1"/>
  <c r="K74" i="3"/>
  <c r="M74" i="3" s="1"/>
  <c r="F74" i="3"/>
  <c r="H74" i="3" s="1"/>
  <c r="F40" i="1"/>
  <c r="G40" i="1"/>
  <c r="E40" i="1"/>
  <c r="F63" i="1"/>
  <c r="G63" i="1"/>
  <c r="H63" i="1"/>
  <c r="I63" i="1"/>
  <c r="E63" i="1"/>
  <c r="C4" i="7"/>
  <c r="F17" i="1"/>
  <c r="G17" i="1"/>
  <c r="E17" i="1"/>
  <c r="F16" i="1"/>
  <c r="G16" i="1"/>
  <c r="H16" i="1"/>
  <c r="I16" i="1"/>
  <c r="E16" i="1"/>
  <c r="G14" i="1"/>
  <c r="E14" i="1"/>
  <c r="H13" i="1"/>
  <c r="I13" i="1"/>
  <c r="E13" i="1"/>
  <c r="F70" i="1"/>
  <c r="G70" i="1"/>
  <c r="H70" i="1"/>
  <c r="I70" i="1"/>
  <c r="E70" i="1"/>
  <c r="F69" i="1"/>
  <c r="G69" i="1"/>
  <c r="H69" i="1"/>
  <c r="I69" i="1"/>
  <c r="E69" i="1"/>
  <c r="F18" i="1"/>
  <c r="G18" i="1"/>
  <c r="H18" i="1"/>
  <c r="I18" i="1"/>
  <c r="E18" i="1"/>
  <c r="C6" i="9"/>
  <c r="H21" i="1" l="1"/>
  <c r="H23" i="1" s="1"/>
  <c r="X33" i="7"/>
  <c r="S21" i="7"/>
  <c r="X27" i="7"/>
  <c r="X21" i="7"/>
  <c r="S26" i="7"/>
  <c r="N21" i="7"/>
  <c r="I21" i="7"/>
  <c r="I118" i="7"/>
  <c r="I122" i="7" s="1"/>
  <c r="N57" i="7"/>
  <c r="N58" i="7" s="1"/>
  <c r="X50" i="7"/>
  <c r="X54" i="7" s="1"/>
  <c r="S120" i="7"/>
  <c r="S122" i="7" s="1"/>
  <c r="I52" i="7"/>
  <c r="I54" i="7" s="1"/>
  <c r="X121" i="7"/>
  <c r="X122" i="7" s="1"/>
  <c r="X57" i="7"/>
  <c r="X58" i="7" s="1"/>
  <c r="I57" i="7"/>
  <c r="I58" i="7" s="1"/>
  <c r="N119" i="7"/>
  <c r="N122" i="7" s="1"/>
  <c r="S57" i="7"/>
  <c r="N52" i="7"/>
  <c r="N54" i="7" s="1"/>
  <c r="N108" i="7"/>
  <c r="N115" i="7" s="1"/>
  <c r="I108" i="7"/>
  <c r="I115" i="7" s="1"/>
  <c r="S104" i="7"/>
  <c r="S105" i="7" s="1"/>
  <c r="X104" i="7"/>
  <c r="X105" i="7" s="1"/>
  <c r="S65" i="7"/>
  <c r="S72" i="7" s="1"/>
  <c r="X65" i="7"/>
  <c r="X72" i="7" s="1"/>
  <c r="I92" i="7"/>
  <c r="X92" i="7"/>
  <c r="N92" i="7"/>
  <c r="S92" i="7"/>
  <c r="X76" i="7"/>
  <c r="N76" i="7"/>
  <c r="N85" i="7" s="1"/>
  <c r="S76" i="7"/>
  <c r="S85" i="7" s="1"/>
  <c r="I76" i="7"/>
  <c r="I85" i="7" s="1"/>
  <c r="I101" i="7"/>
  <c r="N65" i="7"/>
  <c r="N72" i="7" s="1"/>
  <c r="S61" i="7"/>
  <c r="S62" i="7" s="1"/>
  <c r="S52" i="7"/>
  <c r="I65" i="7"/>
  <c r="I72" i="7" s="1"/>
  <c r="X61" i="7"/>
  <c r="X62" i="7" s="1"/>
  <c r="C6" i="10"/>
  <c r="B4" i="16"/>
  <c r="F14" i="1"/>
  <c r="M140" i="16" l="1"/>
  <c r="M139" i="16"/>
  <c r="M141" i="16"/>
  <c r="M138" i="16"/>
  <c r="M153" i="16"/>
  <c r="M149" i="16"/>
  <c r="M148" i="16"/>
  <c r="M143" i="16"/>
  <c r="M142" i="16"/>
  <c r="M145" i="16"/>
  <c r="M146" i="16"/>
  <c r="M151" i="16"/>
  <c r="M150" i="16"/>
  <c r="M147" i="16"/>
  <c r="M152" i="16"/>
  <c r="M144" i="16"/>
  <c r="P68" i="16"/>
  <c r="P74" i="16"/>
  <c r="P75" i="16"/>
  <c r="P78" i="16"/>
  <c r="P65" i="16"/>
  <c r="P73" i="16"/>
  <c r="P63" i="16"/>
  <c r="P70" i="16"/>
  <c r="P64" i="16"/>
  <c r="P69" i="16"/>
  <c r="AB15" i="10"/>
  <c r="AB17" i="10"/>
  <c r="AB21" i="10"/>
  <c r="AB23" i="10"/>
  <c r="AB27" i="10"/>
  <c r="AA71" i="10"/>
  <c r="AA42" i="10"/>
  <c r="AA79" i="10"/>
  <c r="AA75" i="10"/>
  <c r="AA95" i="10"/>
  <c r="AA98" i="10"/>
  <c r="AA13" i="10"/>
  <c r="AA96" i="10"/>
  <c r="AA92" i="10"/>
  <c r="AA47" i="10"/>
  <c r="AA50" i="10"/>
  <c r="AA91" i="10"/>
  <c r="AA53" i="10"/>
  <c r="AA49" i="10"/>
  <c r="AA77" i="10"/>
  <c r="AA80" i="10"/>
  <c r="AA66" i="10"/>
  <c r="AA48" i="10"/>
  <c r="AA14" i="10"/>
  <c r="AA40" i="10"/>
  <c r="AA18" i="10"/>
  <c r="AA51" i="10"/>
  <c r="AA27" i="10"/>
  <c r="AA16" i="10"/>
  <c r="AA20" i="10"/>
  <c r="AA25" i="10"/>
  <c r="AA22" i="10"/>
  <c r="AA24" i="10"/>
  <c r="AA65" i="10"/>
  <c r="AA45" i="10"/>
  <c r="AA41" i="10"/>
  <c r="AA73" i="10"/>
  <c r="AA76" i="10"/>
  <c r="AA23" i="10"/>
  <c r="AA94" i="10"/>
  <c r="AA105" i="10"/>
  <c r="AA101" i="10"/>
  <c r="AA103" i="10"/>
  <c r="AA106" i="10"/>
  <c r="AA52" i="10"/>
  <c r="AA17" i="10"/>
  <c r="AA39" i="10"/>
  <c r="AA78" i="10"/>
  <c r="AA74" i="10"/>
  <c r="AA43" i="10"/>
  <c r="AA46" i="10"/>
  <c r="AA70" i="10"/>
  <c r="AA68" i="10"/>
  <c r="AA97" i="10"/>
  <c r="AA93" i="10"/>
  <c r="AA99" i="10"/>
  <c r="AA102" i="10"/>
  <c r="AA67" i="10"/>
  <c r="AA104" i="10"/>
  <c r="AA54" i="10"/>
  <c r="AA26" i="10"/>
  <c r="AA15" i="10"/>
  <c r="AA19" i="10"/>
  <c r="AA69" i="10"/>
  <c r="AA72" i="10"/>
  <c r="AA28" i="10"/>
  <c r="AA44" i="10"/>
  <c r="AA21" i="10"/>
  <c r="AA100" i="10"/>
  <c r="R138" i="16"/>
  <c r="S54" i="7"/>
  <c r="S58" i="7" s="1"/>
  <c r="X101" i="7"/>
  <c r="N101" i="7"/>
  <c r="S101" i="7"/>
  <c r="X85" i="7"/>
  <c r="DD72" i="16"/>
  <c r="DH72" i="16" s="1"/>
  <c r="CD72" i="16"/>
  <c r="CH72" i="16" s="1"/>
  <c r="BD72" i="16"/>
  <c r="BH72" i="16" s="1"/>
  <c r="AD72" i="16"/>
  <c r="AH72" i="16" s="1"/>
  <c r="D72" i="16"/>
  <c r="H72" i="16" s="1"/>
  <c r="P72" i="16" s="1"/>
  <c r="DD72" i="15"/>
  <c r="DH72" i="15" s="1"/>
  <c r="DP72" i="15" s="1"/>
  <c r="CD72" i="15"/>
  <c r="CH72" i="15" s="1"/>
  <c r="CP72" i="15" s="1"/>
  <c r="BD72" i="15"/>
  <c r="BH72" i="15" s="1"/>
  <c r="BP72" i="15" s="1"/>
  <c r="AD72" i="15"/>
  <c r="AH72" i="15" s="1"/>
  <c r="AP72" i="15" s="1"/>
  <c r="D72" i="15"/>
  <c r="DD77" i="14"/>
  <c r="DH77" i="14" s="1"/>
  <c r="DP77" i="14" s="1"/>
  <c r="CD77" i="14"/>
  <c r="CH77" i="14" s="1"/>
  <c r="CP77" i="14" s="1"/>
  <c r="DD72" i="14"/>
  <c r="DH72" i="14" s="1"/>
  <c r="DP72" i="14" s="1"/>
  <c r="CD72" i="14"/>
  <c r="CH72" i="14" s="1"/>
  <c r="CP72" i="14" s="1"/>
  <c r="BD77" i="14"/>
  <c r="BH77" i="14" s="1"/>
  <c r="BP77" i="14" s="1"/>
  <c r="AD77" i="16"/>
  <c r="AH77" i="16" s="1"/>
  <c r="AD67" i="16"/>
  <c r="AH67" i="16" s="1"/>
  <c r="BD77" i="15"/>
  <c r="BH77" i="15" s="1"/>
  <c r="BP77" i="15" s="1"/>
  <c r="BD67" i="15"/>
  <c r="BH67" i="15" s="1"/>
  <c r="BP67" i="15" s="1"/>
  <c r="BD72" i="14"/>
  <c r="BH72" i="14" s="1"/>
  <c r="BP72" i="14" s="1"/>
  <c r="AD67" i="14"/>
  <c r="AH67" i="14" s="1"/>
  <c r="AP67" i="14" s="1"/>
  <c r="D77" i="14"/>
  <c r="H77" i="14" s="1"/>
  <c r="P77" i="14" s="1"/>
  <c r="D67" i="14"/>
  <c r="H67" i="14" s="1"/>
  <c r="P67" i="14" s="1"/>
  <c r="DD67" i="13"/>
  <c r="DH67" i="13" s="1"/>
  <c r="CD67" i="13"/>
  <c r="CH67" i="13" s="1"/>
  <c r="BD67" i="13"/>
  <c r="BH67" i="13" s="1"/>
  <c r="AD67" i="13"/>
  <c r="AH67" i="13" s="1"/>
  <c r="D67" i="13"/>
  <c r="H67" i="13" s="1"/>
  <c r="DD77" i="16"/>
  <c r="DH77" i="16" s="1"/>
  <c r="DD67" i="16"/>
  <c r="DH67" i="16" s="1"/>
  <c r="D77" i="16"/>
  <c r="H77" i="16" s="1"/>
  <c r="P77" i="16" s="1"/>
  <c r="D67" i="16"/>
  <c r="H67" i="16" s="1"/>
  <c r="P67" i="16" s="1"/>
  <c r="AD77" i="15"/>
  <c r="AH77" i="15" s="1"/>
  <c r="AP77" i="15" s="1"/>
  <c r="AD67" i="15"/>
  <c r="AH67" i="15" s="1"/>
  <c r="AP67" i="15" s="1"/>
  <c r="BD67" i="14"/>
  <c r="BH67" i="14" s="1"/>
  <c r="BP67" i="14" s="1"/>
  <c r="CD77" i="16"/>
  <c r="CH77" i="16" s="1"/>
  <c r="CD67" i="16"/>
  <c r="CH67" i="16" s="1"/>
  <c r="DD77" i="15"/>
  <c r="DH77" i="15" s="1"/>
  <c r="DP77" i="15" s="1"/>
  <c r="DD67" i="15"/>
  <c r="DH67" i="15" s="1"/>
  <c r="DP67" i="15" s="1"/>
  <c r="D77" i="15"/>
  <c r="D67" i="15"/>
  <c r="DD67" i="14"/>
  <c r="DH67" i="14" s="1"/>
  <c r="DP67" i="14" s="1"/>
  <c r="CD67" i="14"/>
  <c r="CH67" i="14" s="1"/>
  <c r="CP67" i="14" s="1"/>
  <c r="AD77" i="14"/>
  <c r="AH77" i="14" s="1"/>
  <c r="AP77" i="14" s="1"/>
  <c r="D72" i="14"/>
  <c r="H72" i="14" s="1"/>
  <c r="P72" i="14" s="1"/>
  <c r="DD77" i="13"/>
  <c r="DH77" i="13" s="1"/>
  <c r="CD77" i="13"/>
  <c r="CH77" i="13" s="1"/>
  <c r="BD77" i="13"/>
  <c r="BH77" i="13" s="1"/>
  <c r="AD77" i="13"/>
  <c r="AH77" i="13" s="1"/>
  <c r="D77" i="13"/>
  <c r="H77" i="13" s="1"/>
  <c r="BD77" i="16"/>
  <c r="BH77" i="16" s="1"/>
  <c r="BD67" i="16"/>
  <c r="BH67" i="16" s="1"/>
  <c r="CD77" i="15"/>
  <c r="CH77" i="15" s="1"/>
  <c r="CP77" i="15" s="1"/>
  <c r="CD67" i="15"/>
  <c r="CH67" i="15" s="1"/>
  <c r="CP67" i="15" s="1"/>
  <c r="AD72" i="14"/>
  <c r="AH72" i="14" s="1"/>
  <c r="AP72" i="14" s="1"/>
  <c r="DD72" i="13"/>
  <c r="DH72" i="13" s="1"/>
  <c r="D72" i="13"/>
  <c r="H72" i="13" s="1"/>
  <c r="BD72" i="13"/>
  <c r="BH72" i="13" s="1"/>
  <c r="AD72" i="13"/>
  <c r="AH72" i="13" s="1"/>
  <c r="CD72" i="13"/>
  <c r="CH72" i="13" s="1"/>
  <c r="DD66" i="14"/>
  <c r="DH66" i="14" s="1"/>
  <c r="DP66" i="14" s="1"/>
  <c r="CD66" i="14"/>
  <c r="CH66" i="14" s="1"/>
  <c r="CP66" i="14" s="1"/>
  <c r="DD76" i="16"/>
  <c r="DH76" i="16" s="1"/>
  <c r="DD66" i="16"/>
  <c r="DH66" i="16" s="1"/>
  <c r="CD76" i="16"/>
  <c r="CH76" i="16" s="1"/>
  <c r="CD66" i="16"/>
  <c r="CH66" i="16" s="1"/>
  <c r="BD76" i="16"/>
  <c r="BH76" i="16" s="1"/>
  <c r="BD66" i="16"/>
  <c r="BH66" i="16" s="1"/>
  <c r="AD76" i="16"/>
  <c r="AH76" i="16" s="1"/>
  <c r="AD66" i="16"/>
  <c r="AH66" i="16" s="1"/>
  <c r="D76" i="16"/>
  <c r="H76" i="16" s="1"/>
  <c r="P76" i="16" s="1"/>
  <c r="D66" i="16"/>
  <c r="H66" i="16" s="1"/>
  <c r="P66" i="16" s="1"/>
  <c r="DD76" i="15"/>
  <c r="DH76" i="15" s="1"/>
  <c r="DP76" i="15" s="1"/>
  <c r="DD66" i="15"/>
  <c r="DH66" i="15" s="1"/>
  <c r="DP66" i="15" s="1"/>
  <c r="CD76" i="15"/>
  <c r="CH76" i="15" s="1"/>
  <c r="CP76" i="15" s="1"/>
  <c r="CD66" i="15"/>
  <c r="CH66" i="15" s="1"/>
  <c r="CP66" i="15" s="1"/>
  <c r="BD76" i="15"/>
  <c r="BH76" i="15" s="1"/>
  <c r="BP76" i="15" s="1"/>
  <c r="BD66" i="15"/>
  <c r="BH66" i="15" s="1"/>
  <c r="BP66" i="15" s="1"/>
  <c r="AD76" i="15"/>
  <c r="AH76" i="15" s="1"/>
  <c r="AP76" i="15" s="1"/>
  <c r="AD66" i="15"/>
  <c r="AH66" i="15" s="1"/>
  <c r="AP66" i="15" s="1"/>
  <c r="D76" i="15"/>
  <c r="H76" i="15" s="1"/>
  <c r="P76" i="15" s="1"/>
  <c r="D66" i="15"/>
  <c r="H66" i="15" s="1"/>
  <c r="P66" i="15" s="1"/>
  <c r="DD76" i="14"/>
  <c r="DH76" i="14" s="1"/>
  <c r="DP76" i="14" s="1"/>
  <c r="CD76" i="14"/>
  <c r="CH76" i="14" s="1"/>
  <c r="CP76" i="14" s="1"/>
  <c r="AD71" i="16"/>
  <c r="AH71" i="16" s="1"/>
  <c r="BD71" i="15"/>
  <c r="BH71" i="15" s="1"/>
  <c r="BP71" i="15" s="1"/>
  <c r="BD76" i="14"/>
  <c r="BH76" i="14" s="1"/>
  <c r="BP76" i="14" s="1"/>
  <c r="AD71" i="14"/>
  <c r="AH71" i="14" s="1"/>
  <c r="AP71" i="14" s="1"/>
  <c r="D71" i="14"/>
  <c r="H71" i="14" s="1"/>
  <c r="P71" i="14" s="1"/>
  <c r="DD71" i="13"/>
  <c r="DH71" i="13" s="1"/>
  <c r="CD71" i="13"/>
  <c r="CH71" i="13" s="1"/>
  <c r="BD71" i="13"/>
  <c r="BH71" i="13" s="1"/>
  <c r="AD71" i="13"/>
  <c r="AH71" i="13" s="1"/>
  <c r="D71" i="13"/>
  <c r="H71" i="13" s="1"/>
  <c r="P71" i="13" s="1"/>
  <c r="DD71" i="16"/>
  <c r="DH71" i="16" s="1"/>
  <c r="D71" i="16"/>
  <c r="H71" i="16" s="1"/>
  <c r="P71" i="16" s="1"/>
  <c r="AD71" i="15"/>
  <c r="AH71" i="15" s="1"/>
  <c r="AP71" i="15" s="1"/>
  <c r="BD71" i="14"/>
  <c r="BH71" i="14" s="1"/>
  <c r="BP71" i="14" s="1"/>
  <c r="AD66" i="14"/>
  <c r="AH66" i="14" s="1"/>
  <c r="AP66" i="14" s="1"/>
  <c r="CD71" i="16"/>
  <c r="CH71" i="16" s="1"/>
  <c r="DD71" i="15"/>
  <c r="DH71" i="15" s="1"/>
  <c r="DP71" i="15" s="1"/>
  <c r="D71" i="15"/>
  <c r="H71" i="15" s="1"/>
  <c r="P71" i="15" s="1"/>
  <c r="DD71" i="14"/>
  <c r="DH71" i="14" s="1"/>
  <c r="DP71" i="14" s="1"/>
  <c r="CD71" i="14"/>
  <c r="CH71" i="14" s="1"/>
  <c r="CP71" i="14" s="1"/>
  <c r="BD66" i="14"/>
  <c r="BH66" i="14" s="1"/>
  <c r="BP66" i="14" s="1"/>
  <c r="D76" i="14"/>
  <c r="H76" i="14" s="1"/>
  <c r="P76" i="14" s="1"/>
  <c r="D66" i="14"/>
  <c r="H66" i="14" s="1"/>
  <c r="P66" i="14" s="1"/>
  <c r="BD71" i="16"/>
  <c r="BH71" i="16" s="1"/>
  <c r="CD71" i="15"/>
  <c r="CH71" i="15" s="1"/>
  <c r="CP71" i="15" s="1"/>
  <c r="AD76" i="14"/>
  <c r="AH76" i="14" s="1"/>
  <c r="AP76" i="14" s="1"/>
  <c r="DD76" i="13"/>
  <c r="DH76" i="13" s="1"/>
  <c r="DD66" i="13"/>
  <c r="DH66" i="13" s="1"/>
  <c r="D76" i="13"/>
  <c r="H76" i="13" s="1"/>
  <c r="D66" i="13"/>
  <c r="H66" i="13" s="1"/>
  <c r="CD76" i="13"/>
  <c r="CH76" i="13" s="1"/>
  <c r="CD66" i="13"/>
  <c r="CH66" i="13" s="1"/>
  <c r="BD76" i="13"/>
  <c r="BH76" i="13" s="1"/>
  <c r="BD66" i="13"/>
  <c r="BH66" i="13" s="1"/>
  <c r="BP66" i="13" s="1"/>
  <c r="AD76" i="13"/>
  <c r="AH76" i="13" s="1"/>
  <c r="AD66" i="13"/>
  <c r="AH66" i="13" s="1"/>
  <c r="F5" i="18"/>
  <c r="G13" i="1"/>
  <c r="E5" i="18"/>
  <c r="F13" i="1"/>
  <c r="D4" i="16"/>
  <c r="C4" i="16"/>
  <c r="B4" i="13"/>
  <c r="D28" i="23"/>
  <c r="D28" i="17"/>
  <c r="AP66" i="16" l="1"/>
  <c r="DP77" i="13"/>
  <c r="BG148" i="16"/>
  <c r="BG151" i="16"/>
  <c r="BG147" i="16"/>
  <c r="BG141" i="16"/>
  <c r="BG142" i="16"/>
  <c r="BG143" i="16"/>
  <c r="BG146" i="16"/>
  <c r="BG144" i="16"/>
  <c r="BG138" i="16"/>
  <c r="BG145" i="16"/>
  <c r="BG139" i="16"/>
  <c r="BG153" i="16"/>
  <c r="BG149" i="16"/>
  <c r="BG140" i="16"/>
  <c r="BG150" i="16"/>
  <c r="BG152" i="16"/>
  <c r="BP74" i="16"/>
  <c r="BP65" i="16"/>
  <c r="BP70" i="16"/>
  <c r="BP73" i="16"/>
  <c r="BP75" i="16"/>
  <c r="BP69" i="16"/>
  <c r="BP64" i="16"/>
  <c r="BP78" i="16"/>
  <c r="BP63" i="16"/>
  <c r="BP68" i="16"/>
  <c r="BP76" i="13"/>
  <c r="AP71" i="13"/>
  <c r="AP71" i="16"/>
  <c r="AP76" i="16"/>
  <c r="CP66" i="13"/>
  <c r="BP71" i="16"/>
  <c r="BP71" i="13"/>
  <c r="BP66" i="16"/>
  <c r="CP72" i="13"/>
  <c r="BP67" i="16"/>
  <c r="P67" i="13"/>
  <c r="AP72" i="16"/>
  <c r="CP76" i="13"/>
  <c r="CP71" i="13"/>
  <c r="BP76" i="16"/>
  <c r="AP72" i="13"/>
  <c r="BP77" i="16"/>
  <c r="AP67" i="13"/>
  <c r="BP72" i="16"/>
  <c r="P66" i="13"/>
  <c r="DP71" i="13"/>
  <c r="BP72" i="13"/>
  <c r="P77" i="13"/>
  <c r="BP67" i="13"/>
  <c r="P76" i="13"/>
  <c r="P72" i="13"/>
  <c r="AP77" i="13"/>
  <c r="CP67" i="13"/>
  <c r="AP67" i="16"/>
  <c r="AP66" i="13"/>
  <c r="DP66" i="13"/>
  <c r="DP72" i="13"/>
  <c r="BP77" i="13"/>
  <c r="DP67" i="13"/>
  <c r="AP77" i="16"/>
  <c r="AJ138" i="16"/>
  <c r="AJ144" i="16"/>
  <c r="AJ149" i="16"/>
  <c r="AJ152" i="16"/>
  <c r="AJ147" i="16"/>
  <c r="AJ145" i="16"/>
  <c r="AJ141" i="16"/>
  <c r="AJ146" i="16"/>
  <c r="AJ148" i="16"/>
  <c r="AJ143" i="16"/>
  <c r="AJ142" i="16"/>
  <c r="AJ140" i="16"/>
  <c r="AJ151" i="16"/>
  <c r="AJ150" i="16"/>
  <c r="AJ139" i="16"/>
  <c r="AJ153" i="16"/>
  <c r="AP68" i="16"/>
  <c r="AP64" i="16"/>
  <c r="AP63" i="16"/>
  <c r="AP69" i="16"/>
  <c r="AP65" i="16"/>
  <c r="AP73" i="16"/>
  <c r="AP70" i="16"/>
  <c r="AP75" i="16"/>
  <c r="AP74" i="16"/>
  <c r="AP78" i="16"/>
  <c r="DE138" i="13"/>
  <c r="DE146" i="13"/>
  <c r="M145" i="13"/>
  <c r="BI138" i="13"/>
  <c r="AK138" i="13"/>
  <c r="BI146" i="13"/>
  <c r="AK142" i="13"/>
  <c r="M138" i="13"/>
  <c r="AK146" i="13"/>
  <c r="DE150" i="13"/>
  <c r="CG138" i="13"/>
  <c r="CL138" i="13" s="1"/>
  <c r="BI142" i="13"/>
  <c r="BI150" i="13"/>
  <c r="M153" i="13"/>
  <c r="CG140" i="13"/>
  <c r="CG150" i="13"/>
  <c r="M150" i="13"/>
  <c r="CG153" i="13"/>
  <c r="M140" i="13"/>
  <c r="M144" i="13"/>
  <c r="BI153" i="13"/>
  <c r="CG146" i="13"/>
  <c r="M148" i="13"/>
  <c r="M141" i="13"/>
  <c r="CG152" i="13"/>
  <c r="BI143" i="13"/>
  <c r="M142" i="13"/>
  <c r="CG144" i="13"/>
  <c r="M139" i="13"/>
  <c r="AK139" i="13"/>
  <c r="CG151" i="13"/>
  <c r="DE148" i="13"/>
  <c r="CG149" i="13"/>
  <c r="DE147" i="13"/>
  <c r="CG142" i="13"/>
  <c r="AK150" i="13"/>
  <c r="DE139" i="13"/>
  <c r="M147" i="13"/>
  <c r="BI144" i="13"/>
  <c r="CG143" i="13"/>
  <c r="AK147" i="13"/>
  <c r="AK145" i="13"/>
  <c r="AK144" i="13"/>
  <c r="CG145" i="13"/>
  <c r="DE144" i="13"/>
  <c r="DE143" i="13"/>
  <c r="BI141" i="13"/>
  <c r="M143" i="13"/>
  <c r="DE153" i="13"/>
  <c r="DE141" i="13"/>
  <c r="DE140" i="13"/>
  <c r="CG141" i="13"/>
  <c r="DE151" i="13"/>
  <c r="M152" i="13"/>
  <c r="DE152" i="13"/>
  <c r="AK152" i="13"/>
  <c r="M151" i="13"/>
  <c r="BI145" i="13"/>
  <c r="AK141" i="13"/>
  <c r="AK143" i="13"/>
  <c r="BI151" i="13"/>
  <c r="M149" i="13"/>
  <c r="AK140" i="13"/>
  <c r="BI147" i="13"/>
  <c r="M146" i="13"/>
  <c r="AK151" i="13"/>
  <c r="AK153" i="13"/>
  <c r="AK149" i="13"/>
  <c r="CG148" i="13"/>
  <c r="DE145" i="13"/>
  <c r="BI140" i="13"/>
  <c r="CG139" i="13"/>
  <c r="BI139" i="13"/>
  <c r="BI149" i="13"/>
  <c r="BI152" i="13"/>
  <c r="AK148" i="13"/>
  <c r="BI148" i="13"/>
  <c r="DE149" i="13"/>
  <c r="CG147" i="13"/>
  <c r="DE142" i="13"/>
  <c r="CP75" i="13"/>
  <c r="AP64" i="13"/>
  <c r="P69" i="13"/>
  <c r="BP70" i="13"/>
  <c r="AP68" i="13"/>
  <c r="AP78" i="13"/>
  <c r="DP63" i="13"/>
  <c r="AP69" i="13"/>
  <c r="AP65" i="13"/>
  <c r="DP78" i="13"/>
  <c r="DP65" i="13"/>
  <c r="BP64" i="13"/>
  <c r="BP75" i="13"/>
  <c r="CP63" i="13"/>
  <c r="DP73" i="13"/>
  <c r="DP64" i="13"/>
  <c r="P75" i="13"/>
  <c r="AP74" i="13"/>
  <c r="AP75" i="13"/>
  <c r="BP63" i="13"/>
  <c r="CP70" i="13"/>
  <c r="BP65" i="13"/>
  <c r="AP63" i="13"/>
  <c r="DP69" i="13"/>
  <c r="CP68" i="13"/>
  <c r="BP69" i="13"/>
  <c r="P63" i="13"/>
  <c r="CP64" i="13"/>
  <c r="P73" i="13"/>
  <c r="BP78" i="13"/>
  <c r="DP68" i="13"/>
  <c r="DP70" i="13"/>
  <c r="P78" i="13"/>
  <c r="CP69" i="13"/>
  <c r="CP78" i="13"/>
  <c r="BP73" i="13"/>
  <c r="P64" i="13"/>
  <c r="AP70" i="13"/>
  <c r="CP65" i="13"/>
  <c r="P68" i="13"/>
  <c r="DP74" i="13"/>
  <c r="P65" i="13"/>
  <c r="CP73" i="13"/>
  <c r="CP74" i="13"/>
  <c r="P70" i="13"/>
  <c r="BP68" i="13"/>
  <c r="P74" i="13"/>
  <c r="AP73" i="13"/>
  <c r="BP74" i="13"/>
  <c r="DP75" i="13"/>
  <c r="AP76" i="13"/>
  <c r="DP76" i="13"/>
  <c r="CP77" i="13"/>
  <c r="AO138" i="16"/>
  <c r="BL138" i="16"/>
  <c r="R139" i="16"/>
  <c r="R140" i="16" s="1"/>
  <c r="R141" i="16" s="1"/>
  <c r="R142" i="16" s="1"/>
  <c r="R143" i="16" s="1"/>
  <c r="R144" i="16" s="1"/>
  <c r="R145" i="16" s="1"/>
  <c r="R146" i="16" s="1"/>
  <c r="R147" i="16" s="1"/>
  <c r="R148" i="16" s="1"/>
  <c r="R149" i="16" s="1"/>
  <c r="R150" i="16" s="1"/>
  <c r="R151" i="16" s="1"/>
  <c r="R152" i="16" s="1"/>
  <c r="R153" i="16" s="1"/>
  <c r="AG160" i="16" s="1"/>
  <c r="DJ138" i="13"/>
  <c r="AP138" i="13"/>
  <c r="R138" i="13"/>
  <c r="BN138" i="13"/>
  <c r="BN139" i="13" s="1"/>
  <c r="BN140" i="13" s="1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7" i="17"/>
  <c r="BL139" i="16" l="1"/>
  <c r="CL139" i="13"/>
  <c r="CL140" i="13" s="1"/>
  <c r="CL141" i="13" s="1"/>
  <c r="CL142" i="13" s="1"/>
  <c r="CL143" i="13" s="1"/>
  <c r="CL144" i="13" s="1"/>
  <c r="CL145" i="13" s="1"/>
  <c r="CL146" i="13" s="1"/>
  <c r="CL147" i="13" s="1"/>
  <c r="CL148" i="13" s="1"/>
  <c r="CL149" i="13" s="1"/>
  <c r="CL150" i="13" s="1"/>
  <c r="CL151" i="13" s="1"/>
  <c r="CL152" i="13" s="1"/>
  <c r="CL153" i="13" s="1"/>
  <c r="AJ160" i="13" s="1"/>
  <c r="BN141" i="13"/>
  <c r="BN142" i="13" s="1"/>
  <c r="BN143" i="13" s="1"/>
  <c r="BN144" i="13" s="1"/>
  <c r="BN145" i="13" s="1"/>
  <c r="BN146" i="13" s="1"/>
  <c r="BN147" i="13" s="1"/>
  <c r="BN148" i="13" s="1"/>
  <c r="BN149" i="13" s="1"/>
  <c r="BN150" i="13" s="1"/>
  <c r="BN151" i="13" s="1"/>
  <c r="BN152" i="13" s="1"/>
  <c r="BN153" i="13" s="1"/>
  <c r="AI160" i="13" s="1"/>
  <c r="BL140" i="16"/>
  <c r="BL141" i="16" s="1"/>
  <c r="BL142" i="16" s="1"/>
  <c r="BL143" i="16" s="1"/>
  <c r="BL144" i="16" s="1"/>
  <c r="BL145" i="16" s="1"/>
  <c r="BL146" i="16" s="1"/>
  <c r="BL147" i="16" s="1"/>
  <c r="BL148" i="16" s="1"/>
  <c r="BL149" i="16" s="1"/>
  <c r="BL150" i="16" s="1"/>
  <c r="BL151" i="16" s="1"/>
  <c r="BL152" i="16" s="1"/>
  <c r="BL153" i="16" s="1"/>
  <c r="AI160" i="16" s="1"/>
  <c r="AO139" i="16"/>
  <c r="AO140" i="16" s="1"/>
  <c r="AO141" i="16" s="1"/>
  <c r="AO142" i="16" s="1"/>
  <c r="AO143" i="16" s="1"/>
  <c r="AO144" i="16" s="1"/>
  <c r="AO145" i="16" s="1"/>
  <c r="AO146" i="16" s="1"/>
  <c r="AO147" i="16" s="1"/>
  <c r="AO148" i="16" s="1"/>
  <c r="AO149" i="16" s="1"/>
  <c r="AO150" i="16" s="1"/>
  <c r="AO151" i="16" s="1"/>
  <c r="AO152" i="16" s="1"/>
  <c r="AO153" i="16" s="1"/>
  <c r="AH160" i="16" s="1"/>
  <c r="R139" i="13"/>
  <c r="R140" i="13" s="1"/>
  <c r="R141" i="13" s="1"/>
  <c r="R142" i="13" s="1"/>
  <c r="R143" i="13" s="1"/>
  <c r="R144" i="13" s="1"/>
  <c r="R145" i="13" s="1"/>
  <c r="R146" i="13" s="1"/>
  <c r="R147" i="13" s="1"/>
  <c r="R148" i="13" s="1"/>
  <c r="R149" i="13" s="1"/>
  <c r="R150" i="13" s="1"/>
  <c r="R151" i="13" s="1"/>
  <c r="R152" i="13" s="1"/>
  <c r="R153" i="13" s="1"/>
  <c r="AG160" i="13" s="1"/>
  <c r="AP139" i="13"/>
  <c r="AP140" i="13" s="1"/>
  <c r="AP141" i="13" s="1"/>
  <c r="AP142" i="13" s="1"/>
  <c r="AP143" i="13" s="1"/>
  <c r="AP144" i="13" s="1"/>
  <c r="AP145" i="13" s="1"/>
  <c r="AP146" i="13" s="1"/>
  <c r="AP147" i="13" s="1"/>
  <c r="AP148" i="13" s="1"/>
  <c r="AP149" i="13" s="1"/>
  <c r="AP150" i="13" s="1"/>
  <c r="AP151" i="13" s="1"/>
  <c r="AP152" i="13" s="1"/>
  <c r="AP153" i="13" s="1"/>
  <c r="AH160" i="13" s="1"/>
  <c r="DJ139" i="13"/>
  <c r="DJ140" i="13" s="1"/>
  <c r="DJ141" i="13" s="1"/>
  <c r="DJ142" i="13" s="1"/>
  <c r="DJ143" i="13" s="1"/>
  <c r="DJ144" i="13" s="1"/>
  <c r="DJ145" i="13" s="1"/>
  <c r="DJ146" i="13" s="1"/>
  <c r="DJ147" i="13" s="1"/>
  <c r="DJ148" i="13" s="1"/>
  <c r="DJ149" i="13" s="1"/>
  <c r="DJ150" i="13" s="1"/>
  <c r="DJ151" i="13" s="1"/>
  <c r="DJ152" i="13" s="1"/>
  <c r="DJ153" i="13" s="1"/>
  <c r="AK160" i="13" s="1"/>
  <c r="H74" i="15"/>
  <c r="P74" i="15" s="1"/>
  <c r="F10" i="8"/>
  <c r="I7" i="8"/>
  <c r="H7" i="8"/>
  <c r="G7" i="8"/>
  <c r="F7" i="8"/>
  <c r="E7" i="8"/>
  <c r="Z65" i="2"/>
  <c r="Z44" i="2"/>
  <c r="S65" i="2"/>
  <c r="S59" i="2"/>
  <c r="S44" i="2"/>
  <c r="L65" i="2"/>
  <c r="E65" i="2"/>
  <c r="E59" i="2"/>
  <c r="E23" i="2"/>
  <c r="E41" i="1"/>
  <c r="G9" i="8"/>
  <c r="F9" i="8"/>
  <c r="E11" i="8"/>
  <c r="I10" i="8"/>
  <c r="H10" i="8"/>
  <c r="G8" i="8"/>
  <c r="F8" i="8"/>
  <c r="G41" i="1"/>
  <c r="G10" i="8"/>
  <c r="F41" i="1"/>
  <c r="Q20" i="10" l="1"/>
  <c r="U20" i="10" s="1"/>
  <c r="Q18" i="10"/>
  <c r="U18" i="10" s="1"/>
  <c r="Q14" i="10"/>
  <c r="U14" i="10" s="1"/>
  <c r="Q24" i="10"/>
  <c r="U24" i="10" s="1"/>
  <c r="Q26" i="10"/>
  <c r="U26" i="10" s="1"/>
  <c r="Q16" i="10"/>
  <c r="U16" i="10" s="1"/>
  <c r="Q19" i="10"/>
  <c r="U19" i="10" s="1"/>
  <c r="Q22" i="10"/>
  <c r="U22" i="10" s="1"/>
  <c r="Q25" i="10"/>
  <c r="U25" i="10" s="1"/>
  <c r="Q28" i="10"/>
  <c r="U28" i="10" s="1"/>
  <c r="Q69" i="10"/>
  <c r="U69" i="10" s="1"/>
  <c r="Q73" i="10"/>
  <c r="U73" i="10" s="1"/>
  <c r="Q77" i="10"/>
  <c r="U77" i="10" s="1"/>
  <c r="Q65" i="10"/>
  <c r="U65" i="10" s="1"/>
  <c r="Q68" i="10"/>
  <c r="U68" i="10" s="1"/>
  <c r="Q72" i="10"/>
  <c r="U72" i="10" s="1"/>
  <c r="Q76" i="10"/>
  <c r="U76" i="10" s="1"/>
  <c r="Q67" i="10"/>
  <c r="Q71" i="10"/>
  <c r="U71" i="10" s="1"/>
  <c r="Q75" i="10"/>
  <c r="U75" i="10" s="1"/>
  <c r="Q79" i="10"/>
  <c r="U79" i="10" s="1"/>
  <c r="Q70" i="10"/>
  <c r="U70" i="10" s="1"/>
  <c r="Q74" i="10"/>
  <c r="U74" i="10" s="1"/>
  <c r="Q78" i="10"/>
  <c r="U78" i="10" s="1"/>
  <c r="Q66" i="10"/>
  <c r="J92" i="10"/>
  <c r="U92" i="10" s="1"/>
  <c r="J93" i="10"/>
  <c r="U93" i="10" s="1"/>
  <c r="J66" i="10"/>
  <c r="J67" i="10"/>
  <c r="U67" i="10" s="1"/>
  <c r="H70" i="15"/>
  <c r="P70" i="15" s="1"/>
  <c r="H69" i="15"/>
  <c r="P69" i="15" s="1"/>
  <c r="H77" i="15"/>
  <c r="P77" i="15" s="1"/>
  <c r="H67" i="15"/>
  <c r="P67" i="15" s="1"/>
  <c r="H65" i="15"/>
  <c r="P65" i="15" s="1"/>
  <c r="H75" i="15"/>
  <c r="P75" i="15" s="1"/>
  <c r="H72" i="15"/>
  <c r="P72" i="15" s="1"/>
  <c r="H64" i="15"/>
  <c r="P64" i="15" s="1"/>
  <c r="E10" i="8"/>
  <c r="I8" i="8"/>
  <c r="E9" i="8"/>
  <c r="F11" i="8"/>
  <c r="G11" i="8"/>
  <c r="E8" i="8"/>
  <c r="H8" i="8"/>
  <c r="CW101" i="16" l="1"/>
  <c r="I101" i="13"/>
  <c r="DA101" i="14"/>
  <c r="I101" i="15"/>
  <c r="AG101" i="15"/>
  <c r="CC101" i="13"/>
  <c r="CC101" i="15"/>
  <c r="BE101" i="13"/>
  <c r="AG101" i="13"/>
  <c r="I101" i="14"/>
  <c r="BZ101" i="16"/>
  <c r="BE101" i="15"/>
  <c r="BC101" i="16"/>
  <c r="DA101" i="13"/>
  <c r="DA101" i="15"/>
  <c r="I101" i="16"/>
  <c r="CC101" i="14"/>
  <c r="AG101" i="14"/>
  <c r="BE101" i="14"/>
  <c r="AF101" i="16"/>
  <c r="W26" i="10"/>
  <c r="AB26" i="10" s="1"/>
  <c r="I99" i="15"/>
  <c r="CC99" i="15"/>
  <c r="CC99" i="13"/>
  <c r="AG99" i="13"/>
  <c r="CW99" i="16"/>
  <c r="DA99" i="14"/>
  <c r="DA99" i="13"/>
  <c r="BE99" i="14"/>
  <c r="I99" i="16"/>
  <c r="BE99" i="13"/>
  <c r="AG99" i="15"/>
  <c r="I99" i="13"/>
  <c r="AG99" i="14"/>
  <c r="BC99" i="16"/>
  <c r="AF99" i="16"/>
  <c r="CC99" i="14"/>
  <c r="DA99" i="15"/>
  <c r="BZ99" i="16"/>
  <c r="I99" i="14"/>
  <c r="BE99" i="15"/>
  <c r="W24" i="10"/>
  <c r="AB24" i="10" s="1"/>
  <c r="AG89" i="15"/>
  <c r="I89" i="15"/>
  <c r="I89" i="16"/>
  <c r="BE89" i="13"/>
  <c r="BZ89" i="16"/>
  <c r="DA89" i="14"/>
  <c r="CC89" i="14"/>
  <c r="BE89" i="15"/>
  <c r="BE89" i="14"/>
  <c r="AG89" i="14"/>
  <c r="DA89" i="13"/>
  <c r="I89" i="14"/>
  <c r="CC89" i="13"/>
  <c r="I89" i="13"/>
  <c r="BC89" i="16"/>
  <c r="DA89" i="15"/>
  <c r="CC89" i="15"/>
  <c r="AF89" i="16"/>
  <c r="AG89" i="13"/>
  <c r="CW89" i="16"/>
  <c r="W14" i="10"/>
  <c r="AB14" i="10" s="1"/>
  <c r="BE93" i="13"/>
  <c r="CC93" i="13"/>
  <c r="CW93" i="16"/>
  <c r="I93" i="13"/>
  <c r="AG93" i="13"/>
  <c r="BZ93" i="16"/>
  <c r="CC93" i="15"/>
  <c r="BC93" i="16"/>
  <c r="I93" i="15"/>
  <c r="AG93" i="15"/>
  <c r="DA93" i="15"/>
  <c r="AF93" i="16"/>
  <c r="I93" i="14"/>
  <c r="CC93" i="14"/>
  <c r="BE93" i="15"/>
  <c r="I93" i="16"/>
  <c r="BE93" i="14"/>
  <c r="DA93" i="13"/>
  <c r="AG93" i="14"/>
  <c r="DA93" i="14"/>
  <c r="W18" i="10"/>
  <c r="AB18" i="10" s="1"/>
  <c r="CC95" i="13"/>
  <c r="DA95" i="13"/>
  <c r="AF95" i="16"/>
  <c r="BE95" i="15"/>
  <c r="AG95" i="13"/>
  <c r="BE95" i="13"/>
  <c r="I95" i="16"/>
  <c r="DA95" i="14"/>
  <c r="DA95" i="15"/>
  <c r="I95" i="13"/>
  <c r="CC95" i="15"/>
  <c r="CC95" i="14"/>
  <c r="BE95" i="14"/>
  <c r="BZ95" i="16"/>
  <c r="AG95" i="15"/>
  <c r="AG95" i="14"/>
  <c r="I95" i="14"/>
  <c r="BC95" i="16"/>
  <c r="I95" i="15"/>
  <c r="CW95" i="16"/>
  <c r="W20" i="10"/>
  <c r="AB20" i="10" s="1"/>
  <c r="CC40" i="15"/>
  <c r="AG40" i="15"/>
  <c r="DA40" i="14"/>
  <c r="BE40" i="14"/>
  <c r="I40" i="14"/>
  <c r="CC40" i="13"/>
  <c r="AG40" i="13"/>
  <c r="DA40" i="15"/>
  <c r="BE40" i="15"/>
  <c r="I40" i="15"/>
  <c r="CC40" i="14"/>
  <c r="AG40" i="14"/>
  <c r="DA40" i="13"/>
  <c r="BE40" i="13"/>
  <c r="I40" i="13"/>
  <c r="CC39" i="15"/>
  <c r="AG39" i="15"/>
  <c r="DA39" i="14"/>
  <c r="BE39" i="14"/>
  <c r="I39" i="14"/>
  <c r="CC39" i="13"/>
  <c r="AG39" i="13"/>
  <c r="DA39" i="15"/>
  <c r="BE39" i="15"/>
  <c r="I39" i="15"/>
  <c r="CC39" i="14"/>
  <c r="AG39" i="14"/>
  <c r="DA39" i="13"/>
  <c r="BE39" i="13"/>
  <c r="I39" i="13"/>
  <c r="CC26" i="15"/>
  <c r="AG26" i="15"/>
  <c r="DA26" i="14"/>
  <c r="BE26" i="14"/>
  <c r="I26" i="14"/>
  <c r="DA26" i="15"/>
  <c r="BE26" i="15"/>
  <c r="I26" i="15"/>
  <c r="CC26" i="14"/>
  <c r="AG26" i="14"/>
  <c r="CC26" i="13"/>
  <c r="AG26" i="13"/>
  <c r="DA26" i="13"/>
  <c r="I26" i="13"/>
  <c r="BE26" i="13"/>
  <c r="CC23" i="15"/>
  <c r="AG23" i="15"/>
  <c r="DA23" i="14"/>
  <c r="BE23" i="14"/>
  <c r="I23" i="14"/>
  <c r="DA23" i="13"/>
  <c r="BE23" i="13"/>
  <c r="I23" i="13"/>
  <c r="DA23" i="15"/>
  <c r="BE23" i="15"/>
  <c r="I23" i="15"/>
  <c r="CC23" i="14"/>
  <c r="AG23" i="14"/>
  <c r="CC23" i="13"/>
  <c r="AG23" i="13"/>
  <c r="CC22" i="15"/>
  <c r="AG22" i="15"/>
  <c r="DA22" i="14"/>
  <c r="BE22" i="14"/>
  <c r="I22" i="14"/>
  <c r="DA22" i="15"/>
  <c r="BE22" i="15"/>
  <c r="I22" i="15"/>
  <c r="DA22" i="13"/>
  <c r="BE22" i="13"/>
  <c r="I22" i="13"/>
  <c r="CC22" i="13"/>
  <c r="AG22" i="13"/>
  <c r="CC22" i="14"/>
  <c r="AG22" i="14"/>
  <c r="CC19" i="15"/>
  <c r="AG19" i="15"/>
  <c r="DA19" i="14"/>
  <c r="BE19" i="14"/>
  <c r="I19" i="14"/>
  <c r="DA19" i="13"/>
  <c r="BE19" i="13"/>
  <c r="I19" i="13"/>
  <c r="CC19" i="13"/>
  <c r="CC19" i="14"/>
  <c r="AG19" i="14"/>
  <c r="DA19" i="15"/>
  <c r="BE19" i="15"/>
  <c r="I19" i="15"/>
  <c r="AG19" i="13"/>
  <c r="DA21" i="15"/>
  <c r="BE21" i="15"/>
  <c r="I21" i="15"/>
  <c r="CC21" i="14"/>
  <c r="AG21" i="14"/>
  <c r="CC21" i="13"/>
  <c r="AG21" i="13"/>
  <c r="AG21" i="15"/>
  <c r="BE21" i="13"/>
  <c r="BE21" i="14"/>
  <c r="I21" i="14"/>
  <c r="CC21" i="15"/>
  <c r="DA21" i="14"/>
  <c r="DA21" i="13"/>
  <c r="I21" i="13"/>
  <c r="CC18" i="15"/>
  <c r="AG18" i="15"/>
  <c r="DA18" i="14"/>
  <c r="BE18" i="14"/>
  <c r="I18" i="14"/>
  <c r="DA18" i="15"/>
  <c r="BE18" i="15"/>
  <c r="I18" i="15"/>
  <c r="CC18" i="14"/>
  <c r="AG18" i="14"/>
  <c r="BE18" i="13"/>
  <c r="I18" i="13"/>
  <c r="CC18" i="13"/>
  <c r="AG18" i="13"/>
  <c r="DA18" i="13"/>
  <c r="CC15" i="15"/>
  <c r="AG15" i="15"/>
  <c r="DA15" i="14"/>
  <c r="BE15" i="14"/>
  <c r="I15" i="14"/>
  <c r="DA15" i="13"/>
  <c r="BE15" i="13"/>
  <c r="I15" i="13"/>
  <c r="CC15" i="13"/>
  <c r="AG15" i="13"/>
  <c r="DA15" i="15"/>
  <c r="BE15" i="15"/>
  <c r="I15" i="15"/>
  <c r="CC15" i="14"/>
  <c r="AG15" i="14"/>
  <c r="DA16" i="15"/>
  <c r="BE16" i="15"/>
  <c r="I16" i="15"/>
  <c r="CC16" i="14"/>
  <c r="AG16" i="14"/>
  <c r="CC16" i="15"/>
  <c r="AG16" i="15"/>
  <c r="DA16" i="14"/>
  <c r="CC16" i="13"/>
  <c r="AG16" i="13"/>
  <c r="BE16" i="14"/>
  <c r="I16" i="14"/>
  <c r="DA16" i="13"/>
  <c r="I16" i="13"/>
  <c r="BE16" i="13"/>
  <c r="CC14" i="15"/>
  <c r="AG14" i="15"/>
  <c r="DA14" i="14"/>
  <c r="BE14" i="14"/>
  <c r="I14" i="14"/>
  <c r="DA14" i="15"/>
  <c r="BE14" i="15"/>
  <c r="I14" i="15"/>
  <c r="CC14" i="14"/>
  <c r="AG14" i="14"/>
  <c r="BE14" i="13"/>
  <c r="I14" i="13"/>
  <c r="AG14" i="13"/>
  <c r="DA14" i="13"/>
  <c r="CC14" i="13"/>
  <c r="DA24" i="15"/>
  <c r="BE24" i="15"/>
  <c r="I24" i="15"/>
  <c r="CC24" i="14"/>
  <c r="AG24" i="14"/>
  <c r="CC24" i="15"/>
  <c r="AG24" i="15"/>
  <c r="DA24" i="14"/>
  <c r="DA24" i="13"/>
  <c r="BE24" i="13"/>
  <c r="I24" i="13"/>
  <c r="AG24" i="13"/>
  <c r="BE24" i="14"/>
  <c r="I24" i="14"/>
  <c r="CC24" i="13"/>
  <c r="DA25" i="15"/>
  <c r="BE25" i="15"/>
  <c r="I25" i="15"/>
  <c r="CC25" i="14"/>
  <c r="AG25" i="14"/>
  <c r="CC25" i="13"/>
  <c r="AG25" i="13"/>
  <c r="BE25" i="13"/>
  <c r="I25" i="13"/>
  <c r="CC25" i="15"/>
  <c r="AG25" i="15"/>
  <c r="DA25" i="14"/>
  <c r="BE25" i="14"/>
  <c r="I25" i="14"/>
  <c r="DA25" i="13"/>
  <c r="DA20" i="15"/>
  <c r="BE20" i="15"/>
  <c r="I20" i="15"/>
  <c r="CC20" i="14"/>
  <c r="AG20" i="14"/>
  <c r="CC20" i="15"/>
  <c r="AG20" i="15"/>
  <c r="DA20" i="14"/>
  <c r="BE20" i="14"/>
  <c r="I20" i="14"/>
  <c r="CC20" i="13"/>
  <c r="AG20" i="13"/>
  <c r="DA20" i="13"/>
  <c r="BE20" i="13"/>
  <c r="I20" i="13"/>
  <c r="DA17" i="15"/>
  <c r="BE17" i="15"/>
  <c r="I17" i="15"/>
  <c r="CC17" i="14"/>
  <c r="AG17" i="14"/>
  <c r="CC17" i="13"/>
  <c r="AG17" i="13"/>
  <c r="DA17" i="13"/>
  <c r="BE17" i="13"/>
  <c r="I17" i="13"/>
  <c r="CC17" i="15"/>
  <c r="AG17" i="15"/>
  <c r="DA17" i="14"/>
  <c r="BE17" i="14"/>
  <c r="I17" i="14"/>
  <c r="DA12" i="15"/>
  <c r="BE12" i="15"/>
  <c r="I12" i="15"/>
  <c r="CC12" i="14"/>
  <c r="AG12" i="14"/>
  <c r="CC12" i="15"/>
  <c r="AG12" i="15"/>
  <c r="DA12" i="14"/>
  <c r="BE12" i="14"/>
  <c r="I12" i="14"/>
  <c r="DA12" i="13"/>
  <c r="BE12" i="13"/>
  <c r="I12" i="13"/>
  <c r="CC12" i="13"/>
  <c r="AG12" i="13"/>
  <c r="CC100" i="15"/>
  <c r="BE100" i="15"/>
  <c r="I100" i="15"/>
  <c r="CC100" i="14"/>
  <c r="AG100" i="14"/>
  <c r="CC100" i="13"/>
  <c r="AG100" i="13"/>
  <c r="AG100" i="15"/>
  <c r="BE100" i="14"/>
  <c r="I100" i="14"/>
  <c r="DA100" i="13"/>
  <c r="DA100" i="15"/>
  <c r="DA100" i="14"/>
  <c r="BE100" i="13"/>
  <c r="I100" i="13"/>
  <c r="AG97" i="15"/>
  <c r="DA97" i="14"/>
  <c r="BE97" i="14"/>
  <c r="I97" i="14"/>
  <c r="DA97" i="13"/>
  <c r="BE97" i="13"/>
  <c r="I97" i="13"/>
  <c r="DA97" i="15"/>
  <c r="CC97" i="15"/>
  <c r="BE97" i="15"/>
  <c r="I97" i="15"/>
  <c r="CC97" i="14"/>
  <c r="AG97" i="14"/>
  <c r="CC97" i="13"/>
  <c r="AG97" i="13"/>
  <c r="DA94" i="15"/>
  <c r="AG94" i="13"/>
  <c r="AG94" i="15"/>
  <c r="DA94" i="14"/>
  <c r="BE94" i="14"/>
  <c r="I94" i="14"/>
  <c r="DA94" i="13"/>
  <c r="BE94" i="13"/>
  <c r="I94" i="13"/>
  <c r="CC94" i="13"/>
  <c r="CC94" i="15"/>
  <c r="BE94" i="15"/>
  <c r="I94" i="15"/>
  <c r="CC94" i="14"/>
  <c r="AG94" i="14"/>
  <c r="BE103" i="15"/>
  <c r="I103" i="15"/>
  <c r="CC103" i="14"/>
  <c r="AG103" i="14"/>
  <c r="CC103" i="13"/>
  <c r="AG103" i="13"/>
  <c r="DA103" i="15"/>
  <c r="CC103" i="15"/>
  <c r="AG103" i="15"/>
  <c r="DA103" i="14"/>
  <c r="BE103" i="14"/>
  <c r="I103" i="14"/>
  <c r="DA103" i="13"/>
  <c r="BE103" i="13"/>
  <c r="I103" i="13"/>
  <c r="DA91" i="15"/>
  <c r="I91" i="15"/>
  <c r="CC91" i="14"/>
  <c r="AG91" i="14"/>
  <c r="CC91" i="13"/>
  <c r="AG91" i="13"/>
  <c r="AG91" i="15"/>
  <c r="DA91" i="14"/>
  <c r="BE91" i="14"/>
  <c r="I91" i="14"/>
  <c r="DA91" i="13"/>
  <c r="BE91" i="13"/>
  <c r="I91" i="13"/>
  <c r="CC91" i="15"/>
  <c r="BE91" i="15"/>
  <c r="U66" i="10"/>
  <c r="CW14" i="16"/>
  <c r="BZ14" i="16"/>
  <c r="BC14" i="16"/>
  <c r="AF14" i="16"/>
  <c r="I14" i="16"/>
  <c r="CW26" i="16"/>
  <c r="BZ26" i="16"/>
  <c r="BC26" i="16"/>
  <c r="AF26" i="16"/>
  <c r="I26" i="16"/>
  <c r="CW23" i="16"/>
  <c r="BZ23" i="16"/>
  <c r="BC23" i="16"/>
  <c r="AF23" i="16"/>
  <c r="I23" i="16"/>
  <c r="CW24" i="16"/>
  <c r="BZ24" i="16"/>
  <c r="BC24" i="16"/>
  <c r="AF24" i="16"/>
  <c r="I24" i="16"/>
  <c r="CW100" i="16"/>
  <c r="BZ100" i="16"/>
  <c r="BC100" i="16"/>
  <c r="AF100" i="16"/>
  <c r="I100" i="16"/>
  <c r="CW13" i="16"/>
  <c r="BZ13" i="16"/>
  <c r="BC13" i="16"/>
  <c r="AF13" i="16"/>
  <c r="I13" i="16"/>
  <c r="CW25" i="16"/>
  <c r="BZ25" i="16"/>
  <c r="BC25" i="16"/>
  <c r="AF25" i="16"/>
  <c r="I25" i="16"/>
  <c r="CW22" i="16"/>
  <c r="BZ22" i="16"/>
  <c r="BC22" i="16"/>
  <c r="AF22" i="16"/>
  <c r="I22" i="16"/>
  <c r="CW19" i="16"/>
  <c r="BZ19" i="16"/>
  <c r="BC19" i="16"/>
  <c r="AF19" i="16"/>
  <c r="I19" i="16"/>
  <c r="CW20" i="16"/>
  <c r="BZ20" i="16"/>
  <c r="BC20" i="16"/>
  <c r="AF20" i="16"/>
  <c r="I20" i="16"/>
  <c r="CW97" i="16"/>
  <c r="BZ97" i="16"/>
  <c r="BC97" i="16"/>
  <c r="AF97" i="16"/>
  <c r="I97" i="16"/>
  <c r="BZ40" i="16"/>
  <c r="BC40" i="16"/>
  <c r="AF40" i="16"/>
  <c r="CW40" i="16"/>
  <c r="I40" i="16"/>
  <c r="CW21" i="16"/>
  <c r="BZ21" i="16"/>
  <c r="BC21" i="16"/>
  <c r="AF21" i="16"/>
  <c r="I21" i="16"/>
  <c r="CW18" i="16"/>
  <c r="BZ18" i="16"/>
  <c r="BC18" i="16"/>
  <c r="AF18" i="16"/>
  <c r="I18" i="16"/>
  <c r="CW15" i="16"/>
  <c r="BZ15" i="16"/>
  <c r="BC15" i="16"/>
  <c r="AF15" i="16"/>
  <c r="I15" i="16"/>
  <c r="CW16" i="16"/>
  <c r="BZ16" i="16"/>
  <c r="BC16" i="16"/>
  <c r="AF16" i="16"/>
  <c r="I16" i="16"/>
  <c r="CW94" i="16"/>
  <c r="BZ94" i="16"/>
  <c r="BC94" i="16"/>
  <c r="AF94" i="16"/>
  <c r="I94" i="16"/>
  <c r="BZ39" i="16"/>
  <c r="BC39" i="16"/>
  <c r="AF39" i="16"/>
  <c r="CW39" i="16"/>
  <c r="I39" i="16"/>
  <c r="CW17" i="16"/>
  <c r="BZ17" i="16"/>
  <c r="BC17" i="16"/>
  <c r="AF17" i="16"/>
  <c r="I17" i="16"/>
  <c r="CW12" i="16"/>
  <c r="BZ12" i="16"/>
  <c r="BC12" i="16"/>
  <c r="AF12" i="16"/>
  <c r="I12" i="16"/>
  <c r="CW103" i="16"/>
  <c r="BZ103" i="16"/>
  <c r="BC103" i="16"/>
  <c r="AF103" i="16"/>
  <c r="I103" i="16"/>
  <c r="CW91" i="16"/>
  <c r="BZ91" i="16"/>
  <c r="BC91" i="16"/>
  <c r="AF91" i="16"/>
  <c r="I91" i="16"/>
  <c r="AY95" i="14"/>
  <c r="BW95" i="14"/>
  <c r="CU95" i="14"/>
  <c r="C95" i="14"/>
  <c r="AA95" i="14"/>
  <c r="BT95" i="16"/>
  <c r="CU95" i="15"/>
  <c r="C95" i="15"/>
  <c r="AA95" i="13"/>
  <c r="CQ95" i="16"/>
  <c r="C95" i="16"/>
  <c r="AA95" i="15"/>
  <c r="AY95" i="13"/>
  <c r="C95" i="13"/>
  <c r="Z95" i="16"/>
  <c r="AY95" i="15"/>
  <c r="BW95" i="13"/>
  <c r="AW95" i="16"/>
  <c r="BW95" i="15"/>
  <c r="CU95" i="13"/>
  <c r="CU98" i="14"/>
  <c r="C98" i="14"/>
  <c r="AA98" i="14"/>
  <c r="AY98" i="14"/>
  <c r="BW98" i="14"/>
  <c r="Z98" i="16"/>
  <c r="AY98" i="15"/>
  <c r="BW98" i="13"/>
  <c r="AW98" i="16"/>
  <c r="BW98" i="15"/>
  <c r="CU98" i="13"/>
  <c r="BT98" i="16"/>
  <c r="CU98" i="15"/>
  <c r="C98" i="15"/>
  <c r="AA98" i="13"/>
  <c r="CQ98" i="16"/>
  <c r="C98" i="16"/>
  <c r="AA98" i="15"/>
  <c r="AY98" i="13"/>
  <c r="C98" i="13"/>
  <c r="AY101" i="14"/>
  <c r="BW101" i="14"/>
  <c r="CU101" i="14"/>
  <c r="C101" i="14"/>
  <c r="AA101" i="14"/>
  <c r="BT101" i="16"/>
  <c r="CU101" i="15"/>
  <c r="C101" i="15"/>
  <c r="AA101" i="13"/>
  <c r="CQ101" i="16"/>
  <c r="C101" i="16"/>
  <c r="AA101" i="15"/>
  <c r="AY101" i="13"/>
  <c r="C101" i="13"/>
  <c r="Z101" i="16"/>
  <c r="AY101" i="15"/>
  <c r="BW101" i="13"/>
  <c r="AW101" i="16"/>
  <c r="BW101" i="15"/>
  <c r="CU101" i="13"/>
  <c r="CU92" i="14"/>
  <c r="C92" i="14"/>
  <c r="AA92" i="14"/>
  <c r="AY92" i="14"/>
  <c r="BW92" i="14"/>
  <c r="Z92" i="16"/>
  <c r="AY92" i="15"/>
  <c r="BW92" i="13"/>
  <c r="AW92" i="16"/>
  <c r="BW92" i="15"/>
  <c r="CU92" i="13"/>
  <c r="BT92" i="16"/>
  <c r="CU92" i="15"/>
  <c r="C92" i="15"/>
  <c r="AA92" i="13"/>
  <c r="CQ92" i="16"/>
  <c r="C92" i="16"/>
  <c r="AA92" i="15"/>
  <c r="AY92" i="13"/>
  <c r="C92" i="13"/>
  <c r="CU88" i="14"/>
  <c r="C88" i="14"/>
  <c r="AA88" i="14"/>
  <c r="AY88" i="14"/>
  <c r="AA88" i="13"/>
  <c r="BW88" i="14"/>
  <c r="AW88" i="16"/>
  <c r="BW88" i="15"/>
  <c r="CU88" i="13"/>
  <c r="BT88" i="16"/>
  <c r="CU88" i="15"/>
  <c r="C88" i="15"/>
  <c r="CQ88" i="16"/>
  <c r="C88" i="16"/>
  <c r="AA88" i="15"/>
  <c r="AY88" i="13"/>
  <c r="Z88" i="16"/>
  <c r="AY88" i="15"/>
  <c r="BW88" i="13"/>
  <c r="C88" i="13"/>
  <c r="AA90" i="14"/>
  <c r="AY90" i="14"/>
  <c r="BW90" i="14"/>
  <c r="CU90" i="14"/>
  <c r="C90" i="14"/>
  <c r="CQ90" i="16"/>
  <c r="C90" i="16"/>
  <c r="AA90" i="15"/>
  <c r="AY90" i="13"/>
  <c r="Z90" i="16"/>
  <c r="AY90" i="15"/>
  <c r="BW90" i="13"/>
  <c r="AW90" i="16"/>
  <c r="BW90" i="15"/>
  <c r="CU90" i="13"/>
  <c r="C90" i="13"/>
  <c r="BT90" i="16"/>
  <c r="CU90" i="15"/>
  <c r="C90" i="15"/>
  <c r="AA90" i="13"/>
  <c r="BW93" i="14"/>
  <c r="CU93" i="14"/>
  <c r="C93" i="14"/>
  <c r="AA93" i="14"/>
  <c r="AY93" i="14"/>
  <c r="AW93" i="16"/>
  <c r="BW93" i="15"/>
  <c r="CU93" i="13"/>
  <c r="C93" i="13"/>
  <c r="BT93" i="16"/>
  <c r="CU93" i="15"/>
  <c r="C93" i="15"/>
  <c r="AA93" i="13"/>
  <c r="CQ93" i="16"/>
  <c r="C93" i="16"/>
  <c r="AA93" i="15"/>
  <c r="AY93" i="13"/>
  <c r="Z93" i="16"/>
  <c r="AY93" i="15"/>
  <c r="BW93" i="13"/>
  <c r="BW99" i="14"/>
  <c r="CU99" i="14"/>
  <c r="C99" i="14"/>
  <c r="AA99" i="14"/>
  <c r="AY99" i="14"/>
  <c r="AW99" i="16"/>
  <c r="BW99" i="15"/>
  <c r="CU99" i="13"/>
  <c r="C99" i="13"/>
  <c r="BT99" i="16"/>
  <c r="CU99" i="15"/>
  <c r="C99" i="15"/>
  <c r="AA99" i="13"/>
  <c r="CQ99" i="16"/>
  <c r="C99" i="16"/>
  <c r="AA99" i="15"/>
  <c r="AY99" i="13"/>
  <c r="Z99" i="16"/>
  <c r="AY99" i="15"/>
  <c r="BW99" i="13"/>
  <c r="AA102" i="14"/>
  <c r="AY102" i="14"/>
  <c r="BW102" i="14"/>
  <c r="CU102" i="14"/>
  <c r="C102" i="14"/>
  <c r="CQ102" i="16"/>
  <c r="C102" i="16"/>
  <c r="AA102" i="15"/>
  <c r="AY102" i="13"/>
  <c r="Z102" i="16"/>
  <c r="AY102" i="15"/>
  <c r="BW102" i="13"/>
  <c r="AW102" i="16"/>
  <c r="BW102" i="15"/>
  <c r="CU102" i="13"/>
  <c r="C102" i="13"/>
  <c r="BT102" i="16"/>
  <c r="CU102" i="15"/>
  <c r="C102" i="15"/>
  <c r="AA102" i="13"/>
  <c r="AA96" i="14"/>
  <c r="AY96" i="14"/>
  <c r="BW96" i="14"/>
  <c r="CU96" i="14"/>
  <c r="C96" i="14"/>
  <c r="CQ96" i="16"/>
  <c r="C96" i="16"/>
  <c r="AA96" i="15"/>
  <c r="AY96" i="13"/>
  <c r="Z96" i="16"/>
  <c r="AY96" i="15"/>
  <c r="BW96" i="13"/>
  <c r="AW96" i="16"/>
  <c r="BW96" i="15"/>
  <c r="CU96" i="13"/>
  <c r="C96" i="13"/>
  <c r="BT96" i="16"/>
  <c r="CU96" i="15"/>
  <c r="C96" i="15"/>
  <c r="AA96" i="13"/>
  <c r="AY89" i="14"/>
  <c r="BW89" i="14"/>
  <c r="CU89" i="14"/>
  <c r="C89" i="14"/>
  <c r="AA89" i="14"/>
  <c r="BT89" i="16"/>
  <c r="CU89" i="15"/>
  <c r="C89" i="15"/>
  <c r="AA89" i="13"/>
  <c r="CQ89" i="16"/>
  <c r="C89" i="16"/>
  <c r="AA89" i="15"/>
  <c r="AY89" i="13"/>
  <c r="C89" i="13"/>
  <c r="Z89" i="16"/>
  <c r="AY89" i="15"/>
  <c r="BW89" i="13"/>
  <c r="AW89" i="16"/>
  <c r="BW89" i="15"/>
  <c r="CU89" i="13"/>
  <c r="U63" i="15"/>
  <c r="AU63" i="15"/>
  <c r="U63" i="14"/>
  <c r="U63" i="16"/>
  <c r="BU63" i="15"/>
  <c r="DU63" i="14"/>
  <c r="AU63" i="16"/>
  <c r="AU63" i="14"/>
  <c r="BU63" i="16"/>
  <c r="DU63" i="15"/>
  <c r="BU63" i="14"/>
  <c r="CU63" i="14"/>
  <c r="CU63" i="15"/>
  <c r="U63" i="13"/>
  <c r="BU63" i="13"/>
  <c r="DU63" i="13"/>
  <c r="AU63" i="13"/>
  <c r="CU63" i="13"/>
  <c r="I13" i="8"/>
  <c r="H13" i="8"/>
  <c r="G13" i="8"/>
  <c r="F13" i="8"/>
  <c r="E13" i="8"/>
  <c r="DA13" i="15" l="1"/>
  <c r="BE13" i="15"/>
  <c r="I13" i="15"/>
  <c r="CC13" i="14"/>
  <c r="AG13" i="14"/>
  <c r="CC13" i="13"/>
  <c r="AG13" i="13"/>
  <c r="CC13" i="15"/>
  <c r="AG13" i="15"/>
  <c r="DA13" i="14"/>
  <c r="DA13" i="13"/>
  <c r="BE13" i="13"/>
  <c r="I13" i="13"/>
  <c r="BE13" i="14"/>
  <c r="I13" i="14"/>
  <c r="E144" i="9"/>
  <c r="M144" i="9" s="1"/>
  <c r="E148" i="9"/>
  <c r="M148" i="9" s="1"/>
  <c r="E152" i="9"/>
  <c r="M152" i="9" s="1"/>
  <c r="E156" i="9"/>
  <c r="M156" i="9" s="1"/>
  <c r="E150" i="9"/>
  <c r="M150" i="9" s="1"/>
  <c r="E158" i="9"/>
  <c r="M158" i="9" s="1"/>
  <c r="E147" i="9"/>
  <c r="M147" i="9" s="1"/>
  <c r="E155" i="9"/>
  <c r="M155" i="9" s="1"/>
  <c r="E145" i="9"/>
  <c r="M145" i="9" s="1"/>
  <c r="E149" i="9"/>
  <c r="M149" i="9" s="1"/>
  <c r="E153" i="9"/>
  <c r="M153" i="9" s="1"/>
  <c r="E157" i="9"/>
  <c r="M157" i="9" s="1"/>
  <c r="E146" i="9"/>
  <c r="M146" i="9" s="1"/>
  <c r="E154" i="9"/>
  <c r="M154" i="9" s="1"/>
  <c r="E151" i="9"/>
  <c r="M151" i="9" s="1"/>
  <c r="E143" i="9"/>
  <c r="M143" i="9" s="1"/>
  <c r="U64" i="15"/>
  <c r="DU64" i="14"/>
  <c r="BU64" i="16"/>
  <c r="CU64" i="15"/>
  <c r="AU64" i="16"/>
  <c r="U64" i="16"/>
  <c r="DU64" i="15"/>
  <c r="BU64" i="14"/>
  <c r="BU65" i="14" s="1"/>
  <c r="BU66" i="14" s="1"/>
  <c r="BU67" i="14" s="1"/>
  <c r="BU68" i="14" s="1"/>
  <c r="U64" i="14"/>
  <c r="AU64" i="14"/>
  <c r="AU64" i="15"/>
  <c r="CU64" i="14"/>
  <c r="BU64" i="15"/>
  <c r="DU64" i="13"/>
  <c r="CU64" i="13"/>
  <c r="AU64" i="13"/>
  <c r="AU65" i="13" s="1"/>
  <c r="AU66" i="13" s="1"/>
  <c r="AU67" i="13" s="1"/>
  <c r="AU68" i="13" s="1"/>
  <c r="U64" i="13"/>
  <c r="BU64" i="13"/>
  <c r="U65" i="16" l="1"/>
  <c r="U66" i="16" s="1"/>
  <c r="U67" i="16" s="1"/>
  <c r="U68" i="16" s="1"/>
  <c r="DI63" i="16"/>
  <c r="CI63" i="16"/>
  <c r="BI63" i="16"/>
  <c r="BQ63" i="16" s="1"/>
  <c r="AI63" i="16"/>
  <c r="AQ63" i="16" s="1"/>
  <c r="DI63" i="15"/>
  <c r="DQ63" i="15" s="1"/>
  <c r="CI63" i="15"/>
  <c r="CQ63" i="15" s="1"/>
  <c r="BI63" i="15"/>
  <c r="BQ63" i="15" s="1"/>
  <c r="AI63" i="15"/>
  <c r="AQ63" i="15" s="1"/>
  <c r="CI63" i="14"/>
  <c r="CQ63" i="14" s="1"/>
  <c r="BI63" i="14"/>
  <c r="BQ63" i="14" s="1"/>
  <c r="DI63" i="13"/>
  <c r="DQ63" i="13" s="1"/>
  <c r="I63" i="16"/>
  <c r="Q63" i="16" s="1"/>
  <c r="DI63" i="14"/>
  <c r="DQ63" i="14" s="1"/>
  <c r="AI63" i="14"/>
  <c r="AQ63" i="14" s="1"/>
  <c r="CI63" i="13"/>
  <c r="CQ63" i="13" s="1"/>
  <c r="AI63" i="13"/>
  <c r="AQ63" i="13" s="1"/>
  <c r="I63" i="15"/>
  <c r="Q63" i="15" s="1"/>
  <c r="I63" i="13"/>
  <c r="Q63" i="13" s="1"/>
  <c r="BI63" i="13"/>
  <c r="BQ63" i="13" s="1"/>
  <c r="I63" i="14"/>
  <c r="Q63" i="14" s="1"/>
  <c r="DI76" i="16"/>
  <c r="CI76" i="16"/>
  <c r="BI76" i="16"/>
  <c r="AI76" i="16"/>
  <c r="I76" i="13"/>
  <c r="BI76" i="15"/>
  <c r="BI76" i="13"/>
  <c r="DI76" i="15"/>
  <c r="CI76" i="15"/>
  <c r="AI76" i="15"/>
  <c r="CI76" i="14"/>
  <c r="DI76" i="14"/>
  <c r="BI76" i="14"/>
  <c r="AI76" i="14"/>
  <c r="DI76" i="13"/>
  <c r="CI76" i="13"/>
  <c r="AI76" i="13"/>
  <c r="I76" i="16"/>
  <c r="I76" i="15"/>
  <c r="I76" i="14"/>
  <c r="DI71" i="16"/>
  <c r="CI71" i="16"/>
  <c r="BI71" i="16"/>
  <c r="AI71" i="16"/>
  <c r="BI71" i="14"/>
  <c r="DI71" i="15"/>
  <c r="CI71" i="15"/>
  <c r="BI71" i="15"/>
  <c r="AI71" i="15"/>
  <c r="CI71" i="14"/>
  <c r="DI71" i="14"/>
  <c r="AI71" i="14"/>
  <c r="DI71" i="13"/>
  <c r="CI71" i="13"/>
  <c r="BI71" i="13"/>
  <c r="AI71" i="13"/>
  <c r="I71" i="16"/>
  <c r="I71" i="15"/>
  <c r="I71" i="14"/>
  <c r="I71" i="13"/>
  <c r="DI72" i="16"/>
  <c r="CI72" i="16"/>
  <c r="BI72" i="16"/>
  <c r="AI72" i="16"/>
  <c r="I72" i="13"/>
  <c r="DI72" i="14"/>
  <c r="BI72" i="14"/>
  <c r="AI72" i="14"/>
  <c r="DI72" i="13"/>
  <c r="CI72" i="13"/>
  <c r="BI72" i="13"/>
  <c r="AI72" i="13"/>
  <c r="I72" i="16"/>
  <c r="I72" i="15"/>
  <c r="I72" i="14"/>
  <c r="DI72" i="15"/>
  <c r="BI72" i="15"/>
  <c r="AI72" i="15"/>
  <c r="CI72" i="14"/>
  <c r="CI72" i="15"/>
  <c r="DI74" i="16"/>
  <c r="CI74" i="16"/>
  <c r="BI74" i="16"/>
  <c r="AI74" i="16"/>
  <c r="DI74" i="15"/>
  <c r="CI74" i="15"/>
  <c r="BI74" i="15"/>
  <c r="AI74" i="15"/>
  <c r="CI74" i="14"/>
  <c r="DI74" i="14"/>
  <c r="BI74" i="14"/>
  <c r="AI74" i="14"/>
  <c r="DI74" i="13"/>
  <c r="CI74" i="13"/>
  <c r="BI74" i="13"/>
  <c r="AI74" i="13"/>
  <c r="I74" i="16"/>
  <c r="I74" i="15"/>
  <c r="I74" i="14"/>
  <c r="I74" i="13"/>
  <c r="DI69" i="16"/>
  <c r="CI69" i="16"/>
  <c r="BI69" i="16"/>
  <c r="AI69" i="16"/>
  <c r="DI69" i="15"/>
  <c r="CI69" i="15"/>
  <c r="BI69" i="15"/>
  <c r="AI69" i="15"/>
  <c r="CI69" i="14"/>
  <c r="BI69" i="14"/>
  <c r="DI69" i="13"/>
  <c r="BI69" i="13"/>
  <c r="I69" i="16"/>
  <c r="I69" i="14"/>
  <c r="I69" i="15"/>
  <c r="I69" i="13"/>
  <c r="DI69" i="14"/>
  <c r="AI69" i="14"/>
  <c r="CI69" i="13"/>
  <c r="AI69" i="13"/>
  <c r="DI78" i="16"/>
  <c r="CI78" i="16"/>
  <c r="BI78" i="16"/>
  <c r="AI78" i="16"/>
  <c r="DI78" i="15"/>
  <c r="CI78" i="15"/>
  <c r="BI78" i="15"/>
  <c r="AI78" i="15"/>
  <c r="CI78" i="14"/>
  <c r="DI78" i="14"/>
  <c r="BI78" i="14"/>
  <c r="AI78" i="14"/>
  <c r="DI78" i="13"/>
  <c r="CI78" i="13"/>
  <c r="BI78" i="13"/>
  <c r="AI78" i="13"/>
  <c r="I78" i="16"/>
  <c r="I78" i="15"/>
  <c r="I78" i="14"/>
  <c r="I78" i="13"/>
  <c r="DI68" i="16"/>
  <c r="CI68" i="16"/>
  <c r="BI68" i="16"/>
  <c r="AI68" i="16"/>
  <c r="I68" i="13"/>
  <c r="DI68" i="15"/>
  <c r="CI68" i="15"/>
  <c r="BI68" i="15"/>
  <c r="AI68" i="15"/>
  <c r="CI68" i="14"/>
  <c r="DI68" i="14"/>
  <c r="AI68" i="13"/>
  <c r="BI68" i="14"/>
  <c r="DI68" i="13"/>
  <c r="BI68" i="13"/>
  <c r="I68" i="16"/>
  <c r="I68" i="14"/>
  <c r="AI68" i="14"/>
  <c r="CI68" i="13"/>
  <c r="I68" i="15"/>
  <c r="DI77" i="16"/>
  <c r="CI77" i="16"/>
  <c r="BI77" i="16"/>
  <c r="AI77" i="16"/>
  <c r="DI77" i="15"/>
  <c r="CI77" i="15"/>
  <c r="BI77" i="15"/>
  <c r="AI77" i="15"/>
  <c r="CI77" i="14"/>
  <c r="DI77" i="14"/>
  <c r="BI77" i="14"/>
  <c r="AI77" i="14"/>
  <c r="DI77" i="13"/>
  <c r="CI77" i="13"/>
  <c r="BI77" i="13"/>
  <c r="AI77" i="13"/>
  <c r="I77" i="16"/>
  <c r="I77" i="15"/>
  <c r="I77" i="14"/>
  <c r="I77" i="13"/>
  <c r="DI75" i="16"/>
  <c r="CI75" i="16"/>
  <c r="BI75" i="16"/>
  <c r="AI75" i="16"/>
  <c r="I75" i="13"/>
  <c r="DI75" i="15"/>
  <c r="CI75" i="15"/>
  <c r="BI75" i="15"/>
  <c r="AI75" i="15"/>
  <c r="CI75" i="14"/>
  <c r="DI75" i="14"/>
  <c r="AI75" i="14"/>
  <c r="CI75" i="13"/>
  <c r="AI75" i="13"/>
  <c r="I75" i="15"/>
  <c r="BI75" i="13"/>
  <c r="I75" i="16"/>
  <c r="BI75" i="14"/>
  <c r="DI75" i="13"/>
  <c r="I75" i="14"/>
  <c r="DI73" i="16"/>
  <c r="CI73" i="16"/>
  <c r="BI73" i="16"/>
  <c r="AI73" i="16"/>
  <c r="DI73" i="15"/>
  <c r="CI73" i="15"/>
  <c r="BI73" i="15"/>
  <c r="AI73" i="15"/>
  <c r="CI73" i="14"/>
  <c r="BI73" i="13"/>
  <c r="I73" i="14"/>
  <c r="DI73" i="14"/>
  <c r="AI73" i="14"/>
  <c r="CI73" i="13"/>
  <c r="AI73" i="13"/>
  <c r="I73" i="15"/>
  <c r="I73" i="13"/>
  <c r="BI73" i="14"/>
  <c r="DI73" i="13"/>
  <c r="I73" i="16"/>
  <c r="DI67" i="16"/>
  <c r="CI67" i="16"/>
  <c r="BI67" i="16"/>
  <c r="AI67" i="16"/>
  <c r="DI67" i="14"/>
  <c r="BI67" i="14"/>
  <c r="AI67" i="14"/>
  <c r="DI67" i="13"/>
  <c r="CI67" i="13"/>
  <c r="BI67" i="13"/>
  <c r="AI67" i="13"/>
  <c r="I67" i="16"/>
  <c r="I67" i="15"/>
  <c r="I67" i="14"/>
  <c r="DI67" i="15"/>
  <c r="CI67" i="15"/>
  <c r="I67" i="13"/>
  <c r="BI67" i="15"/>
  <c r="AI67" i="15"/>
  <c r="CI67" i="14"/>
  <c r="DI66" i="16"/>
  <c r="CI66" i="16"/>
  <c r="BI66" i="16"/>
  <c r="AI66" i="16"/>
  <c r="DI66" i="15"/>
  <c r="CI66" i="15"/>
  <c r="BI66" i="15"/>
  <c r="AI66" i="15"/>
  <c r="CI66" i="14"/>
  <c r="DI66" i="14"/>
  <c r="BI66" i="14"/>
  <c r="AI66" i="14"/>
  <c r="DI66" i="13"/>
  <c r="CI66" i="13"/>
  <c r="BI66" i="13"/>
  <c r="AI66" i="13"/>
  <c r="I66" i="16"/>
  <c r="I66" i="15"/>
  <c r="I66" i="14"/>
  <c r="I66" i="13"/>
  <c r="DI65" i="16"/>
  <c r="CI65" i="16"/>
  <c r="BI65" i="16"/>
  <c r="AI65" i="16"/>
  <c r="DI65" i="15"/>
  <c r="CI65" i="15"/>
  <c r="BI65" i="15"/>
  <c r="AI65" i="15"/>
  <c r="CI65" i="14"/>
  <c r="I65" i="15"/>
  <c r="I65" i="13"/>
  <c r="DI65" i="14"/>
  <c r="BI65" i="14"/>
  <c r="AI65" i="14"/>
  <c r="DI65" i="13"/>
  <c r="CI65" i="13"/>
  <c r="BI65" i="13"/>
  <c r="AI65" i="13"/>
  <c r="I65" i="16"/>
  <c r="I65" i="14"/>
  <c r="DI70" i="16"/>
  <c r="CI70" i="16"/>
  <c r="BI70" i="16"/>
  <c r="AI70" i="16"/>
  <c r="DI70" i="15"/>
  <c r="CI70" i="15"/>
  <c r="BI70" i="15"/>
  <c r="AI70" i="15"/>
  <c r="CI70" i="14"/>
  <c r="DI70" i="14"/>
  <c r="BI70" i="14"/>
  <c r="AI70" i="14"/>
  <c r="DI70" i="13"/>
  <c r="CI70" i="13"/>
  <c r="BI70" i="13"/>
  <c r="AI70" i="13"/>
  <c r="I70" i="16"/>
  <c r="I70" i="15"/>
  <c r="I70" i="14"/>
  <c r="I70" i="13"/>
  <c r="DI64" i="16"/>
  <c r="CI64" i="16"/>
  <c r="BI64" i="16"/>
  <c r="AI64" i="16"/>
  <c r="I64" i="13"/>
  <c r="DI64" i="14"/>
  <c r="AI64" i="14"/>
  <c r="CI64" i="13"/>
  <c r="AI64" i="13"/>
  <c r="I64" i="15"/>
  <c r="BI64" i="14"/>
  <c r="DI64" i="13"/>
  <c r="I64" i="14"/>
  <c r="CI64" i="15"/>
  <c r="AI64" i="15"/>
  <c r="DI64" i="15"/>
  <c r="BI64" i="13"/>
  <c r="I64" i="16"/>
  <c r="BI64" i="15"/>
  <c r="CI64" i="14"/>
  <c r="U69" i="16"/>
  <c r="U70" i="16" s="1"/>
  <c r="U71" i="16" s="1"/>
  <c r="U72" i="16" s="1"/>
  <c r="U73" i="16" s="1"/>
  <c r="U74" i="16" s="1"/>
  <c r="U75" i="16" s="1"/>
  <c r="U76" i="16" s="1"/>
  <c r="U77" i="16" s="1"/>
  <c r="U78" i="16" s="1"/>
  <c r="R160" i="16" s="1"/>
  <c r="AU65" i="14"/>
  <c r="AU66" i="14" s="1"/>
  <c r="AU67" i="14" s="1"/>
  <c r="AU68" i="14" s="1"/>
  <c r="AU69" i="14" s="1"/>
  <c r="AU70" i="14" s="1"/>
  <c r="AU71" i="14" s="1"/>
  <c r="AU72" i="14" s="1"/>
  <c r="AU73" i="14" s="1"/>
  <c r="AU74" i="14" s="1"/>
  <c r="AU75" i="14" s="1"/>
  <c r="AU76" i="14" s="1"/>
  <c r="AU77" i="14" s="1"/>
  <c r="AU78" i="14" s="1"/>
  <c r="S160" i="14" s="1"/>
  <c r="AU65" i="15"/>
  <c r="AU66" i="15" s="1"/>
  <c r="AU67" i="15" s="1"/>
  <c r="AU68" i="15" s="1"/>
  <c r="AU69" i="15" s="1"/>
  <c r="AU70" i="15" s="1"/>
  <c r="AU71" i="15" s="1"/>
  <c r="AU72" i="15" s="1"/>
  <c r="AU73" i="15" s="1"/>
  <c r="AU74" i="15" s="1"/>
  <c r="AU75" i="15" s="1"/>
  <c r="AU76" i="15" s="1"/>
  <c r="AU77" i="15" s="1"/>
  <c r="AU78" i="15" s="1"/>
  <c r="S160" i="15" s="1"/>
  <c r="DU65" i="15"/>
  <c r="DU66" i="15" s="1"/>
  <c r="DU67" i="15" s="1"/>
  <c r="DU68" i="15" s="1"/>
  <c r="DU69" i="15" s="1"/>
  <c r="DU70" i="15" s="1"/>
  <c r="DU71" i="15" s="1"/>
  <c r="DU72" i="15" s="1"/>
  <c r="DU73" i="15" s="1"/>
  <c r="DU74" i="15" s="1"/>
  <c r="DU75" i="15" s="1"/>
  <c r="DU76" i="15" s="1"/>
  <c r="DU77" i="15" s="1"/>
  <c r="DU78" i="15" s="1"/>
  <c r="V160" i="15" s="1"/>
  <c r="BU65" i="15"/>
  <c r="BU66" i="15" s="1"/>
  <c r="BU67" i="15" s="1"/>
  <c r="BU68" i="15" s="1"/>
  <c r="BU69" i="15" s="1"/>
  <c r="BU70" i="15" s="1"/>
  <c r="BU71" i="15" s="1"/>
  <c r="BU72" i="15" s="1"/>
  <c r="BU73" i="15" s="1"/>
  <c r="BU74" i="15" s="1"/>
  <c r="BU75" i="15" s="1"/>
  <c r="BU76" i="15" s="1"/>
  <c r="BU77" i="15" s="1"/>
  <c r="BU78" i="15" s="1"/>
  <c r="T160" i="15" s="1"/>
  <c r="DU65" i="14"/>
  <c r="DU66" i="14" s="1"/>
  <c r="DU67" i="14" s="1"/>
  <c r="DU68" i="14" s="1"/>
  <c r="DU69" i="14" s="1"/>
  <c r="DU70" i="14" s="1"/>
  <c r="DU71" i="14" s="1"/>
  <c r="DU72" i="14" s="1"/>
  <c r="DU73" i="14" s="1"/>
  <c r="DU74" i="14" s="1"/>
  <c r="DU75" i="14" s="1"/>
  <c r="DU76" i="14" s="1"/>
  <c r="DU77" i="14" s="1"/>
  <c r="DU78" i="14" s="1"/>
  <c r="V160" i="14" s="1"/>
  <c r="CU65" i="14"/>
  <c r="CU66" i="14" s="1"/>
  <c r="CU67" i="14" s="1"/>
  <c r="CU68" i="14" s="1"/>
  <c r="CU69" i="14" s="1"/>
  <c r="CU70" i="14" s="1"/>
  <c r="CU71" i="14" s="1"/>
  <c r="CU72" i="14" s="1"/>
  <c r="CU73" i="14" s="1"/>
  <c r="CU74" i="14" s="1"/>
  <c r="CU75" i="14" s="1"/>
  <c r="CU76" i="14" s="1"/>
  <c r="CU77" i="14" s="1"/>
  <c r="CU78" i="14" s="1"/>
  <c r="U160" i="14" s="1"/>
  <c r="BU65" i="16"/>
  <c r="BU66" i="16" s="1"/>
  <c r="BU67" i="16" s="1"/>
  <c r="BU68" i="16" s="1"/>
  <c r="BU69" i="16" s="1"/>
  <c r="BU70" i="16" s="1"/>
  <c r="BU71" i="16" s="1"/>
  <c r="BU72" i="16" s="1"/>
  <c r="BU73" i="16" s="1"/>
  <c r="BU74" i="16" s="1"/>
  <c r="BU75" i="16" s="1"/>
  <c r="BU76" i="16" s="1"/>
  <c r="BU77" i="16" s="1"/>
  <c r="BU78" i="16" s="1"/>
  <c r="T160" i="16" s="1"/>
  <c r="BU65" i="13"/>
  <c r="BU66" i="13" s="1"/>
  <c r="BU67" i="13" s="1"/>
  <c r="BU68" i="13" s="1"/>
  <c r="BU69" i="13" s="1"/>
  <c r="BU70" i="13" s="1"/>
  <c r="BU71" i="13" s="1"/>
  <c r="BU72" i="13" s="1"/>
  <c r="BU73" i="13" s="1"/>
  <c r="BU74" i="13" s="1"/>
  <c r="BU75" i="13" s="1"/>
  <c r="BU76" i="13" s="1"/>
  <c r="BU77" i="13" s="1"/>
  <c r="BU78" i="13" s="1"/>
  <c r="T160" i="13" s="1"/>
  <c r="AU65" i="16"/>
  <c r="AU66" i="16" s="1"/>
  <c r="AU67" i="16" s="1"/>
  <c r="AU68" i="16" s="1"/>
  <c r="AU69" i="16" s="1"/>
  <c r="AU70" i="16" s="1"/>
  <c r="AU71" i="16" s="1"/>
  <c r="AU72" i="16" s="1"/>
  <c r="AU73" i="16" s="1"/>
  <c r="AU74" i="16" s="1"/>
  <c r="AU75" i="16" s="1"/>
  <c r="AU76" i="16" s="1"/>
  <c r="AU77" i="16" s="1"/>
  <c r="AU78" i="16" s="1"/>
  <c r="S160" i="16" s="1"/>
  <c r="CU65" i="15"/>
  <c r="CU66" i="15" s="1"/>
  <c r="CU67" i="15" s="1"/>
  <c r="CU68" i="15" s="1"/>
  <c r="CU69" i="15" s="1"/>
  <c r="CU70" i="15" s="1"/>
  <c r="CU71" i="15" s="1"/>
  <c r="CU72" i="15" s="1"/>
  <c r="CU73" i="15" s="1"/>
  <c r="CU74" i="15" s="1"/>
  <c r="CU75" i="15" s="1"/>
  <c r="CU76" i="15" s="1"/>
  <c r="CU77" i="15" s="1"/>
  <c r="CU78" i="15" s="1"/>
  <c r="U160" i="15" s="1"/>
  <c r="U65" i="14"/>
  <c r="U66" i="14" s="1"/>
  <c r="U67" i="14" s="1"/>
  <c r="U68" i="14" s="1"/>
  <c r="U69" i="14" s="1"/>
  <c r="U70" i="14" s="1"/>
  <c r="U71" i="14" s="1"/>
  <c r="U72" i="14" s="1"/>
  <c r="U73" i="14" s="1"/>
  <c r="U74" i="14" s="1"/>
  <c r="U75" i="14" s="1"/>
  <c r="U76" i="14" s="1"/>
  <c r="U77" i="14" s="1"/>
  <c r="U78" i="14" s="1"/>
  <c r="R160" i="14" s="1"/>
  <c r="U65" i="15"/>
  <c r="U66" i="15" s="1"/>
  <c r="U67" i="15" s="1"/>
  <c r="U68" i="15" s="1"/>
  <c r="U69" i="15" s="1"/>
  <c r="U70" i="15" s="1"/>
  <c r="U71" i="15" s="1"/>
  <c r="U72" i="15" s="1"/>
  <c r="U73" i="15" s="1"/>
  <c r="U74" i="15" s="1"/>
  <c r="U75" i="15" s="1"/>
  <c r="U76" i="15" s="1"/>
  <c r="U77" i="15" s="1"/>
  <c r="U78" i="15" s="1"/>
  <c r="R160" i="15" s="1"/>
  <c r="BU69" i="14"/>
  <c r="BU70" i="14" s="1"/>
  <c r="BU71" i="14" s="1"/>
  <c r="BU72" i="14" s="1"/>
  <c r="BU73" i="14" s="1"/>
  <c r="BU74" i="14" s="1"/>
  <c r="BU75" i="14" s="1"/>
  <c r="BU76" i="14" s="1"/>
  <c r="BU77" i="14" s="1"/>
  <c r="BU78" i="14" s="1"/>
  <c r="T160" i="14" s="1"/>
  <c r="CU65" i="13"/>
  <c r="CU66" i="13" s="1"/>
  <c r="CU67" i="13" s="1"/>
  <c r="CU68" i="13" s="1"/>
  <c r="CU69" i="13" s="1"/>
  <c r="CU70" i="13" s="1"/>
  <c r="CU71" i="13" s="1"/>
  <c r="CU72" i="13" s="1"/>
  <c r="CU73" i="13" s="1"/>
  <c r="CU74" i="13" s="1"/>
  <c r="CU75" i="13" s="1"/>
  <c r="CU76" i="13" s="1"/>
  <c r="CU77" i="13" s="1"/>
  <c r="CU78" i="13" s="1"/>
  <c r="U160" i="13" s="1"/>
  <c r="AU69" i="13"/>
  <c r="AU70" i="13" s="1"/>
  <c r="AU71" i="13" s="1"/>
  <c r="AU72" i="13" s="1"/>
  <c r="AU73" i="13" s="1"/>
  <c r="AU74" i="13" s="1"/>
  <c r="AU75" i="13" s="1"/>
  <c r="AU76" i="13" s="1"/>
  <c r="AU77" i="13" s="1"/>
  <c r="AU78" i="13" s="1"/>
  <c r="S160" i="13" s="1"/>
  <c r="U65" i="13"/>
  <c r="U66" i="13" s="1"/>
  <c r="U67" i="13" s="1"/>
  <c r="U68" i="13" s="1"/>
  <c r="U69" i="13" s="1"/>
  <c r="U70" i="13" s="1"/>
  <c r="U71" i="13" s="1"/>
  <c r="U72" i="13" s="1"/>
  <c r="U73" i="13" s="1"/>
  <c r="U74" i="13" s="1"/>
  <c r="U75" i="13" s="1"/>
  <c r="U76" i="13" s="1"/>
  <c r="U77" i="13" s="1"/>
  <c r="U78" i="13" s="1"/>
  <c r="R160" i="13" s="1"/>
  <c r="DU65" i="13"/>
  <c r="DU66" i="13" s="1"/>
  <c r="DU67" i="13" s="1"/>
  <c r="DU68" i="13" s="1"/>
  <c r="DU69" i="13" s="1"/>
  <c r="DU70" i="13" s="1"/>
  <c r="DU71" i="13" s="1"/>
  <c r="DU72" i="13" s="1"/>
  <c r="DU73" i="13" s="1"/>
  <c r="DU74" i="13" s="1"/>
  <c r="DU75" i="13" s="1"/>
  <c r="DU76" i="13" s="1"/>
  <c r="DU77" i="13" s="1"/>
  <c r="DU78" i="13" s="1"/>
  <c r="V160" i="13" s="1"/>
  <c r="CP39" i="16"/>
  <c r="CP40" i="16" s="1"/>
  <c r="CP41" i="16" s="1"/>
  <c r="CP42" i="16" s="1"/>
  <c r="CP43" i="16" s="1"/>
  <c r="CP44" i="16" s="1"/>
  <c r="CP45" i="16" s="1"/>
  <c r="CP46" i="16" s="1"/>
  <c r="CP47" i="16" s="1"/>
  <c r="CP48" i="16" s="1"/>
  <c r="CP49" i="16" s="1"/>
  <c r="CP50" i="16" s="1"/>
  <c r="CP51" i="16" s="1"/>
  <c r="CP52" i="16" s="1"/>
  <c r="CP53" i="16" s="1"/>
  <c r="F4" i="16"/>
  <c r="CP13" i="16"/>
  <c r="CP14" i="16" s="1"/>
  <c r="CP15" i="16" s="1"/>
  <c r="CP16" i="16" s="1"/>
  <c r="CP17" i="16" s="1"/>
  <c r="CP18" i="16" s="1"/>
  <c r="CP19" i="16" s="1"/>
  <c r="CP20" i="16" s="1"/>
  <c r="CP21" i="16" s="1"/>
  <c r="CP22" i="16" s="1"/>
  <c r="CP23" i="16" s="1"/>
  <c r="CP24" i="16" s="1"/>
  <c r="CP25" i="16" s="1"/>
  <c r="CP26" i="16" s="1"/>
  <c r="CP27" i="16" s="1"/>
  <c r="E4" i="16"/>
  <c r="B39" i="13"/>
  <c r="B40" i="13" s="1"/>
  <c r="B41" i="13" s="1"/>
  <c r="B42" i="13" s="1"/>
  <c r="BJ64" i="15" l="1"/>
  <c r="BQ64" i="15"/>
  <c r="BJ64" i="14"/>
  <c r="BQ64" i="14"/>
  <c r="BJ64" i="16"/>
  <c r="BQ64" i="16"/>
  <c r="BJ70" i="13"/>
  <c r="BQ70" i="13"/>
  <c r="BJ70" i="15"/>
  <c r="BQ70" i="15"/>
  <c r="J65" i="16"/>
  <c r="Q65" i="16"/>
  <c r="J65" i="13"/>
  <c r="Q65" i="13"/>
  <c r="BJ65" i="16"/>
  <c r="BQ65" i="16"/>
  <c r="BJ66" i="13"/>
  <c r="BQ66" i="13"/>
  <c r="BJ66" i="15"/>
  <c r="BQ66" i="15"/>
  <c r="AJ67" i="15"/>
  <c r="AQ67" i="15"/>
  <c r="AJ67" i="13"/>
  <c r="AQ67" i="13"/>
  <c r="BJ67" i="16"/>
  <c r="BQ67" i="16"/>
  <c r="AJ73" i="13"/>
  <c r="AQ73" i="13"/>
  <c r="BJ73" i="15"/>
  <c r="BQ73" i="15"/>
  <c r="DJ75" i="13"/>
  <c r="DQ75" i="13"/>
  <c r="DJ75" i="14"/>
  <c r="DQ75" i="14"/>
  <c r="BJ75" i="16"/>
  <c r="BQ75" i="16"/>
  <c r="BJ77" i="13"/>
  <c r="BQ77" i="13"/>
  <c r="BJ77" i="15"/>
  <c r="BQ77" i="15"/>
  <c r="CJ68" i="13"/>
  <c r="CQ68" i="13"/>
  <c r="DJ68" i="14"/>
  <c r="DQ68" i="14"/>
  <c r="BJ68" i="16"/>
  <c r="BQ68" i="16"/>
  <c r="BJ78" i="13"/>
  <c r="BQ78" i="13"/>
  <c r="BJ78" i="15"/>
  <c r="BQ78" i="15"/>
  <c r="CJ69" i="13"/>
  <c r="CQ69" i="13"/>
  <c r="DJ69" i="13"/>
  <c r="DQ69" i="13"/>
  <c r="BJ69" i="16"/>
  <c r="BQ69" i="16"/>
  <c r="BJ74" i="13"/>
  <c r="BQ74" i="13"/>
  <c r="BJ74" i="15"/>
  <c r="BQ74" i="15"/>
  <c r="CJ72" i="14"/>
  <c r="CQ72" i="14"/>
  <c r="BJ72" i="13"/>
  <c r="BQ72" i="13"/>
  <c r="BJ72" i="16"/>
  <c r="BQ72" i="16"/>
  <c r="BJ71" i="13"/>
  <c r="BQ71" i="13"/>
  <c r="CJ71" i="15"/>
  <c r="CQ71" i="15"/>
  <c r="J76" i="15"/>
  <c r="Q76" i="15"/>
  <c r="CJ76" i="14"/>
  <c r="CQ76" i="14"/>
  <c r="BJ76" i="16"/>
  <c r="BQ76" i="16"/>
  <c r="CD148" i="16"/>
  <c r="CD147" i="16"/>
  <c r="CD149" i="16"/>
  <c r="CD145" i="16"/>
  <c r="CD141" i="16"/>
  <c r="CD142" i="16"/>
  <c r="CD151" i="16"/>
  <c r="CD143" i="16"/>
  <c r="CD152" i="16"/>
  <c r="CD138" i="16"/>
  <c r="CD139" i="16"/>
  <c r="CD153" i="16"/>
  <c r="CD150" i="16"/>
  <c r="CD140" i="16"/>
  <c r="CD146" i="16"/>
  <c r="CD144" i="16"/>
  <c r="CP69" i="16"/>
  <c r="CP75" i="16"/>
  <c r="CP74" i="16"/>
  <c r="CP70" i="16"/>
  <c r="CP65" i="16"/>
  <c r="CP64" i="16"/>
  <c r="CP68" i="16"/>
  <c r="CP73" i="16"/>
  <c r="CP78" i="16"/>
  <c r="CP63" i="16"/>
  <c r="CP67" i="16"/>
  <c r="CP77" i="16"/>
  <c r="CP72" i="16"/>
  <c r="CP76" i="16"/>
  <c r="CP66" i="16"/>
  <c r="CP71" i="16"/>
  <c r="J64" i="16"/>
  <c r="Q64" i="16"/>
  <c r="J64" i="15"/>
  <c r="Q64" i="15"/>
  <c r="CJ64" i="16"/>
  <c r="CQ64" i="16"/>
  <c r="CJ70" i="13"/>
  <c r="CQ70" i="13"/>
  <c r="CJ70" i="15"/>
  <c r="CQ70" i="15"/>
  <c r="AJ65" i="13"/>
  <c r="AQ65" i="13"/>
  <c r="J65" i="15"/>
  <c r="Q65" i="15"/>
  <c r="CJ65" i="16"/>
  <c r="CQ65" i="16"/>
  <c r="CJ66" i="13"/>
  <c r="CQ66" i="13"/>
  <c r="CJ66" i="15"/>
  <c r="CQ66" i="15"/>
  <c r="BJ67" i="15"/>
  <c r="BQ67" i="15"/>
  <c r="BJ67" i="13"/>
  <c r="BQ67" i="13"/>
  <c r="CJ67" i="16"/>
  <c r="CQ67" i="16"/>
  <c r="CJ73" i="13"/>
  <c r="CQ73" i="13"/>
  <c r="CJ73" i="15"/>
  <c r="CQ73" i="15"/>
  <c r="BJ75" i="14"/>
  <c r="BQ75" i="14"/>
  <c r="CJ75" i="14"/>
  <c r="CQ75" i="14"/>
  <c r="CJ75" i="16"/>
  <c r="CQ75" i="16"/>
  <c r="CJ77" i="13"/>
  <c r="CQ77" i="13"/>
  <c r="CJ77" i="15"/>
  <c r="CQ77" i="15"/>
  <c r="AJ68" i="14"/>
  <c r="AQ68" i="14"/>
  <c r="CJ68" i="14"/>
  <c r="CQ68" i="14"/>
  <c r="CJ68" i="16"/>
  <c r="CQ68" i="16"/>
  <c r="CJ78" i="13"/>
  <c r="CQ78" i="13"/>
  <c r="CJ78" i="15"/>
  <c r="CQ78" i="15"/>
  <c r="AJ69" i="14"/>
  <c r="AQ69" i="14"/>
  <c r="BJ69" i="14"/>
  <c r="BQ69" i="14"/>
  <c r="CJ69" i="16"/>
  <c r="CQ69" i="16"/>
  <c r="CJ74" i="13"/>
  <c r="CQ74" i="13"/>
  <c r="CJ74" i="15"/>
  <c r="CQ74" i="15"/>
  <c r="AJ72" i="15"/>
  <c r="AQ72" i="15"/>
  <c r="CJ72" i="13"/>
  <c r="CQ72" i="13"/>
  <c r="CJ72" i="16"/>
  <c r="CQ72" i="16"/>
  <c r="CJ71" i="13"/>
  <c r="CQ71" i="13"/>
  <c r="DJ71" i="15"/>
  <c r="DQ71" i="15"/>
  <c r="J76" i="16"/>
  <c r="Q76" i="16"/>
  <c r="AJ76" i="15"/>
  <c r="AQ76" i="15"/>
  <c r="CJ76" i="16"/>
  <c r="CQ76" i="16"/>
  <c r="BJ64" i="13"/>
  <c r="BQ64" i="13"/>
  <c r="AJ64" i="13"/>
  <c r="AQ64" i="13"/>
  <c r="DJ64" i="16"/>
  <c r="DQ64" i="16"/>
  <c r="DJ70" i="13"/>
  <c r="DQ70" i="13"/>
  <c r="DJ70" i="15"/>
  <c r="DQ70" i="15"/>
  <c r="BJ65" i="13"/>
  <c r="BQ65" i="13"/>
  <c r="CJ65" i="14"/>
  <c r="CQ65" i="14"/>
  <c r="DJ65" i="16"/>
  <c r="DQ65" i="16"/>
  <c r="DJ66" i="13"/>
  <c r="DQ66" i="13"/>
  <c r="DJ66" i="15"/>
  <c r="DQ66" i="15"/>
  <c r="J67" i="13"/>
  <c r="Q67" i="13"/>
  <c r="CJ67" i="13"/>
  <c r="CQ67" i="13"/>
  <c r="DJ67" i="16"/>
  <c r="DQ67" i="16"/>
  <c r="AJ73" i="14"/>
  <c r="AQ73" i="14"/>
  <c r="DJ73" i="15"/>
  <c r="DQ73" i="15"/>
  <c r="J75" i="16"/>
  <c r="Q75" i="16"/>
  <c r="AJ75" i="15"/>
  <c r="AQ75" i="15"/>
  <c r="DJ75" i="16"/>
  <c r="DQ75" i="16"/>
  <c r="DJ77" i="13"/>
  <c r="DQ77" i="13"/>
  <c r="DJ77" i="15"/>
  <c r="DQ77" i="15"/>
  <c r="J68" i="14"/>
  <c r="Q68" i="14"/>
  <c r="AJ68" i="15"/>
  <c r="AQ68" i="15"/>
  <c r="DJ68" i="16"/>
  <c r="DQ68" i="16"/>
  <c r="DJ78" i="13"/>
  <c r="DQ78" i="13"/>
  <c r="DJ78" i="15"/>
  <c r="DQ78" i="15"/>
  <c r="DJ69" i="14"/>
  <c r="DQ69" i="14"/>
  <c r="CJ69" i="14"/>
  <c r="CQ69" i="14"/>
  <c r="DJ69" i="16"/>
  <c r="DQ69" i="16"/>
  <c r="DJ74" i="13"/>
  <c r="DQ74" i="13"/>
  <c r="DJ74" i="15"/>
  <c r="DQ74" i="15"/>
  <c r="BJ72" i="15"/>
  <c r="BQ72" i="15"/>
  <c r="DJ72" i="13"/>
  <c r="DQ72" i="13"/>
  <c r="DJ72" i="16"/>
  <c r="DQ72" i="16"/>
  <c r="DJ71" i="13"/>
  <c r="DQ71" i="13"/>
  <c r="BJ71" i="14"/>
  <c r="BQ71" i="14"/>
  <c r="AJ76" i="13"/>
  <c r="AQ76" i="13"/>
  <c r="CJ76" i="15"/>
  <c r="CQ76" i="15"/>
  <c r="DJ76" i="16"/>
  <c r="DQ76" i="16"/>
  <c r="DA150" i="16"/>
  <c r="DA141" i="16"/>
  <c r="DA148" i="16"/>
  <c r="DA152" i="16"/>
  <c r="DA149" i="16"/>
  <c r="DA147" i="16"/>
  <c r="DA146" i="16"/>
  <c r="DA140" i="16"/>
  <c r="DA144" i="16"/>
  <c r="DA151" i="16"/>
  <c r="DA142" i="16"/>
  <c r="DA145" i="16"/>
  <c r="DA143" i="16"/>
  <c r="DA138" i="16"/>
  <c r="DA153" i="16"/>
  <c r="DA139" i="16"/>
  <c r="DP68" i="16"/>
  <c r="DP74" i="16"/>
  <c r="DP70" i="16"/>
  <c r="DP75" i="16"/>
  <c r="DP78" i="16"/>
  <c r="DP65" i="16"/>
  <c r="DP69" i="16"/>
  <c r="DP73" i="16"/>
  <c r="DP63" i="16"/>
  <c r="DP64" i="16"/>
  <c r="DP76" i="16"/>
  <c r="DP72" i="16"/>
  <c r="DP67" i="16"/>
  <c r="DP77" i="16"/>
  <c r="DP66" i="16"/>
  <c r="DP71" i="16"/>
  <c r="DJ64" i="15"/>
  <c r="DQ64" i="15"/>
  <c r="CJ64" i="13"/>
  <c r="CQ64" i="13"/>
  <c r="J70" i="13"/>
  <c r="Q70" i="13"/>
  <c r="AJ70" i="14"/>
  <c r="AQ70" i="14"/>
  <c r="AJ70" i="16"/>
  <c r="AQ70" i="16"/>
  <c r="CJ65" i="13"/>
  <c r="CQ65" i="13"/>
  <c r="AJ65" i="15"/>
  <c r="AQ65" i="15"/>
  <c r="J66" i="13"/>
  <c r="Q66" i="13"/>
  <c r="AJ66" i="14"/>
  <c r="AQ66" i="14"/>
  <c r="AJ66" i="16"/>
  <c r="AQ66" i="16"/>
  <c r="CJ67" i="15"/>
  <c r="CQ67" i="15"/>
  <c r="DJ67" i="13"/>
  <c r="DQ67" i="13"/>
  <c r="J73" i="16"/>
  <c r="Q73" i="16"/>
  <c r="DJ73" i="14"/>
  <c r="DQ73" i="14"/>
  <c r="AJ73" i="16"/>
  <c r="AQ73" i="16"/>
  <c r="BJ75" i="13"/>
  <c r="BQ75" i="13"/>
  <c r="BJ75" i="15"/>
  <c r="BQ75" i="15"/>
  <c r="J77" i="13"/>
  <c r="Q77" i="13"/>
  <c r="AJ77" i="14"/>
  <c r="AQ77" i="14"/>
  <c r="AJ77" i="16"/>
  <c r="AQ77" i="16"/>
  <c r="J68" i="16"/>
  <c r="Q68" i="16"/>
  <c r="BJ68" i="15"/>
  <c r="BQ68" i="15"/>
  <c r="J78" i="13"/>
  <c r="Q78" i="13"/>
  <c r="AJ78" i="14"/>
  <c r="AQ78" i="14"/>
  <c r="AJ78" i="16"/>
  <c r="AQ78" i="16"/>
  <c r="J69" i="13"/>
  <c r="Q69" i="13"/>
  <c r="AJ69" i="15"/>
  <c r="AQ69" i="15"/>
  <c r="J74" i="13"/>
  <c r="Q74" i="13"/>
  <c r="AJ74" i="14"/>
  <c r="AQ74" i="14"/>
  <c r="AJ74" i="16"/>
  <c r="AQ74" i="16"/>
  <c r="DJ72" i="15"/>
  <c r="DQ72" i="15"/>
  <c r="AJ72" i="14"/>
  <c r="AQ72" i="14"/>
  <c r="J71" i="13"/>
  <c r="Q71" i="13"/>
  <c r="AJ71" i="14"/>
  <c r="AQ71" i="14"/>
  <c r="AJ71" i="16"/>
  <c r="AQ71" i="16"/>
  <c r="CJ76" i="13"/>
  <c r="CQ76" i="13"/>
  <c r="DJ76" i="15"/>
  <c r="DQ76" i="15"/>
  <c r="AJ64" i="15"/>
  <c r="AQ64" i="15"/>
  <c r="AJ64" i="14"/>
  <c r="AQ64" i="14"/>
  <c r="J70" i="14"/>
  <c r="Q70" i="14"/>
  <c r="BJ70" i="14"/>
  <c r="BQ70" i="14"/>
  <c r="BJ70" i="16"/>
  <c r="BQ70" i="16"/>
  <c r="DJ65" i="13"/>
  <c r="DQ65" i="13"/>
  <c r="BJ65" i="15"/>
  <c r="BQ65" i="15"/>
  <c r="J66" i="14"/>
  <c r="Q66" i="14"/>
  <c r="BJ66" i="14"/>
  <c r="BQ66" i="14"/>
  <c r="BJ66" i="16"/>
  <c r="BQ66" i="16"/>
  <c r="DJ67" i="15"/>
  <c r="DQ67" i="15"/>
  <c r="AJ67" i="14"/>
  <c r="AQ67" i="14"/>
  <c r="DJ73" i="13"/>
  <c r="DQ73" i="13"/>
  <c r="J73" i="14"/>
  <c r="Q73" i="14"/>
  <c r="BJ73" i="16"/>
  <c r="BQ73" i="16"/>
  <c r="J75" i="15"/>
  <c r="Q75" i="15"/>
  <c r="CJ75" i="15"/>
  <c r="CQ75" i="15"/>
  <c r="J77" i="14"/>
  <c r="Q77" i="14"/>
  <c r="BJ77" i="14"/>
  <c r="BQ77" i="14"/>
  <c r="BJ77" i="16"/>
  <c r="BQ77" i="16"/>
  <c r="BJ68" i="13"/>
  <c r="BQ68" i="13"/>
  <c r="CJ68" i="15"/>
  <c r="CQ68" i="15"/>
  <c r="J78" i="14"/>
  <c r="Q78" i="14"/>
  <c r="BJ78" i="14"/>
  <c r="BQ78" i="14"/>
  <c r="BJ78" i="16"/>
  <c r="BQ78" i="16"/>
  <c r="J69" i="15"/>
  <c r="Q69" i="15"/>
  <c r="BJ69" i="15"/>
  <c r="BQ69" i="15"/>
  <c r="J74" i="14"/>
  <c r="Q74" i="14"/>
  <c r="BJ74" i="14"/>
  <c r="BQ74" i="14"/>
  <c r="BJ74" i="16"/>
  <c r="BQ74" i="16"/>
  <c r="J72" i="14"/>
  <c r="Q72" i="14"/>
  <c r="BJ72" i="14"/>
  <c r="BQ72" i="14"/>
  <c r="J71" i="14"/>
  <c r="Q71" i="14"/>
  <c r="DJ71" i="14"/>
  <c r="DQ71" i="14"/>
  <c r="BJ71" i="16"/>
  <c r="BQ71" i="16"/>
  <c r="DJ76" i="13"/>
  <c r="DQ76" i="13"/>
  <c r="BJ76" i="13"/>
  <c r="BQ76" i="13"/>
  <c r="CJ64" i="15"/>
  <c r="CQ64" i="15"/>
  <c r="DJ64" i="14"/>
  <c r="DQ64" i="14"/>
  <c r="J70" i="15"/>
  <c r="Q70" i="15"/>
  <c r="DJ70" i="14"/>
  <c r="DQ70" i="14"/>
  <c r="CJ70" i="16"/>
  <c r="CQ70" i="16"/>
  <c r="AJ65" i="14"/>
  <c r="AQ65" i="14"/>
  <c r="CJ65" i="15"/>
  <c r="CQ65" i="15"/>
  <c r="J66" i="15"/>
  <c r="Q66" i="15"/>
  <c r="DJ66" i="14"/>
  <c r="DQ66" i="14"/>
  <c r="CJ66" i="16"/>
  <c r="CQ66" i="16"/>
  <c r="J67" i="14"/>
  <c r="Q67" i="14"/>
  <c r="BJ67" i="14"/>
  <c r="BQ67" i="14"/>
  <c r="BJ73" i="14"/>
  <c r="BQ73" i="14"/>
  <c r="BJ73" i="13"/>
  <c r="BQ73" i="13"/>
  <c r="CJ73" i="16"/>
  <c r="CQ73" i="16"/>
  <c r="AJ75" i="13"/>
  <c r="AQ75" i="13"/>
  <c r="DJ75" i="15"/>
  <c r="DQ75" i="15"/>
  <c r="J77" i="15"/>
  <c r="Q77" i="15"/>
  <c r="DJ77" i="14"/>
  <c r="DQ77" i="14"/>
  <c r="CJ77" i="16"/>
  <c r="CQ77" i="16"/>
  <c r="DJ68" i="13"/>
  <c r="DQ68" i="13"/>
  <c r="DJ68" i="15"/>
  <c r="DQ68" i="15"/>
  <c r="J78" i="15"/>
  <c r="Q78" i="15"/>
  <c r="DJ78" i="14"/>
  <c r="DQ78" i="14"/>
  <c r="CJ78" i="16"/>
  <c r="CQ78" i="16"/>
  <c r="J69" i="14"/>
  <c r="Q69" i="14"/>
  <c r="CJ69" i="15"/>
  <c r="CQ69" i="15"/>
  <c r="J74" i="15"/>
  <c r="Q74" i="15"/>
  <c r="DJ74" i="14"/>
  <c r="DQ74" i="14"/>
  <c r="CJ74" i="16"/>
  <c r="CQ74" i="16"/>
  <c r="J72" i="15"/>
  <c r="Q72" i="15"/>
  <c r="DJ72" i="14"/>
  <c r="DQ72" i="14"/>
  <c r="J71" i="15"/>
  <c r="Q71" i="15"/>
  <c r="CJ71" i="14"/>
  <c r="CQ71" i="14"/>
  <c r="CJ71" i="16"/>
  <c r="CQ71" i="16"/>
  <c r="AJ76" i="14"/>
  <c r="AQ76" i="14"/>
  <c r="BJ76" i="15"/>
  <c r="BQ76" i="15"/>
  <c r="CQ63" i="16"/>
  <c r="J64" i="14"/>
  <c r="Q64" i="14"/>
  <c r="J64" i="13"/>
  <c r="Q64" i="13"/>
  <c r="J70" i="16"/>
  <c r="Q70" i="16"/>
  <c r="CJ70" i="14"/>
  <c r="CQ70" i="14"/>
  <c r="DJ70" i="16"/>
  <c r="DQ70" i="16"/>
  <c r="BJ65" i="14"/>
  <c r="BQ65" i="14"/>
  <c r="DJ65" i="15"/>
  <c r="DQ65" i="15"/>
  <c r="J66" i="16"/>
  <c r="Q66" i="16"/>
  <c r="CJ66" i="14"/>
  <c r="CQ66" i="14"/>
  <c r="DJ66" i="16"/>
  <c r="DQ66" i="16"/>
  <c r="J67" i="15"/>
  <c r="Q67" i="15"/>
  <c r="DJ67" i="14"/>
  <c r="DQ67" i="14"/>
  <c r="J73" i="13"/>
  <c r="Q73" i="13"/>
  <c r="CJ73" i="14"/>
  <c r="CQ73" i="14"/>
  <c r="DJ73" i="16"/>
  <c r="DQ73" i="16"/>
  <c r="CJ75" i="13"/>
  <c r="CQ75" i="13"/>
  <c r="J75" i="13"/>
  <c r="Q75" i="13"/>
  <c r="J77" i="16"/>
  <c r="Q77" i="16"/>
  <c r="CJ77" i="14"/>
  <c r="CQ77" i="14"/>
  <c r="DJ77" i="16"/>
  <c r="DQ77" i="16"/>
  <c r="BJ68" i="14"/>
  <c r="BQ68" i="14"/>
  <c r="J68" i="13"/>
  <c r="Q68" i="13"/>
  <c r="J78" i="16"/>
  <c r="Q78" i="16"/>
  <c r="CJ78" i="14"/>
  <c r="CQ78" i="14"/>
  <c r="DJ78" i="16"/>
  <c r="DQ78" i="16"/>
  <c r="J69" i="16"/>
  <c r="Q69" i="16"/>
  <c r="DJ69" i="15"/>
  <c r="DQ69" i="15"/>
  <c r="J74" i="16"/>
  <c r="Q74" i="16"/>
  <c r="CJ74" i="14"/>
  <c r="CQ74" i="14"/>
  <c r="DJ74" i="16"/>
  <c r="DQ74" i="16"/>
  <c r="J72" i="16"/>
  <c r="Q72" i="16"/>
  <c r="J72" i="13"/>
  <c r="Q72" i="13"/>
  <c r="J71" i="16"/>
  <c r="Q71" i="16"/>
  <c r="AJ71" i="15"/>
  <c r="AQ71" i="15"/>
  <c r="DJ71" i="16"/>
  <c r="DQ71" i="16"/>
  <c r="BJ76" i="14"/>
  <c r="BQ76" i="14"/>
  <c r="J76" i="13"/>
  <c r="Q76" i="13"/>
  <c r="DQ63" i="16"/>
  <c r="CJ64" i="14"/>
  <c r="CQ64" i="14"/>
  <c r="DJ64" i="13"/>
  <c r="DQ64" i="13"/>
  <c r="AJ64" i="16"/>
  <c r="AQ64" i="16"/>
  <c r="AJ70" i="13"/>
  <c r="AQ70" i="13"/>
  <c r="AJ70" i="15"/>
  <c r="AQ70" i="15"/>
  <c r="J65" i="14"/>
  <c r="Q65" i="14"/>
  <c r="DJ65" i="14"/>
  <c r="DQ65" i="14"/>
  <c r="AJ65" i="16"/>
  <c r="AQ65" i="16"/>
  <c r="AJ66" i="13"/>
  <c r="AQ66" i="13"/>
  <c r="AJ66" i="15"/>
  <c r="AQ66" i="15"/>
  <c r="CJ67" i="14"/>
  <c r="CQ67" i="14"/>
  <c r="J67" i="16"/>
  <c r="Q67" i="16"/>
  <c r="AJ67" i="16"/>
  <c r="AQ67" i="16"/>
  <c r="J73" i="15"/>
  <c r="Q73" i="15"/>
  <c r="AJ73" i="15"/>
  <c r="AQ73" i="15"/>
  <c r="J75" i="14"/>
  <c r="Q75" i="14"/>
  <c r="AJ75" i="14"/>
  <c r="AQ75" i="14"/>
  <c r="AJ75" i="16"/>
  <c r="AQ75" i="16"/>
  <c r="AJ77" i="13"/>
  <c r="AQ77" i="13"/>
  <c r="AJ77" i="15"/>
  <c r="AQ77" i="15"/>
  <c r="J68" i="15"/>
  <c r="Q68" i="15"/>
  <c r="AJ68" i="13"/>
  <c r="AQ68" i="13"/>
  <c r="AJ68" i="16"/>
  <c r="AQ68" i="16"/>
  <c r="AJ78" i="13"/>
  <c r="AQ78" i="13"/>
  <c r="AJ78" i="15"/>
  <c r="AQ78" i="15"/>
  <c r="AJ69" i="13"/>
  <c r="AQ69" i="13"/>
  <c r="BJ69" i="13"/>
  <c r="BQ69" i="13"/>
  <c r="AJ69" i="16"/>
  <c r="AQ69" i="16"/>
  <c r="AJ74" i="13"/>
  <c r="AQ74" i="13"/>
  <c r="AJ74" i="15"/>
  <c r="AQ74" i="15"/>
  <c r="CJ72" i="15"/>
  <c r="CQ72" i="15"/>
  <c r="AJ72" i="13"/>
  <c r="AQ72" i="13"/>
  <c r="AJ72" i="16"/>
  <c r="AQ72" i="16"/>
  <c r="AJ71" i="13"/>
  <c r="AQ71" i="13"/>
  <c r="BJ71" i="15"/>
  <c r="BQ71" i="15"/>
  <c r="J76" i="14"/>
  <c r="Q76" i="14"/>
  <c r="DJ76" i="14"/>
  <c r="DQ76" i="14"/>
  <c r="AJ76" i="16"/>
  <c r="AQ76" i="16"/>
  <c r="B14" i="13"/>
  <c r="AJ63" i="16"/>
  <c r="BJ63" i="13"/>
  <c r="CJ63" i="13"/>
  <c r="DJ63" i="13"/>
  <c r="BJ63" i="15"/>
  <c r="BJ63" i="16"/>
  <c r="J63" i="14"/>
  <c r="AJ63" i="15"/>
  <c r="J63" i="13"/>
  <c r="AJ63" i="14"/>
  <c r="BJ63" i="14"/>
  <c r="CJ63" i="15"/>
  <c r="CJ63" i="16"/>
  <c r="AJ63" i="13"/>
  <c r="J63" i="16"/>
  <c r="J63" i="15"/>
  <c r="DJ63" i="14"/>
  <c r="CJ63" i="14"/>
  <c r="DJ63" i="15"/>
  <c r="DJ63" i="16"/>
  <c r="CI138" i="16"/>
  <c r="DF138" i="16"/>
  <c r="CU63" i="16"/>
  <c r="DU63" i="16"/>
  <c r="B43" i="13"/>
  <c r="B44" i="13" s="1"/>
  <c r="B15" i="13"/>
  <c r="DF139" i="16" l="1"/>
  <c r="DF140" i="16" s="1"/>
  <c r="DF141" i="16" s="1"/>
  <c r="DF142" i="16" s="1"/>
  <c r="DF143" i="16" s="1"/>
  <c r="DF144" i="16" s="1"/>
  <c r="DF145" i="16" s="1"/>
  <c r="DF146" i="16" s="1"/>
  <c r="DF147" i="16" s="1"/>
  <c r="DF148" i="16" s="1"/>
  <c r="DF149" i="16" s="1"/>
  <c r="DF150" i="16" s="1"/>
  <c r="DF151" i="16" s="1"/>
  <c r="DF152" i="16" s="1"/>
  <c r="DF153" i="16" s="1"/>
  <c r="AK160" i="16" s="1"/>
  <c r="CI139" i="16"/>
  <c r="CI140" i="16" s="1"/>
  <c r="CI141" i="16" s="1"/>
  <c r="CI142" i="16" s="1"/>
  <c r="CI143" i="16" s="1"/>
  <c r="CI144" i="16" s="1"/>
  <c r="CI145" i="16" s="1"/>
  <c r="CI146" i="16" s="1"/>
  <c r="CI147" i="16" s="1"/>
  <c r="CI148" i="16" s="1"/>
  <c r="CI149" i="16" s="1"/>
  <c r="CI150" i="16" s="1"/>
  <c r="CI151" i="16" s="1"/>
  <c r="CI152" i="16" s="1"/>
  <c r="CI153" i="16" s="1"/>
  <c r="AJ160" i="16" s="1"/>
  <c r="DU64" i="16"/>
  <c r="DU65" i="16" s="1"/>
  <c r="DU66" i="16" s="1"/>
  <c r="DU67" i="16" s="1"/>
  <c r="DU68" i="16" s="1"/>
  <c r="DU69" i="16" s="1"/>
  <c r="DU70" i="16" s="1"/>
  <c r="DU71" i="16" s="1"/>
  <c r="DU72" i="16" s="1"/>
  <c r="DU73" i="16" s="1"/>
  <c r="DU74" i="16" s="1"/>
  <c r="DU75" i="16" s="1"/>
  <c r="DU76" i="16" s="1"/>
  <c r="DU77" i="16" s="1"/>
  <c r="DU78" i="16" s="1"/>
  <c r="V160" i="16" s="1"/>
  <c r="CU64" i="16"/>
  <c r="CU65" i="16" s="1"/>
  <c r="CU66" i="16" s="1"/>
  <c r="CU67" i="16" s="1"/>
  <c r="CU68" i="16" s="1"/>
  <c r="CU69" i="16" s="1"/>
  <c r="CU70" i="16" s="1"/>
  <c r="CU71" i="16" s="1"/>
  <c r="CU72" i="16" s="1"/>
  <c r="CU73" i="16" s="1"/>
  <c r="CU74" i="16" s="1"/>
  <c r="CU75" i="16" s="1"/>
  <c r="CU76" i="16" s="1"/>
  <c r="CU77" i="16" s="1"/>
  <c r="CU78" i="16" s="1"/>
  <c r="U160" i="16" s="1"/>
  <c r="B45" i="13"/>
  <c r="B16" i="13"/>
  <c r="B17" i="13" l="1"/>
  <c r="B46" i="13"/>
  <c r="B18" i="13" l="1"/>
  <c r="B47" i="13"/>
  <c r="B19" i="13" l="1"/>
  <c r="B48" i="13"/>
  <c r="B20" i="13" l="1"/>
  <c r="B49" i="13"/>
  <c r="B21" i="13" l="1"/>
  <c r="B50" i="13"/>
  <c r="B22" i="13" l="1"/>
  <c r="B51" i="13"/>
  <c r="B23" i="13" l="1"/>
  <c r="B52" i="13"/>
  <c r="B24" i="13" l="1"/>
  <c r="B53" i="13"/>
  <c r="B25" i="13" l="1"/>
  <c r="B26" i="13" l="1"/>
  <c r="B27" i="13" l="1"/>
  <c r="M23" i="8" l="1"/>
  <c r="M21" i="8"/>
  <c r="M19" i="8"/>
  <c r="V7" i="8"/>
  <c r="T7" i="8"/>
  <c r="R7" i="8"/>
  <c r="P7" i="8"/>
  <c r="M14" i="8"/>
  <c r="M13" i="8"/>
  <c r="C42" i="8"/>
  <c r="C43" i="8"/>
  <c r="C44" i="8"/>
  <c r="C45" i="8"/>
  <c r="C41" i="8"/>
  <c r="C31" i="8"/>
  <c r="C32" i="8"/>
  <c r="C33" i="8"/>
  <c r="C34" i="8"/>
  <c r="C30" i="8"/>
  <c r="B30" i="8"/>
  <c r="C26" i="8"/>
  <c r="C27" i="8"/>
  <c r="C28" i="8"/>
  <c r="C29" i="8"/>
  <c r="C25" i="8"/>
  <c r="C21" i="8"/>
  <c r="C22" i="8"/>
  <c r="C23" i="8"/>
  <c r="C24" i="8"/>
  <c r="C20" i="8"/>
  <c r="B13" i="8"/>
  <c r="Q33" i="7" l="1"/>
  <c r="W36" i="7"/>
  <c r="I136" i="7" s="1"/>
  <c r="M33" i="7"/>
  <c r="L33" i="7"/>
  <c r="H33" i="7"/>
  <c r="H36" i="7" s="1"/>
  <c r="F136" i="7" s="1"/>
  <c r="G33" i="7"/>
  <c r="L26" i="7"/>
  <c r="G26" i="7"/>
  <c r="V16" i="7"/>
  <c r="Q16" i="7"/>
  <c r="L16" i="7"/>
  <c r="G16" i="7"/>
  <c r="AD65" i="2"/>
  <c r="W65" i="2"/>
  <c r="P65" i="2"/>
  <c r="I65" i="2"/>
  <c r="AD44" i="2"/>
  <c r="W59" i="2"/>
  <c r="W44" i="2"/>
  <c r="I59" i="2"/>
  <c r="AD29" i="2"/>
  <c r="AD26" i="2"/>
  <c r="AD28" i="2"/>
  <c r="AD25" i="2"/>
  <c r="AD24" i="2"/>
  <c r="AD23" i="2"/>
  <c r="W29" i="2"/>
  <c r="W26" i="2"/>
  <c r="W28" i="2"/>
  <c r="W25" i="2"/>
  <c r="W24" i="2"/>
  <c r="W23" i="2"/>
  <c r="P24" i="2"/>
  <c r="P25" i="2"/>
  <c r="P26" i="2"/>
  <c r="P29" i="2"/>
  <c r="P23" i="2"/>
  <c r="I29" i="2"/>
  <c r="I26" i="2"/>
  <c r="I25" i="2"/>
  <c r="I24" i="2"/>
  <c r="I23" i="2"/>
  <c r="H8" i="7" l="1"/>
  <c r="W8" i="7"/>
  <c r="E12" i="2"/>
  <c r="S12" i="2"/>
  <c r="E65" i="10" s="1"/>
  <c r="F65" i="10" s="1"/>
  <c r="Z65" i="10" s="1"/>
  <c r="L12" i="2"/>
  <c r="E39" i="10" s="1"/>
  <c r="F39" i="10" s="1"/>
  <c r="Z39" i="10" s="1"/>
  <c r="N33" i="7"/>
  <c r="S33" i="7"/>
  <c r="R36" i="7"/>
  <c r="H136" i="7" s="1"/>
  <c r="N16" i="7"/>
  <c r="S16" i="7"/>
  <c r="N26" i="7"/>
  <c r="I16" i="7"/>
  <c r="X16" i="7"/>
  <c r="I33" i="7"/>
  <c r="M36" i="7"/>
  <c r="G136" i="7" s="1"/>
  <c r="I26" i="7"/>
  <c r="E14" i="10" l="1"/>
  <c r="F14" i="10" s="1"/>
  <c r="E18" i="10"/>
  <c r="F18" i="10" s="1"/>
  <c r="E22" i="10"/>
  <c r="F22" i="10" s="1"/>
  <c r="Z22" i="10" s="1"/>
  <c r="E26" i="10"/>
  <c r="F26" i="10" s="1"/>
  <c r="E17" i="10"/>
  <c r="F17" i="10" s="1"/>
  <c r="E21" i="10"/>
  <c r="F21" i="10" s="1"/>
  <c r="E25" i="10"/>
  <c r="F25" i="10" s="1"/>
  <c r="Z25" i="10" s="1"/>
  <c r="E13" i="10"/>
  <c r="F13" i="10" s="1"/>
  <c r="Z13" i="10" s="1"/>
  <c r="E19" i="10"/>
  <c r="F19" i="10" s="1"/>
  <c r="Z19" i="10" s="1"/>
  <c r="E27" i="10"/>
  <c r="F27" i="10" s="1"/>
  <c r="E20" i="10"/>
  <c r="F20" i="10" s="1"/>
  <c r="E28" i="10"/>
  <c r="F28" i="10" s="1"/>
  <c r="Z28" i="10" s="1"/>
  <c r="E15" i="10"/>
  <c r="F15" i="10" s="1"/>
  <c r="E23" i="10"/>
  <c r="F23" i="10" s="1"/>
  <c r="E16" i="10"/>
  <c r="F16" i="10" s="1"/>
  <c r="Z16" i="10" s="1"/>
  <c r="E24" i="10"/>
  <c r="F24" i="10" s="1"/>
  <c r="R8" i="7"/>
  <c r="M8" i="7"/>
  <c r="R10" i="7"/>
  <c r="H128" i="7"/>
  <c r="H134" i="7" s="1"/>
  <c r="M10" i="7"/>
  <c r="G128" i="7"/>
  <c r="G134" i="7" s="1"/>
  <c r="W10" i="7"/>
  <c r="I128" i="7"/>
  <c r="I134" i="7" s="1"/>
  <c r="H10" i="7"/>
  <c r="F128" i="7"/>
  <c r="F134" i="7" s="1"/>
  <c r="CW114" i="13"/>
  <c r="DF114" i="13" s="1"/>
  <c r="CW118" i="13"/>
  <c r="DF118" i="13" s="1"/>
  <c r="CW122" i="13"/>
  <c r="DF122" i="13" s="1"/>
  <c r="CW126" i="13"/>
  <c r="DF126" i="13" s="1"/>
  <c r="BY114" i="13"/>
  <c r="CH114" i="13" s="1"/>
  <c r="BY118" i="13"/>
  <c r="CH118" i="13" s="1"/>
  <c r="BY122" i="13"/>
  <c r="CH122" i="13" s="1"/>
  <c r="BY126" i="13"/>
  <c r="CH126" i="13" s="1"/>
  <c r="BA114" i="13"/>
  <c r="BJ114" i="13" s="1"/>
  <c r="BA118" i="13"/>
  <c r="BJ118" i="13" s="1"/>
  <c r="BA122" i="13"/>
  <c r="BJ122" i="13" s="1"/>
  <c r="BA126" i="13"/>
  <c r="BJ126" i="13" s="1"/>
  <c r="AC114" i="13"/>
  <c r="AL114" i="13" s="1"/>
  <c r="AC118" i="13"/>
  <c r="AL118" i="13" s="1"/>
  <c r="CW115" i="13"/>
  <c r="DF115" i="13" s="1"/>
  <c r="CW119" i="13"/>
  <c r="DF119" i="13" s="1"/>
  <c r="CW123" i="13"/>
  <c r="DF123" i="13" s="1"/>
  <c r="BY115" i="13"/>
  <c r="CH115" i="13" s="1"/>
  <c r="BY119" i="13"/>
  <c r="CH119" i="13" s="1"/>
  <c r="BY123" i="13"/>
  <c r="CH123" i="13" s="1"/>
  <c r="BY127" i="13"/>
  <c r="CH127" i="13" s="1"/>
  <c r="BA115" i="13"/>
  <c r="BJ115" i="13" s="1"/>
  <c r="BA119" i="13"/>
  <c r="BJ119" i="13" s="1"/>
  <c r="BA123" i="13"/>
  <c r="BJ123" i="13" s="1"/>
  <c r="BA127" i="13"/>
  <c r="BJ127" i="13" s="1"/>
  <c r="AC115" i="13"/>
  <c r="AL115" i="13" s="1"/>
  <c r="CW116" i="13"/>
  <c r="DF116" i="13" s="1"/>
  <c r="CW120" i="13"/>
  <c r="DF120" i="13" s="1"/>
  <c r="CW124" i="13"/>
  <c r="DF124" i="13" s="1"/>
  <c r="CW128" i="13"/>
  <c r="DF128" i="13" s="1"/>
  <c r="BY116" i="13"/>
  <c r="CH116" i="13" s="1"/>
  <c r="BY120" i="13"/>
  <c r="CH120" i="13" s="1"/>
  <c r="BY124" i="13"/>
  <c r="CH124" i="13" s="1"/>
  <c r="BY128" i="13"/>
  <c r="CH128" i="13" s="1"/>
  <c r="BA116" i="13"/>
  <c r="BJ116" i="13" s="1"/>
  <c r="BA120" i="13"/>
  <c r="BJ120" i="13" s="1"/>
  <c r="BA124" i="13"/>
  <c r="BJ124" i="13" s="1"/>
  <c r="BA128" i="13"/>
  <c r="BJ128" i="13" s="1"/>
  <c r="AC116" i="13"/>
  <c r="AL116" i="13" s="1"/>
  <c r="CW117" i="13"/>
  <c r="DF117" i="13" s="1"/>
  <c r="BY117" i="13"/>
  <c r="CH117" i="13" s="1"/>
  <c r="BA117" i="13"/>
  <c r="BJ117" i="13" s="1"/>
  <c r="AC117" i="13"/>
  <c r="AL117" i="13" s="1"/>
  <c r="AC122" i="13"/>
  <c r="AL122" i="13" s="1"/>
  <c r="AC126" i="13"/>
  <c r="AL126" i="13" s="1"/>
  <c r="CW113" i="13"/>
  <c r="DF113" i="13" s="1"/>
  <c r="AC113" i="13"/>
  <c r="AL113" i="13" s="1"/>
  <c r="CW121" i="13"/>
  <c r="DF121" i="13" s="1"/>
  <c r="BY121" i="13"/>
  <c r="CH121" i="13" s="1"/>
  <c r="BA121" i="13"/>
  <c r="BJ121" i="13" s="1"/>
  <c r="AC119" i="13"/>
  <c r="AL119" i="13" s="1"/>
  <c r="AC123" i="13"/>
  <c r="AL123" i="13" s="1"/>
  <c r="AC127" i="13"/>
  <c r="AL127" i="13" s="1"/>
  <c r="BY113" i="13"/>
  <c r="CH113" i="13" s="1"/>
  <c r="AC125" i="13"/>
  <c r="AL125" i="13" s="1"/>
  <c r="CW125" i="13"/>
  <c r="DF125" i="13" s="1"/>
  <c r="BY125" i="13"/>
  <c r="CH125" i="13" s="1"/>
  <c r="BA125" i="13"/>
  <c r="BJ125" i="13" s="1"/>
  <c r="AC120" i="13"/>
  <c r="AL120" i="13" s="1"/>
  <c r="AC124" i="13"/>
  <c r="AL124" i="13" s="1"/>
  <c r="AC128" i="13"/>
  <c r="AL128" i="13" s="1"/>
  <c r="BA113" i="13"/>
  <c r="BJ113" i="13" s="1"/>
  <c r="AC121" i="13"/>
  <c r="AL121" i="13" s="1"/>
  <c r="S11" i="8"/>
  <c r="CR128" i="16"/>
  <c r="CS128" i="16" s="1"/>
  <c r="DB128" i="16" s="1"/>
  <c r="CR124" i="16"/>
  <c r="CS124" i="16" s="1"/>
  <c r="DB124" i="16" s="1"/>
  <c r="CR120" i="16"/>
  <c r="CS120" i="16" s="1"/>
  <c r="DB120" i="16" s="1"/>
  <c r="CR116" i="16"/>
  <c r="CS116" i="16" s="1"/>
  <c r="DB116" i="16" s="1"/>
  <c r="BU128" i="16"/>
  <c r="BV128" i="16" s="1"/>
  <c r="CE128" i="16" s="1"/>
  <c r="BU124" i="16"/>
  <c r="BV124" i="16" s="1"/>
  <c r="CE124" i="16" s="1"/>
  <c r="BU120" i="16"/>
  <c r="BV120" i="16" s="1"/>
  <c r="CE120" i="16" s="1"/>
  <c r="BU116" i="16"/>
  <c r="BV116" i="16" s="1"/>
  <c r="CE116" i="16" s="1"/>
  <c r="AX128" i="16"/>
  <c r="AY128" i="16" s="1"/>
  <c r="BH128" i="16" s="1"/>
  <c r="AX124" i="16"/>
  <c r="AY124" i="16" s="1"/>
  <c r="BH124" i="16" s="1"/>
  <c r="AX120" i="16"/>
  <c r="AY120" i="16" s="1"/>
  <c r="BH120" i="16" s="1"/>
  <c r="AX116" i="16"/>
  <c r="AY116" i="16" s="1"/>
  <c r="BH116" i="16" s="1"/>
  <c r="AA128" i="16"/>
  <c r="AB128" i="16" s="1"/>
  <c r="AK128" i="16" s="1"/>
  <c r="AA124" i="16"/>
  <c r="AB124" i="16" s="1"/>
  <c r="AK124" i="16" s="1"/>
  <c r="AA120" i="16"/>
  <c r="AB120" i="16" s="1"/>
  <c r="AK120" i="16" s="1"/>
  <c r="AA116" i="16"/>
  <c r="AB116" i="16" s="1"/>
  <c r="AK116" i="16" s="1"/>
  <c r="D128" i="16"/>
  <c r="E128" i="16" s="1"/>
  <c r="N128" i="16" s="1"/>
  <c r="D124" i="16"/>
  <c r="E124" i="16" s="1"/>
  <c r="N124" i="16" s="1"/>
  <c r="D120" i="16"/>
  <c r="E120" i="16" s="1"/>
  <c r="N120" i="16" s="1"/>
  <c r="D116" i="16"/>
  <c r="E116" i="16" s="1"/>
  <c r="N116" i="16" s="1"/>
  <c r="CV128" i="15"/>
  <c r="CW128" i="15" s="1"/>
  <c r="DF128" i="15" s="1"/>
  <c r="CV124" i="15"/>
  <c r="CW124" i="15" s="1"/>
  <c r="DF124" i="15" s="1"/>
  <c r="CV120" i="15"/>
  <c r="CW120" i="15" s="1"/>
  <c r="DF120" i="15" s="1"/>
  <c r="CV116" i="15"/>
  <c r="CW116" i="15" s="1"/>
  <c r="DF116" i="15" s="1"/>
  <c r="BX128" i="15"/>
  <c r="BY128" i="15" s="1"/>
  <c r="CH128" i="15" s="1"/>
  <c r="BX124" i="15"/>
  <c r="BY124" i="15" s="1"/>
  <c r="CH124" i="15" s="1"/>
  <c r="BX120" i="15"/>
  <c r="BY120" i="15" s="1"/>
  <c r="CH120" i="15" s="1"/>
  <c r="BX116" i="15"/>
  <c r="BY116" i="15" s="1"/>
  <c r="CH116" i="15" s="1"/>
  <c r="AZ128" i="15"/>
  <c r="BA128" i="15" s="1"/>
  <c r="BJ128" i="15" s="1"/>
  <c r="AZ124" i="15"/>
  <c r="BA124" i="15" s="1"/>
  <c r="BJ124" i="15" s="1"/>
  <c r="AZ120" i="15"/>
  <c r="BA120" i="15" s="1"/>
  <c r="BJ120" i="15" s="1"/>
  <c r="AZ116" i="15"/>
  <c r="BA116" i="15" s="1"/>
  <c r="BJ116" i="15" s="1"/>
  <c r="AB128" i="15"/>
  <c r="AC128" i="15" s="1"/>
  <c r="AL128" i="15" s="1"/>
  <c r="AB124" i="15"/>
  <c r="AC124" i="15" s="1"/>
  <c r="AL124" i="15" s="1"/>
  <c r="AB120" i="15"/>
  <c r="AC120" i="15" s="1"/>
  <c r="AL120" i="15" s="1"/>
  <c r="AB116" i="15"/>
  <c r="AC116" i="15" s="1"/>
  <c r="AL116" i="15" s="1"/>
  <c r="D128" i="15"/>
  <c r="E128" i="15" s="1"/>
  <c r="N128" i="15" s="1"/>
  <c r="D124" i="15"/>
  <c r="E124" i="15" s="1"/>
  <c r="N124" i="15" s="1"/>
  <c r="D120" i="15"/>
  <c r="E120" i="15" s="1"/>
  <c r="N120" i="15" s="1"/>
  <c r="D116" i="15"/>
  <c r="E116" i="15" s="1"/>
  <c r="N116" i="15" s="1"/>
  <c r="CV128" i="14"/>
  <c r="CW128" i="14" s="1"/>
  <c r="DF128" i="14" s="1"/>
  <c r="CV124" i="14"/>
  <c r="CW124" i="14" s="1"/>
  <c r="DF124" i="14" s="1"/>
  <c r="CV120" i="14"/>
  <c r="CW120" i="14" s="1"/>
  <c r="DF120" i="14" s="1"/>
  <c r="CV116" i="14"/>
  <c r="CW116" i="14" s="1"/>
  <c r="DF116" i="14" s="1"/>
  <c r="CR126" i="16"/>
  <c r="CS126" i="16" s="1"/>
  <c r="DB126" i="16" s="1"/>
  <c r="CR122" i="16"/>
  <c r="CS122" i="16" s="1"/>
  <c r="DB122" i="16" s="1"/>
  <c r="CR118" i="16"/>
  <c r="CS118" i="16" s="1"/>
  <c r="DB118" i="16" s="1"/>
  <c r="CR114" i="16"/>
  <c r="CS114" i="16" s="1"/>
  <c r="DB114" i="16" s="1"/>
  <c r="BU126" i="16"/>
  <c r="BV126" i="16" s="1"/>
  <c r="CE126" i="16" s="1"/>
  <c r="BU122" i="16"/>
  <c r="BV122" i="16" s="1"/>
  <c r="CE122" i="16" s="1"/>
  <c r="BU118" i="16"/>
  <c r="BV118" i="16" s="1"/>
  <c r="CE118" i="16" s="1"/>
  <c r="BU114" i="16"/>
  <c r="BV114" i="16" s="1"/>
  <c r="CE114" i="16" s="1"/>
  <c r="AX126" i="16"/>
  <c r="AY126" i="16" s="1"/>
  <c r="BH126" i="16" s="1"/>
  <c r="AX122" i="16"/>
  <c r="AY122" i="16" s="1"/>
  <c r="BH122" i="16" s="1"/>
  <c r="AX118" i="16"/>
  <c r="AY118" i="16" s="1"/>
  <c r="BH118" i="16" s="1"/>
  <c r="AX114" i="16"/>
  <c r="AY114" i="16" s="1"/>
  <c r="BH114" i="16" s="1"/>
  <c r="AA126" i="16"/>
  <c r="AB126" i="16" s="1"/>
  <c r="AK126" i="16" s="1"/>
  <c r="AA122" i="16"/>
  <c r="AB122" i="16" s="1"/>
  <c r="AK122" i="16" s="1"/>
  <c r="AA118" i="16"/>
  <c r="AB118" i="16" s="1"/>
  <c r="AK118" i="16" s="1"/>
  <c r="AA114" i="16"/>
  <c r="AB114" i="16" s="1"/>
  <c r="AK114" i="16" s="1"/>
  <c r="D126" i="16"/>
  <c r="E126" i="16" s="1"/>
  <c r="N126" i="16" s="1"/>
  <c r="D122" i="16"/>
  <c r="E122" i="16" s="1"/>
  <c r="N122" i="16" s="1"/>
  <c r="D118" i="16"/>
  <c r="E118" i="16" s="1"/>
  <c r="N118" i="16" s="1"/>
  <c r="D114" i="16"/>
  <c r="E114" i="16" s="1"/>
  <c r="N114" i="16" s="1"/>
  <c r="CV126" i="15"/>
  <c r="CW126" i="15" s="1"/>
  <c r="DF126" i="15" s="1"/>
  <c r="CV122" i="15"/>
  <c r="CW122" i="15" s="1"/>
  <c r="DF122" i="15" s="1"/>
  <c r="CV118" i="15"/>
  <c r="CW118" i="15" s="1"/>
  <c r="DF118" i="15" s="1"/>
  <c r="CV114" i="15"/>
  <c r="CW114" i="15" s="1"/>
  <c r="DF114" i="15" s="1"/>
  <c r="BX126" i="15"/>
  <c r="BY126" i="15" s="1"/>
  <c r="CH126" i="15" s="1"/>
  <c r="BX122" i="15"/>
  <c r="BY122" i="15" s="1"/>
  <c r="CH122" i="15" s="1"/>
  <c r="BX118" i="15"/>
  <c r="BY118" i="15" s="1"/>
  <c r="CH118" i="15" s="1"/>
  <c r="BX114" i="15"/>
  <c r="BY114" i="15" s="1"/>
  <c r="CH114" i="15" s="1"/>
  <c r="AZ126" i="15"/>
  <c r="BA126" i="15" s="1"/>
  <c r="BJ126" i="15" s="1"/>
  <c r="AZ122" i="15"/>
  <c r="BA122" i="15" s="1"/>
  <c r="BJ122" i="15" s="1"/>
  <c r="AZ118" i="15"/>
  <c r="BA118" i="15" s="1"/>
  <c r="BJ118" i="15" s="1"/>
  <c r="AZ114" i="15"/>
  <c r="BA114" i="15" s="1"/>
  <c r="BJ114" i="15" s="1"/>
  <c r="AB126" i="15"/>
  <c r="AC126" i="15" s="1"/>
  <c r="AL126" i="15" s="1"/>
  <c r="AB122" i="15"/>
  <c r="AC122" i="15" s="1"/>
  <c r="AL122" i="15" s="1"/>
  <c r="AB118" i="15"/>
  <c r="AC118" i="15" s="1"/>
  <c r="AL118" i="15" s="1"/>
  <c r="AB114" i="15"/>
  <c r="AC114" i="15" s="1"/>
  <c r="AL114" i="15" s="1"/>
  <c r="D126" i="15"/>
  <c r="E126" i="15" s="1"/>
  <c r="N126" i="15" s="1"/>
  <c r="D122" i="15"/>
  <c r="E122" i="15" s="1"/>
  <c r="N122" i="15" s="1"/>
  <c r="D118" i="15"/>
  <c r="E118" i="15" s="1"/>
  <c r="N118" i="15" s="1"/>
  <c r="D114" i="15"/>
  <c r="E114" i="15" s="1"/>
  <c r="N114" i="15" s="1"/>
  <c r="CV126" i="14"/>
  <c r="CW126" i="14" s="1"/>
  <c r="DF126" i="14" s="1"/>
  <c r="CV122" i="14"/>
  <c r="CW122" i="14" s="1"/>
  <c r="DF122" i="14" s="1"/>
  <c r="CV118" i="14"/>
  <c r="CW118" i="14" s="1"/>
  <c r="DF118" i="14" s="1"/>
  <c r="CR127" i="16"/>
  <c r="CS127" i="16" s="1"/>
  <c r="DB127" i="16" s="1"/>
  <c r="CR119" i="16"/>
  <c r="CS119" i="16" s="1"/>
  <c r="DB119" i="16" s="1"/>
  <c r="BU127" i="16"/>
  <c r="BV127" i="16" s="1"/>
  <c r="CE127" i="16" s="1"/>
  <c r="BU119" i="16"/>
  <c r="BV119" i="16" s="1"/>
  <c r="CE119" i="16" s="1"/>
  <c r="AX127" i="16"/>
  <c r="AY127" i="16" s="1"/>
  <c r="BH127" i="16" s="1"/>
  <c r="AX119" i="16"/>
  <c r="AY119" i="16" s="1"/>
  <c r="BH119" i="16" s="1"/>
  <c r="AA127" i="16"/>
  <c r="AB127" i="16" s="1"/>
  <c r="AK127" i="16" s="1"/>
  <c r="AA119" i="16"/>
  <c r="AB119" i="16" s="1"/>
  <c r="AK119" i="16" s="1"/>
  <c r="D127" i="16"/>
  <c r="E127" i="16" s="1"/>
  <c r="N127" i="16" s="1"/>
  <c r="D119" i="16"/>
  <c r="E119" i="16" s="1"/>
  <c r="N119" i="16" s="1"/>
  <c r="CV127" i="15"/>
  <c r="CW127" i="15" s="1"/>
  <c r="DF127" i="15" s="1"/>
  <c r="CV119" i="15"/>
  <c r="CW119" i="15" s="1"/>
  <c r="DF119" i="15" s="1"/>
  <c r="BX127" i="15"/>
  <c r="BY127" i="15" s="1"/>
  <c r="CH127" i="15" s="1"/>
  <c r="BX119" i="15"/>
  <c r="BY119" i="15" s="1"/>
  <c r="CH119" i="15" s="1"/>
  <c r="AZ127" i="15"/>
  <c r="BA127" i="15" s="1"/>
  <c r="BJ127" i="15" s="1"/>
  <c r="AZ119" i="15"/>
  <c r="BA119" i="15" s="1"/>
  <c r="BJ119" i="15" s="1"/>
  <c r="AB127" i="15"/>
  <c r="AC127" i="15" s="1"/>
  <c r="AL127" i="15" s="1"/>
  <c r="AB119" i="15"/>
  <c r="AC119" i="15" s="1"/>
  <c r="AL119" i="15" s="1"/>
  <c r="D127" i="15"/>
  <c r="E127" i="15" s="1"/>
  <c r="N127" i="15" s="1"/>
  <c r="D119" i="15"/>
  <c r="E119" i="15" s="1"/>
  <c r="N119" i="15" s="1"/>
  <c r="CV127" i="14"/>
  <c r="CW127" i="14" s="1"/>
  <c r="DF127" i="14" s="1"/>
  <c r="CV119" i="14"/>
  <c r="CW119" i="14" s="1"/>
  <c r="DF119" i="14" s="1"/>
  <c r="CV113" i="14"/>
  <c r="CW113" i="14" s="1"/>
  <c r="DF113" i="14" s="1"/>
  <c r="BX125" i="14"/>
  <c r="BY125" i="14" s="1"/>
  <c r="CH125" i="14" s="1"/>
  <c r="BX121" i="14"/>
  <c r="BY121" i="14" s="1"/>
  <c r="CH121" i="14" s="1"/>
  <c r="BX117" i="14"/>
  <c r="BY117" i="14" s="1"/>
  <c r="CH117" i="14" s="1"/>
  <c r="BX113" i="14"/>
  <c r="BY113" i="14" s="1"/>
  <c r="CH113" i="14" s="1"/>
  <c r="AZ125" i="14"/>
  <c r="BA125" i="14" s="1"/>
  <c r="BJ125" i="14" s="1"/>
  <c r="AZ121" i="14"/>
  <c r="BA121" i="14" s="1"/>
  <c r="BJ121" i="14" s="1"/>
  <c r="AZ117" i="14"/>
  <c r="BA117" i="14" s="1"/>
  <c r="BJ117" i="14" s="1"/>
  <c r="AZ113" i="14"/>
  <c r="BA113" i="14" s="1"/>
  <c r="BJ113" i="14" s="1"/>
  <c r="AB125" i="14"/>
  <c r="AC125" i="14" s="1"/>
  <c r="AL125" i="14" s="1"/>
  <c r="AB121" i="14"/>
  <c r="AC121" i="14" s="1"/>
  <c r="AL121" i="14" s="1"/>
  <c r="AB117" i="14"/>
  <c r="AC117" i="14" s="1"/>
  <c r="AL117" i="14" s="1"/>
  <c r="AB113" i="14"/>
  <c r="AC113" i="14" s="1"/>
  <c r="AL113" i="14" s="1"/>
  <c r="D125" i="14"/>
  <c r="E125" i="14" s="1"/>
  <c r="N125" i="14" s="1"/>
  <c r="D121" i="14"/>
  <c r="E121" i="14" s="1"/>
  <c r="N121" i="14" s="1"/>
  <c r="D117" i="14"/>
  <c r="E117" i="14" s="1"/>
  <c r="N117" i="14" s="1"/>
  <c r="D113" i="14"/>
  <c r="E113" i="14" s="1"/>
  <c r="N113" i="14" s="1"/>
  <c r="E117" i="13"/>
  <c r="N117" i="13" s="1"/>
  <c r="E121" i="13"/>
  <c r="N121" i="13" s="1"/>
  <c r="E125" i="13"/>
  <c r="N125" i="13" s="1"/>
  <c r="E113" i="13"/>
  <c r="N113" i="13" s="1"/>
  <c r="CR123" i="16"/>
  <c r="CS123" i="16" s="1"/>
  <c r="DB123" i="16" s="1"/>
  <c r="CR115" i="16"/>
  <c r="CS115" i="16" s="1"/>
  <c r="DB115" i="16" s="1"/>
  <c r="BU123" i="16"/>
  <c r="BV123" i="16" s="1"/>
  <c r="CE123" i="16" s="1"/>
  <c r="BU115" i="16"/>
  <c r="BV115" i="16" s="1"/>
  <c r="CE115" i="16" s="1"/>
  <c r="AX123" i="16"/>
  <c r="AY123" i="16" s="1"/>
  <c r="BH123" i="16" s="1"/>
  <c r="AX115" i="16"/>
  <c r="AY115" i="16" s="1"/>
  <c r="BH115" i="16" s="1"/>
  <c r="AA123" i="16"/>
  <c r="AB123" i="16" s="1"/>
  <c r="AK123" i="16" s="1"/>
  <c r="AA115" i="16"/>
  <c r="AB115" i="16" s="1"/>
  <c r="AK115" i="16" s="1"/>
  <c r="D123" i="16"/>
  <c r="E123" i="16" s="1"/>
  <c r="N123" i="16" s="1"/>
  <c r="D115" i="16"/>
  <c r="E115" i="16" s="1"/>
  <c r="N115" i="16" s="1"/>
  <c r="CV123" i="15"/>
  <c r="CW123" i="15" s="1"/>
  <c r="DF123" i="15" s="1"/>
  <c r="CV115" i="15"/>
  <c r="CW115" i="15" s="1"/>
  <c r="DF115" i="15" s="1"/>
  <c r="BX123" i="15"/>
  <c r="BY123" i="15" s="1"/>
  <c r="CH123" i="15" s="1"/>
  <c r="BX115" i="15"/>
  <c r="BY115" i="15" s="1"/>
  <c r="CH115" i="15" s="1"/>
  <c r="AZ123" i="15"/>
  <c r="BA123" i="15" s="1"/>
  <c r="BJ123" i="15" s="1"/>
  <c r="AZ115" i="15"/>
  <c r="BA115" i="15" s="1"/>
  <c r="BJ115" i="15" s="1"/>
  <c r="AB123" i="15"/>
  <c r="AC123" i="15" s="1"/>
  <c r="AL123" i="15" s="1"/>
  <c r="AB115" i="15"/>
  <c r="AC115" i="15" s="1"/>
  <c r="AL115" i="15" s="1"/>
  <c r="D123" i="15"/>
  <c r="E123" i="15" s="1"/>
  <c r="N123" i="15" s="1"/>
  <c r="D115" i="15"/>
  <c r="E115" i="15" s="1"/>
  <c r="N115" i="15" s="1"/>
  <c r="CV123" i="14"/>
  <c r="CW123" i="14" s="1"/>
  <c r="DF123" i="14" s="1"/>
  <c r="CV115" i="14"/>
  <c r="CW115" i="14" s="1"/>
  <c r="DF115" i="14" s="1"/>
  <c r="BX127" i="14"/>
  <c r="BY127" i="14" s="1"/>
  <c r="CH127" i="14" s="1"/>
  <c r="BX123" i="14"/>
  <c r="BY123" i="14" s="1"/>
  <c r="CH123" i="14" s="1"/>
  <c r="BX119" i="14"/>
  <c r="BY119" i="14" s="1"/>
  <c r="CH119" i="14" s="1"/>
  <c r="BX115" i="14"/>
  <c r="BY115" i="14" s="1"/>
  <c r="CH115" i="14" s="1"/>
  <c r="AZ127" i="14"/>
  <c r="BA127" i="14" s="1"/>
  <c r="BJ127" i="14" s="1"/>
  <c r="AZ123" i="14"/>
  <c r="BA123" i="14" s="1"/>
  <c r="BJ123" i="14" s="1"/>
  <c r="AZ119" i="14"/>
  <c r="BA119" i="14" s="1"/>
  <c r="BJ119" i="14" s="1"/>
  <c r="AZ115" i="14"/>
  <c r="BA115" i="14" s="1"/>
  <c r="BJ115" i="14" s="1"/>
  <c r="AB127" i="14"/>
  <c r="AC127" i="14" s="1"/>
  <c r="AL127" i="14" s="1"/>
  <c r="AB123" i="14"/>
  <c r="AC123" i="14" s="1"/>
  <c r="AL123" i="14" s="1"/>
  <c r="AB119" i="14"/>
  <c r="AC119" i="14" s="1"/>
  <c r="AL119" i="14" s="1"/>
  <c r="AB115" i="14"/>
  <c r="AC115" i="14" s="1"/>
  <c r="AL115" i="14" s="1"/>
  <c r="D127" i="14"/>
  <c r="E127" i="14" s="1"/>
  <c r="N127" i="14" s="1"/>
  <c r="D123" i="14"/>
  <c r="E123" i="14" s="1"/>
  <c r="N123" i="14" s="1"/>
  <c r="D119" i="14"/>
  <c r="E119" i="14" s="1"/>
  <c r="N119" i="14" s="1"/>
  <c r="D115" i="14"/>
  <c r="E115" i="14" s="1"/>
  <c r="N115" i="14" s="1"/>
  <c r="CW127" i="13"/>
  <c r="DF127" i="13" s="1"/>
  <c r="E115" i="13"/>
  <c r="N115" i="13" s="1"/>
  <c r="E119" i="13"/>
  <c r="N119" i="13" s="1"/>
  <c r="E123" i="13"/>
  <c r="N123" i="13" s="1"/>
  <c r="E127" i="13"/>
  <c r="N127" i="13" s="1"/>
  <c r="CR125" i="16"/>
  <c r="CS125" i="16" s="1"/>
  <c r="DB125" i="16" s="1"/>
  <c r="BU125" i="16"/>
  <c r="BV125" i="16" s="1"/>
  <c r="CE125" i="16" s="1"/>
  <c r="AX125" i="16"/>
  <c r="AY125" i="16" s="1"/>
  <c r="BH125" i="16" s="1"/>
  <c r="AA125" i="16"/>
  <c r="AB125" i="16" s="1"/>
  <c r="AK125" i="16" s="1"/>
  <c r="D125" i="16"/>
  <c r="E125" i="16" s="1"/>
  <c r="N125" i="16" s="1"/>
  <c r="CV125" i="15"/>
  <c r="CW125" i="15" s="1"/>
  <c r="DF125" i="15" s="1"/>
  <c r="BX125" i="15"/>
  <c r="BY125" i="15" s="1"/>
  <c r="CH125" i="15" s="1"/>
  <c r="AZ125" i="15"/>
  <c r="BA125" i="15" s="1"/>
  <c r="BJ125" i="15" s="1"/>
  <c r="AB125" i="15"/>
  <c r="AC125" i="15" s="1"/>
  <c r="AL125" i="15" s="1"/>
  <c r="D125" i="15"/>
  <c r="E125" i="15" s="1"/>
  <c r="N125" i="15" s="1"/>
  <c r="CV125" i="14"/>
  <c r="CW125" i="14" s="1"/>
  <c r="DF125" i="14" s="1"/>
  <c r="BX128" i="14"/>
  <c r="BY128" i="14" s="1"/>
  <c r="CH128" i="14" s="1"/>
  <c r="BX120" i="14"/>
  <c r="BY120" i="14" s="1"/>
  <c r="CH120" i="14" s="1"/>
  <c r="AZ128" i="14"/>
  <c r="BA128" i="14" s="1"/>
  <c r="BJ128" i="14" s="1"/>
  <c r="AZ120" i="14"/>
  <c r="BA120" i="14" s="1"/>
  <c r="BJ120" i="14" s="1"/>
  <c r="AB128" i="14"/>
  <c r="AC128" i="14" s="1"/>
  <c r="AL128" i="14" s="1"/>
  <c r="AB120" i="14"/>
  <c r="AC120" i="14" s="1"/>
  <c r="AL120" i="14" s="1"/>
  <c r="D128" i="14"/>
  <c r="E128" i="14" s="1"/>
  <c r="N128" i="14" s="1"/>
  <c r="D120" i="14"/>
  <c r="E120" i="14" s="1"/>
  <c r="N120" i="14" s="1"/>
  <c r="E114" i="13"/>
  <c r="N114" i="13" s="1"/>
  <c r="E122" i="13"/>
  <c r="N122" i="13" s="1"/>
  <c r="CR121" i="16"/>
  <c r="CS121" i="16" s="1"/>
  <c r="DB121" i="16" s="1"/>
  <c r="BU121" i="16"/>
  <c r="BV121" i="16" s="1"/>
  <c r="CE121" i="16" s="1"/>
  <c r="AX121" i="16"/>
  <c r="AY121" i="16" s="1"/>
  <c r="BH121" i="16" s="1"/>
  <c r="AA121" i="16"/>
  <c r="AB121" i="16" s="1"/>
  <c r="AK121" i="16" s="1"/>
  <c r="D121" i="16"/>
  <c r="E121" i="16" s="1"/>
  <c r="N121" i="16" s="1"/>
  <c r="CV121" i="15"/>
  <c r="CW121" i="15" s="1"/>
  <c r="DF121" i="15" s="1"/>
  <c r="BX121" i="15"/>
  <c r="BY121" i="15" s="1"/>
  <c r="CH121" i="15" s="1"/>
  <c r="AZ121" i="15"/>
  <c r="BA121" i="15" s="1"/>
  <c r="BJ121" i="15" s="1"/>
  <c r="AB121" i="15"/>
  <c r="AC121" i="15" s="1"/>
  <c r="AL121" i="15" s="1"/>
  <c r="D121" i="15"/>
  <c r="E121" i="15" s="1"/>
  <c r="N121" i="15" s="1"/>
  <c r="CV121" i="14"/>
  <c r="CW121" i="14" s="1"/>
  <c r="DF121" i="14" s="1"/>
  <c r="BX126" i="14"/>
  <c r="BY126" i="14" s="1"/>
  <c r="CH126" i="14" s="1"/>
  <c r="BX118" i="14"/>
  <c r="BY118" i="14" s="1"/>
  <c r="CH118" i="14" s="1"/>
  <c r="AZ126" i="14"/>
  <c r="BA126" i="14" s="1"/>
  <c r="BJ126" i="14" s="1"/>
  <c r="AZ118" i="14"/>
  <c r="BA118" i="14" s="1"/>
  <c r="BJ118" i="14" s="1"/>
  <c r="AB126" i="14"/>
  <c r="AC126" i="14" s="1"/>
  <c r="AL126" i="14" s="1"/>
  <c r="AB118" i="14"/>
  <c r="AC118" i="14" s="1"/>
  <c r="AL118" i="14" s="1"/>
  <c r="D126" i="14"/>
  <c r="E126" i="14" s="1"/>
  <c r="N126" i="14" s="1"/>
  <c r="D118" i="14"/>
  <c r="E118" i="14" s="1"/>
  <c r="N118" i="14" s="1"/>
  <c r="E116" i="13"/>
  <c r="N116" i="13" s="1"/>
  <c r="E124" i="13"/>
  <c r="N124" i="13" s="1"/>
  <c r="BX122" i="14"/>
  <c r="BY122" i="14" s="1"/>
  <c r="CH122" i="14" s="1"/>
  <c r="AB122" i="14"/>
  <c r="AC122" i="14" s="1"/>
  <c r="AL122" i="14" s="1"/>
  <c r="D122" i="14"/>
  <c r="E122" i="14" s="1"/>
  <c r="N122" i="14" s="1"/>
  <c r="E120" i="13"/>
  <c r="N120" i="13" s="1"/>
  <c r="CR117" i="16"/>
  <c r="CS117" i="16" s="1"/>
  <c r="DB117" i="16" s="1"/>
  <c r="BU117" i="16"/>
  <c r="BV117" i="16" s="1"/>
  <c r="CE117" i="16" s="1"/>
  <c r="AX117" i="16"/>
  <c r="AY117" i="16" s="1"/>
  <c r="BH117" i="16" s="1"/>
  <c r="AA117" i="16"/>
  <c r="AB117" i="16" s="1"/>
  <c r="AK117" i="16" s="1"/>
  <c r="D117" i="16"/>
  <c r="E117" i="16" s="1"/>
  <c r="N117" i="16" s="1"/>
  <c r="CV117" i="15"/>
  <c r="CW117" i="15" s="1"/>
  <c r="DF117" i="15" s="1"/>
  <c r="BX117" i="15"/>
  <c r="BY117" i="15" s="1"/>
  <c r="CH117" i="15" s="1"/>
  <c r="AZ117" i="15"/>
  <c r="BA117" i="15" s="1"/>
  <c r="BJ117" i="15" s="1"/>
  <c r="AB117" i="15"/>
  <c r="AC117" i="15" s="1"/>
  <c r="AL117" i="15" s="1"/>
  <c r="D117" i="15"/>
  <c r="E117" i="15" s="1"/>
  <c r="N117" i="15" s="1"/>
  <c r="CV117" i="14"/>
  <c r="CW117" i="14" s="1"/>
  <c r="DF117" i="14" s="1"/>
  <c r="BX124" i="14"/>
  <c r="BY124" i="14" s="1"/>
  <c r="CH124" i="14" s="1"/>
  <c r="BX116" i="14"/>
  <c r="BY116" i="14" s="1"/>
  <c r="CH116" i="14" s="1"/>
  <c r="AZ124" i="14"/>
  <c r="BA124" i="14" s="1"/>
  <c r="BJ124" i="14" s="1"/>
  <c r="AZ116" i="14"/>
  <c r="BA116" i="14" s="1"/>
  <c r="BJ116" i="14" s="1"/>
  <c r="AB124" i="14"/>
  <c r="AC124" i="14" s="1"/>
  <c r="AL124" i="14" s="1"/>
  <c r="AB116" i="14"/>
  <c r="AC116" i="14" s="1"/>
  <c r="AL116" i="14" s="1"/>
  <c r="D124" i="14"/>
  <c r="E124" i="14" s="1"/>
  <c r="N124" i="14" s="1"/>
  <c r="D116" i="14"/>
  <c r="E116" i="14" s="1"/>
  <c r="N116" i="14" s="1"/>
  <c r="E118" i="13"/>
  <c r="N118" i="13" s="1"/>
  <c r="E126" i="13"/>
  <c r="N126" i="13" s="1"/>
  <c r="CR113" i="16"/>
  <c r="CS113" i="16" s="1"/>
  <c r="DB113" i="16" s="1"/>
  <c r="BU113" i="16"/>
  <c r="BV113" i="16" s="1"/>
  <c r="CE113" i="16" s="1"/>
  <c r="AX113" i="16"/>
  <c r="AY113" i="16" s="1"/>
  <c r="BH113" i="16" s="1"/>
  <c r="AA113" i="16"/>
  <c r="AB113" i="16" s="1"/>
  <c r="AK113" i="16" s="1"/>
  <c r="D113" i="16"/>
  <c r="E113" i="16" s="1"/>
  <c r="N113" i="16" s="1"/>
  <c r="CV113" i="15"/>
  <c r="CW113" i="15" s="1"/>
  <c r="DF113" i="15" s="1"/>
  <c r="BX113" i="15"/>
  <c r="BY113" i="15" s="1"/>
  <c r="CH113" i="15" s="1"/>
  <c r="AZ113" i="15"/>
  <c r="BA113" i="15" s="1"/>
  <c r="BJ113" i="15" s="1"/>
  <c r="AB113" i="15"/>
  <c r="AC113" i="15" s="1"/>
  <c r="AL113" i="15" s="1"/>
  <c r="D113" i="15"/>
  <c r="E113" i="15" s="1"/>
  <c r="N113" i="15" s="1"/>
  <c r="CV114" i="14"/>
  <c r="CW114" i="14" s="1"/>
  <c r="DF114" i="14" s="1"/>
  <c r="BX114" i="14"/>
  <c r="BY114" i="14" s="1"/>
  <c r="CH114" i="14" s="1"/>
  <c r="AZ122" i="14"/>
  <c r="BA122" i="14" s="1"/>
  <c r="BJ122" i="14" s="1"/>
  <c r="AZ114" i="14"/>
  <c r="BA114" i="14" s="1"/>
  <c r="BJ114" i="14" s="1"/>
  <c r="AB114" i="14"/>
  <c r="AC114" i="14" s="1"/>
  <c r="AL114" i="14" s="1"/>
  <c r="D114" i="14"/>
  <c r="E114" i="14" s="1"/>
  <c r="N114" i="14" s="1"/>
  <c r="E128" i="13"/>
  <c r="N128" i="13" s="1"/>
  <c r="AE65" i="10"/>
  <c r="Q11" i="8"/>
  <c r="CW89" i="13"/>
  <c r="DF89" i="13" s="1"/>
  <c r="CW93" i="13"/>
  <c r="DF93" i="13" s="1"/>
  <c r="CW101" i="13"/>
  <c r="DF101" i="13" s="1"/>
  <c r="BY89" i="13"/>
  <c r="CH89" i="13" s="1"/>
  <c r="BY93" i="13"/>
  <c r="CH93" i="13" s="1"/>
  <c r="BY101" i="13"/>
  <c r="CH101" i="13" s="1"/>
  <c r="BA89" i="13"/>
  <c r="BJ89" i="13" s="1"/>
  <c r="BA93" i="13"/>
  <c r="BJ93" i="13" s="1"/>
  <c r="BA101" i="13"/>
  <c r="BJ101" i="13" s="1"/>
  <c r="AC89" i="13"/>
  <c r="AL89" i="13" s="1"/>
  <c r="AC93" i="13"/>
  <c r="AL93" i="13" s="1"/>
  <c r="AC101" i="13"/>
  <c r="AL101" i="13" s="1"/>
  <c r="CW95" i="13"/>
  <c r="DF95" i="13" s="1"/>
  <c r="CW99" i="13"/>
  <c r="DF99" i="13" s="1"/>
  <c r="BY95" i="13"/>
  <c r="CH95" i="13" s="1"/>
  <c r="BY99" i="13"/>
  <c r="CH99" i="13" s="1"/>
  <c r="BA95" i="13"/>
  <c r="BJ95" i="13" s="1"/>
  <c r="BA99" i="13"/>
  <c r="BJ99" i="13" s="1"/>
  <c r="AC95" i="13"/>
  <c r="AL95" i="13" s="1"/>
  <c r="AC99" i="13"/>
  <c r="AL99" i="13" s="1"/>
  <c r="CW90" i="13"/>
  <c r="DF90" i="13" s="1"/>
  <c r="CW98" i="13"/>
  <c r="DF98" i="13" s="1"/>
  <c r="BY90" i="13"/>
  <c r="CH90" i="13" s="1"/>
  <c r="BY98" i="13"/>
  <c r="CH98" i="13" s="1"/>
  <c r="BA90" i="13"/>
  <c r="BJ90" i="13" s="1"/>
  <c r="BA98" i="13"/>
  <c r="BJ98" i="13" s="1"/>
  <c r="AC90" i="13"/>
  <c r="AL90" i="13" s="1"/>
  <c r="AC98" i="13"/>
  <c r="AL98" i="13" s="1"/>
  <c r="CW92" i="13"/>
  <c r="DF92" i="13" s="1"/>
  <c r="BY92" i="13"/>
  <c r="CH92" i="13" s="1"/>
  <c r="BA92" i="13"/>
  <c r="BJ92" i="13" s="1"/>
  <c r="AC92" i="13"/>
  <c r="AL92" i="13" s="1"/>
  <c r="CW88" i="13"/>
  <c r="DF88" i="13" s="1"/>
  <c r="BY96" i="13"/>
  <c r="CH96" i="13" s="1"/>
  <c r="BA96" i="13"/>
  <c r="BJ96" i="13" s="1"/>
  <c r="BA88" i="13"/>
  <c r="BJ88" i="13" s="1"/>
  <c r="AC88" i="13"/>
  <c r="AL88" i="13" s="1"/>
  <c r="CW102" i="13"/>
  <c r="DF102" i="13" s="1"/>
  <c r="BY102" i="13"/>
  <c r="CH102" i="13" s="1"/>
  <c r="BA102" i="13"/>
  <c r="BJ102" i="13" s="1"/>
  <c r="AC102" i="13"/>
  <c r="AL102" i="13" s="1"/>
  <c r="CW96" i="13"/>
  <c r="DF96" i="13" s="1"/>
  <c r="BY88" i="13"/>
  <c r="CH88" i="13" s="1"/>
  <c r="AC96" i="13"/>
  <c r="AL96" i="13" s="1"/>
  <c r="CR103" i="16"/>
  <c r="CR99" i="16"/>
  <c r="CS99" i="16" s="1"/>
  <c r="DB99" i="16" s="1"/>
  <c r="CR95" i="16"/>
  <c r="CS95" i="16" s="1"/>
  <c r="DB95" i="16" s="1"/>
  <c r="CR91" i="16"/>
  <c r="BU103" i="16"/>
  <c r="BU99" i="16"/>
  <c r="BV99" i="16" s="1"/>
  <c r="CE99" i="16" s="1"/>
  <c r="BU95" i="16"/>
  <c r="BV95" i="16" s="1"/>
  <c r="CE95" i="16" s="1"/>
  <c r="BU91" i="16"/>
  <c r="AX103" i="16"/>
  <c r="AX99" i="16"/>
  <c r="AY99" i="16" s="1"/>
  <c r="BH99" i="16" s="1"/>
  <c r="AX95" i="16"/>
  <c r="AY95" i="16" s="1"/>
  <c r="BH95" i="16" s="1"/>
  <c r="AX91" i="16"/>
  <c r="AA103" i="16"/>
  <c r="AA99" i="16"/>
  <c r="AB99" i="16" s="1"/>
  <c r="AK99" i="16" s="1"/>
  <c r="AA95" i="16"/>
  <c r="AB95" i="16" s="1"/>
  <c r="AK95" i="16" s="1"/>
  <c r="AA91" i="16"/>
  <c r="D103" i="16"/>
  <c r="D99" i="16"/>
  <c r="E99" i="16" s="1"/>
  <c r="N99" i="16" s="1"/>
  <c r="D95" i="16"/>
  <c r="E95" i="16" s="1"/>
  <c r="N95" i="16" s="1"/>
  <c r="D91" i="16"/>
  <c r="CV103" i="15"/>
  <c r="CV99" i="15"/>
  <c r="CW99" i="15" s="1"/>
  <c r="DF99" i="15" s="1"/>
  <c r="CV95" i="15"/>
  <c r="CW95" i="15" s="1"/>
  <c r="DF95" i="15" s="1"/>
  <c r="CV91" i="15"/>
  <c r="BX103" i="15"/>
  <c r="BX99" i="15"/>
  <c r="BY99" i="15" s="1"/>
  <c r="CH99" i="15" s="1"/>
  <c r="BX95" i="15"/>
  <c r="BY95" i="15" s="1"/>
  <c r="CH95" i="15" s="1"/>
  <c r="BX91" i="15"/>
  <c r="AZ103" i="15"/>
  <c r="AZ99" i="15"/>
  <c r="BA99" i="15" s="1"/>
  <c r="BJ99" i="15" s="1"/>
  <c r="AZ95" i="15"/>
  <c r="BA95" i="15" s="1"/>
  <c r="BJ95" i="15" s="1"/>
  <c r="AZ91" i="15"/>
  <c r="AB103" i="15"/>
  <c r="AB99" i="15"/>
  <c r="AC99" i="15" s="1"/>
  <c r="AL99" i="15" s="1"/>
  <c r="AB95" i="15"/>
  <c r="AC95" i="15" s="1"/>
  <c r="AL95" i="15" s="1"/>
  <c r="AB91" i="15"/>
  <c r="D103" i="15"/>
  <c r="D99" i="15"/>
  <c r="E99" i="15" s="1"/>
  <c r="N99" i="15" s="1"/>
  <c r="D95" i="15"/>
  <c r="E95" i="15" s="1"/>
  <c r="N95" i="15" s="1"/>
  <c r="D91" i="15"/>
  <c r="CV103" i="14"/>
  <c r="CV99" i="14"/>
  <c r="CW99" i="14" s="1"/>
  <c r="DF99" i="14" s="1"/>
  <c r="CV95" i="14"/>
  <c r="CW95" i="14" s="1"/>
  <c r="DF95" i="14" s="1"/>
  <c r="CV91" i="14"/>
  <c r="BX103" i="14"/>
  <c r="BX99" i="14"/>
  <c r="BY99" i="14" s="1"/>
  <c r="CH99" i="14" s="1"/>
  <c r="BX95" i="14"/>
  <c r="BY95" i="14" s="1"/>
  <c r="CH95" i="14" s="1"/>
  <c r="BX91" i="14"/>
  <c r="AZ103" i="14"/>
  <c r="AZ99" i="14"/>
  <c r="BA99" i="14" s="1"/>
  <c r="BJ99" i="14" s="1"/>
  <c r="AZ95" i="14"/>
  <c r="BA95" i="14" s="1"/>
  <c r="BJ95" i="14" s="1"/>
  <c r="AZ91" i="14"/>
  <c r="AB103" i="14"/>
  <c r="AB99" i="14"/>
  <c r="AC99" i="14" s="1"/>
  <c r="AL99" i="14" s="1"/>
  <c r="AB95" i="14"/>
  <c r="AC95" i="14" s="1"/>
  <c r="AL95" i="14" s="1"/>
  <c r="AB91" i="14"/>
  <c r="D103" i="14"/>
  <c r="D99" i="14"/>
  <c r="E99" i="14" s="1"/>
  <c r="N99" i="14" s="1"/>
  <c r="D95" i="14"/>
  <c r="E95" i="14" s="1"/>
  <c r="N95" i="14" s="1"/>
  <c r="D91" i="14"/>
  <c r="E89" i="13"/>
  <c r="N89" i="13" s="1"/>
  <c r="E93" i="13"/>
  <c r="N93" i="13" s="1"/>
  <c r="E101" i="13"/>
  <c r="N101" i="13" s="1"/>
  <c r="CR101" i="16"/>
  <c r="CS101" i="16" s="1"/>
  <c r="DB101" i="16" s="1"/>
  <c r="CR97" i="16"/>
  <c r="CR93" i="16"/>
  <c r="CS93" i="16" s="1"/>
  <c r="DB93" i="16" s="1"/>
  <c r="CR89" i="16"/>
  <c r="CS89" i="16" s="1"/>
  <c r="DB89" i="16" s="1"/>
  <c r="BU101" i="16"/>
  <c r="BV101" i="16" s="1"/>
  <c r="CE101" i="16" s="1"/>
  <c r="BU97" i="16"/>
  <c r="BU93" i="16"/>
  <c r="BV93" i="16" s="1"/>
  <c r="CE93" i="16" s="1"/>
  <c r="BU89" i="16"/>
  <c r="BV89" i="16" s="1"/>
  <c r="CE89" i="16" s="1"/>
  <c r="AX101" i="16"/>
  <c r="AY101" i="16" s="1"/>
  <c r="BH101" i="16" s="1"/>
  <c r="AX97" i="16"/>
  <c r="AX93" i="16"/>
  <c r="AY93" i="16" s="1"/>
  <c r="BH93" i="16" s="1"/>
  <c r="AX89" i="16"/>
  <c r="AY89" i="16" s="1"/>
  <c r="BH89" i="16" s="1"/>
  <c r="AA101" i="16"/>
  <c r="AB101" i="16" s="1"/>
  <c r="AK101" i="16" s="1"/>
  <c r="AA97" i="16"/>
  <c r="AA93" i="16"/>
  <c r="AB93" i="16" s="1"/>
  <c r="AK93" i="16" s="1"/>
  <c r="AA89" i="16"/>
  <c r="AB89" i="16" s="1"/>
  <c r="AK89" i="16" s="1"/>
  <c r="D101" i="16"/>
  <c r="E101" i="16" s="1"/>
  <c r="N101" i="16" s="1"/>
  <c r="D97" i="16"/>
  <c r="D93" i="16"/>
  <c r="E93" i="16" s="1"/>
  <c r="N93" i="16" s="1"/>
  <c r="D89" i="16"/>
  <c r="E89" i="16" s="1"/>
  <c r="N89" i="16" s="1"/>
  <c r="CV101" i="15"/>
  <c r="CW101" i="15" s="1"/>
  <c r="DF101" i="15" s="1"/>
  <c r="CV97" i="15"/>
  <c r="CV93" i="15"/>
  <c r="CW93" i="15" s="1"/>
  <c r="DF93" i="15" s="1"/>
  <c r="CV89" i="15"/>
  <c r="CW89" i="15" s="1"/>
  <c r="DF89" i="15" s="1"/>
  <c r="BX101" i="15"/>
  <c r="BY101" i="15" s="1"/>
  <c r="CH101" i="15" s="1"/>
  <c r="BX97" i="15"/>
  <c r="BX93" i="15"/>
  <c r="BY93" i="15" s="1"/>
  <c r="CH93" i="15" s="1"/>
  <c r="BX89" i="15"/>
  <c r="BY89" i="15" s="1"/>
  <c r="CH89" i="15" s="1"/>
  <c r="AZ101" i="15"/>
  <c r="BA101" i="15" s="1"/>
  <c r="BJ101" i="15" s="1"/>
  <c r="AZ97" i="15"/>
  <c r="AZ93" i="15"/>
  <c r="BA93" i="15" s="1"/>
  <c r="BJ93" i="15" s="1"/>
  <c r="AZ89" i="15"/>
  <c r="BA89" i="15" s="1"/>
  <c r="BJ89" i="15" s="1"/>
  <c r="AB101" i="15"/>
  <c r="AC101" i="15" s="1"/>
  <c r="AL101" i="15" s="1"/>
  <c r="AB97" i="15"/>
  <c r="AB93" i="15"/>
  <c r="AC93" i="15" s="1"/>
  <c r="AL93" i="15" s="1"/>
  <c r="AB89" i="15"/>
  <c r="AC89" i="15" s="1"/>
  <c r="AL89" i="15" s="1"/>
  <c r="D101" i="15"/>
  <c r="E101" i="15" s="1"/>
  <c r="N101" i="15" s="1"/>
  <c r="D97" i="15"/>
  <c r="D93" i="15"/>
  <c r="E93" i="15" s="1"/>
  <c r="N93" i="15" s="1"/>
  <c r="D89" i="15"/>
  <c r="E89" i="15" s="1"/>
  <c r="N89" i="15" s="1"/>
  <c r="CV101" i="14"/>
  <c r="CW101" i="14" s="1"/>
  <c r="DF101" i="14" s="1"/>
  <c r="CV97" i="14"/>
  <c r="CV93" i="14"/>
  <c r="CW93" i="14" s="1"/>
  <c r="DF93" i="14" s="1"/>
  <c r="CV89" i="14"/>
  <c r="CW89" i="14" s="1"/>
  <c r="DF89" i="14" s="1"/>
  <c r="BX101" i="14"/>
  <c r="BY101" i="14" s="1"/>
  <c r="CH101" i="14" s="1"/>
  <c r="BX97" i="14"/>
  <c r="BX93" i="14"/>
  <c r="BY93" i="14" s="1"/>
  <c r="CH93" i="14" s="1"/>
  <c r="BX89" i="14"/>
  <c r="BY89" i="14" s="1"/>
  <c r="CH89" i="14" s="1"/>
  <c r="AZ101" i="14"/>
  <c r="BA101" i="14" s="1"/>
  <c r="BJ101" i="14" s="1"/>
  <c r="AZ97" i="14"/>
  <c r="AZ93" i="14"/>
  <c r="BA93" i="14" s="1"/>
  <c r="BJ93" i="14" s="1"/>
  <c r="AZ89" i="14"/>
  <c r="BA89" i="14" s="1"/>
  <c r="BJ89" i="14" s="1"/>
  <c r="AB101" i="14"/>
  <c r="AC101" i="14" s="1"/>
  <c r="AL101" i="14" s="1"/>
  <c r="AB97" i="14"/>
  <c r="AB93" i="14"/>
  <c r="AC93" i="14" s="1"/>
  <c r="AL93" i="14" s="1"/>
  <c r="AB89" i="14"/>
  <c r="AC89" i="14" s="1"/>
  <c r="AL89" i="14" s="1"/>
  <c r="D101" i="14"/>
  <c r="E101" i="14" s="1"/>
  <c r="N101" i="14" s="1"/>
  <c r="D97" i="14"/>
  <c r="D93" i="14"/>
  <c r="E93" i="14" s="1"/>
  <c r="N93" i="14" s="1"/>
  <c r="D89" i="14"/>
  <c r="E89" i="14" s="1"/>
  <c r="N89" i="14" s="1"/>
  <c r="E95" i="13"/>
  <c r="N95" i="13" s="1"/>
  <c r="E99" i="13"/>
  <c r="N99" i="13" s="1"/>
  <c r="CR98" i="16"/>
  <c r="CS98" i="16" s="1"/>
  <c r="DB98" i="16" s="1"/>
  <c r="CR90" i="16"/>
  <c r="CS90" i="16" s="1"/>
  <c r="DB90" i="16" s="1"/>
  <c r="BU98" i="16"/>
  <c r="BV98" i="16" s="1"/>
  <c r="CE98" i="16" s="1"/>
  <c r="BU90" i="16"/>
  <c r="BV90" i="16" s="1"/>
  <c r="CE90" i="16" s="1"/>
  <c r="AX98" i="16"/>
  <c r="AY98" i="16" s="1"/>
  <c r="BH98" i="16" s="1"/>
  <c r="AX90" i="16"/>
  <c r="AY90" i="16" s="1"/>
  <c r="BH90" i="16" s="1"/>
  <c r="AA98" i="16"/>
  <c r="AB98" i="16" s="1"/>
  <c r="AK98" i="16" s="1"/>
  <c r="AA90" i="16"/>
  <c r="AB90" i="16" s="1"/>
  <c r="AK90" i="16" s="1"/>
  <c r="D98" i="16"/>
  <c r="E98" i="16" s="1"/>
  <c r="N98" i="16" s="1"/>
  <c r="D90" i="16"/>
  <c r="E90" i="16" s="1"/>
  <c r="N90" i="16" s="1"/>
  <c r="CV98" i="15"/>
  <c r="CW98" i="15" s="1"/>
  <c r="DF98" i="15" s="1"/>
  <c r="CV90" i="15"/>
  <c r="CW90" i="15" s="1"/>
  <c r="DF90" i="15" s="1"/>
  <c r="BX98" i="15"/>
  <c r="BY98" i="15" s="1"/>
  <c r="CH98" i="15" s="1"/>
  <c r="BX90" i="15"/>
  <c r="BY90" i="15" s="1"/>
  <c r="CH90" i="15" s="1"/>
  <c r="AZ98" i="15"/>
  <c r="BA98" i="15" s="1"/>
  <c r="BJ98" i="15" s="1"/>
  <c r="AZ90" i="15"/>
  <c r="BA90" i="15" s="1"/>
  <c r="BJ90" i="15" s="1"/>
  <c r="AB98" i="15"/>
  <c r="AC98" i="15" s="1"/>
  <c r="AL98" i="15" s="1"/>
  <c r="AB90" i="15"/>
  <c r="AC90" i="15" s="1"/>
  <c r="AL90" i="15" s="1"/>
  <c r="D98" i="15"/>
  <c r="E98" i="15" s="1"/>
  <c r="N98" i="15" s="1"/>
  <c r="D90" i="15"/>
  <c r="E90" i="15" s="1"/>
  <c r="N90" i="15" s="1"/>
  <c r="CV98" i="14"/>
  <c r="CW98" i="14" s="1"/>
  <c r="DF98" i="14" s="1"/>
  <c r="CV90" i="14"/>
  <c r="CW90" i="14" s="1"/>
  <c r="DF90" i="14" s="1"/>
  <c r="BX98" i="14"/>
  <c r="BY98" i="14" s="1"/>
  <c r="CH98" i="14" s="1"/>
  <c r="BX90" i="14"/>
  <c r="BY90" i="14" s="1"/>
  <c r="CH90" i="14" s="1"/>
  <c r="AZ98" i="14"/>
  <c r="BA98" i="14" s="1"/>
  <c r="BJ98" i="14" s="1"/>
  <c r="AZ90" i="14"/>
  <c r="BA90" i="14" s="1"/>
  <c r="BJ90" i="14" s="1"/>
  <c r="AB98" i="14"/>
  <c r="AC98" i="14" s="1"/>
  <c r="AL98" i="14" s="1"/>
  <c r="AB90" i="14"/>
  <c r="AC90" i="14" s="1"/>
  <c r="AL90" i="14" s="1"/>
  <c r="D98" i="14"/>
  <c r="E98" i="14" s="1"/>
  <c r="N98" i="14" s="1"/>
  <c r="D90" i="14"/>
  <c r="E90" i="14" s="1"/>
  <c r="N90" i="14" s="1"/>
  <c r="E96" i="13"/>
  <c r="N96" i="13" s="1"/>
  <c r="E88" i="13"/>
  <c r="N88" i="13" s="1"/>
  <c r="CR102" i="16"/>
  <c r="CS102" i="16" s="1"/>
  <c r="DB102" i="16" s="1"/>
  <c r="CR94" i="16"/>
  <c r="BU102" i="16"/>
  <c r="BV102" i="16" s="1"/>
  <c r="CE102" i="16" s="1"/>
  <c r="BU94" i="16"/>
  <c r="AX102" i="16"/>
  <c r="AY102" i="16" s="1"/>
  <c r="BH102" i="16" s="1"/>
  <c r="AX94" i="16"/>
  <c r="AA102" i="16"/>
  <c r="AB102" i="16" s="1"/>
  <c r="AK102" i="16" s="1"/>
  <c r="AA94" i="16"/>
  <c r="D102" i="16"/>
  <c r="E102" i="16" s="1"/>
  <c r="N102" i="16" s="1"/>
  <c r="D94" i="16"/>
  <c r="CV102" i="15"/>
  <c r="CW102" i="15" s="1"/>
  <c r="DF102" i="15" s="1"/>
  <c r="CV94" i="15"/>
  <c r="BX102" i="15"/>
  <c r="BY102" i="15" s="1"/>
  <c r="CH102" i="15" s="1"/>
  <c r="BX94" i="15"/>
  <c r="AZ102" i="15"/>
  <c r="BA102" i="15" s="1"/>
  <c r="BJ102" i="15" s="1"/>
  <c r="AZ94" i="15"/>
  <c r="AB102" i="15"/>
  <c r="AC102" i="15" s="1"/>
  <c r="AL102" i="15" s="1"/>
  <c r="AB94" i="15"/>
  <c r="D102" i="15"/>
  <c r="E102" i="15" s="1"/>
  <c r="N102" i="15" s="1"/>
  <c r="D94" i="15"/>
  <c r="CV102" i="14"/>
  <c r="CW102" i="14" s="1"/>
  <c r="DF102" i="14" s="1"/>
  <c r="CV94" i="14"/>
  <c r="BX102" i="14"/>
  <c r="BY102" i="14" s="1"/>
  <c r="CH102" i="14" s="1"/>
  <c r="BX94" i="14"/>
  <c r="AZ102" i="14"/>
  <c r="BA102" i="14" s="1"/>
  <c r="BJ102" i="14" s="1"/>
  <c r="AZ94" i="14"/>
  <c r="AB102" i="14"/>
  <c r="AC102" i="14" s="1"/>
  <c r="AL102" i="14" s="1"/>
  <c r="AB94" i="14"/>
  <c r="D102" i="14"/>
  <c r="E102" i="14" s="1"/>
  <c r="N102" i="14" s="1"/>
  <c r="D94" i="14"/>
  <c r="E92" i="13"/>
  <c r="N92" i="13" s="1"/>
  <c r="CR88" i="16"/>
  <c r="CS88" i="16" s="1"/>
  <c r="DB88" i="16" s="1"/>
  <c r="BU88" i="16"/>
  <c r="BV88" i="16" s="1"/>
  <c r="CE88" i="16" s="1"/>
  <c r="AX88" i="16"/>
  <c r="AY88" i="16" s="1"/>
  <c r="BH88" i="16" s="1"/>
  <c r="AA88" i="16"/>
  <c r="AB88" i="16" s="1"/>
  <c r="AK88" i="16" s="1"/>
  <c r="D88" i="16"/>
  <c r="E88" i="16" s="1"/>
  <c r="N88" i="16" s="1"/>
  <c r="CV88" i="15"/>
  <c r="CW88" i="15" s="1"/>
  <c r="DF88" i="15" s="1"/>
  <c r="BX88" i="15"/>
  <c r="BY88" i="15" s="1"/>
  <c r="CH88" i="15" s="1"/>
  <c r="AZ88" i="15"/>
  <c r="BA88" i="15" s="1"/>
  <c r="BJ88" i="15" s="1"/>
  <c r="AB88" i="15"/>
  <c r="AC88" i="15" s="1"/>
  <c r="AL88" i="15" s="1"/>
  <c r="D88" i="15"/>
  <c r="E88" i="15" s="1"/>
  <c r="N88" i="15" s="1"/>
  <c r="CV88" i="14"/>
  <c r="CW88" i="14" s="1"/>
  <c r="DF88" i="14" s="1"/>
  <c r="BX88" i="14"/>
  <c r="BY88" i="14" s="1"/>
  <c r="CH88" i="14" s="1"/>
  <c r="AZ88" i="14"/>
  <c r="BA88" i="14" s="1"/>
  <c r="BJ88" i="14" s="1"/>
  <c r="AB88" i="14"/>
  <c r="AC88" i="14" s="1"/>
  <c r="AL88" i="14" s="1"/>
  <c r="D88" i="14"/>
  <c r="E88" i="14" s="1"/>
  <c r="N88" i="14" s="1"/>
  <c r="E90" i="13"/>
  <c r="N90" i="13" s="1"/>
  <c r="CR96" i="16"/>
  <c r="CS96" i="16" s="1"/>
  <c r="DB96" i="16" s="1"/>
  <c r="BU96" i="16"/>
  <c r="BV96" i="16" s="1"/>
  <c r="CE96" i="16" s="1"/>
  <c r="AX96" i="16"/>
  <c r="AY96" i="16" s="1"/>
  <c r="BH96" i="16" s="1"/>
  <c r="AA96" i="16"/>
  <c r="AB96" i="16" s="1"/>
  <c r="AK96" i="16" s="1"/>
  <c r="D96" i="16"/>
  <c r="E96" i="16" s="1"/>
  <c r="N96" i="16" s="1"/>
  <c r="CV96" i="15"/>
  <c r="CW96" i="15" s="1"/>
  <c r="DF96" i="15" s="1"/>
  <c r="BX96" i="15"/>
  <c r="BY96" i="15" s="1"/>
  <c r="CH96" i="15" s="1"/>
  <c r="AZ96" i="15"/>
  <c r="BA96" i="15" s="1"/>
  <c r="BJ96" i="15" s="1"/>
  <c r="AB96" i="15"/>
  <c r="AC96" i="15" s="1"/>
  <c r="AL96" i="15" s="1"/>
  <c r="D96" i="15"/>
  <c r="E96" i="15" s="1"/>
  <c r="N96" i="15" s="1"/>
  <c r="CV96" i="14"/>
  <c r="CW96" i="14" s="1"/>
  <c r="DF96" i="14" s="1"/>
  <c r="BX96" i="14"/>
  <c r="BY96" i="14" s="1"/>
  <c r="CH96" i="14" s="1"/>
  <c r="AZ96" i="14"/>
  <c r="BA96" i="14" s="1"/>
  <c r="BJ96" i="14" s="1"/>
  <c r="AB96" i="14"/>
  <c r="AC96" i="14" s="1"/>
  <c r="AL96" i="14" s="1"/>
  <c r="D96" i="14"/>
  <c r="E96" i="14" s="1"/>
  <c r="N96" i="14" s="1"/>
  <c r="E98" i="13"/>
  <c r="N98" i="13" s="1"/>
  <c r="CR92" i="16"/>
  <c r="CS92" i="16" s="1"/>
  <c r="DB92" i="16" s="1"/>
  <c r="BU92" i="16"/>
  <c r="BV92" i="16" s="1"/>
  <c r="CE92" i="16" s="1"/>
  <c r="AX92" i="16"/>
  <c r="AY92" i="16" s="1"/>
  <c r="BH92" i="16" s="1"/>
  <c r="AA92" i="16"/>
  <c r="AB92" i="16" s="1"/>
  <c r="AK92" i="16" s="1"/>
  <c r="D92" i="16"/>
  <c r="E92" i="16" s="1"/>
  <c r="N92" i="16" s="1"/>
  <c r="CV92" i="15"/>
  <c r="CW92" i="15" s="1"/>
  <c r="DF92" i="15" s="1"/>
  <c r="BX92" i="15"/>
  <c r="BY92" i="15" s="1"/>
  <c r="CH92" i="15" s="1"/>
  <c r="AZ92" i="15"/>
  <c r="BA92" i="15" s="1"/>
  <c r="BJ92" i="15" s="1"/>
  <c r="AB92" i="15"/>
  <c r="AC92" i="15" s="1"/>
  <c r="AL92" i="15" s="1"/>
  <c r="D92" i="15"/>
  <c r="E92" i="15" s="1"/>
  <c r="N92" i="15" s="1"/>
  <c r="CV92" i="14"/>
  <c r="CW92" i="14" s="1"/>
  <c r="DF92" i="14" s="1"/>
  <c r="BX92" i="14"/>
  <c r="BY92" i="14" s="1"/>
  <c r="CH92" i="14" s="1"/>
  <c r="AZ92" i="14"/>
  <c r="BA92" i="14" s="1"/>
  <c r="BJ92" i="14" s="1"/>
  <c r="AB92" i="14"/>
  <c r="AC92" i="14" s="1"/>
  <c r="AL92" i="14" s="1"/>
  <c r="D92" i="14"/>
  <c r="E92" i="14" s="1"/>
  <c r="N92" i="14" s="1"/>
  <c r="E102" i="13"/>
  <c r="N102" i="13" s="1"/>
  <c r="CR100" i="16"/>
  <c r="D100" i="16"/>
  <c r="AB100" i="15"/>
  <c r="AZ100" i="14"/>
  <c r="BU100" i="16"/>
  <c r="CV100" i="15"/>
  <c r="D100" i="15"/>
  <c r="AB100" i="14"/>
  <c r="AX100" i="16"/>
  <c r="BX100" i="15"/>
  <c r="CV100" i="14"/>
  <c r="D100" i="14"/>
  <c r="AA100" i="16"/>
  <c r="AZ100" i="15"/>
  <c r="BX100" i="14"/>
  <c r="U11" i="8"/>
  <c r="CV12" i="15"/>
  <c r="CW12" i="15" s="1"/>
  <c r="DF12" i="15" s="1"/>
  <c r="BX24" i="15"/>
  <c r="BY24" i="15" s="1"/>
  <c r="CH24" i="15" s="1"/>
  <c r="BX20" i="15"/>
  <c r="BY20" i="15" s="1"/>
  <c r="CH20" i="15" s="1"/>
  <c r="BX16" i="15"/>
  <c r="BY16" i="15" s="1"/>
  <c r="CH16" i="15" s="1"/>
  <c r="CV26" i="15"/>
  <c r="CW26" i="15" s="1"/>
  <c r="DF26" i="15" s="1"/>
  <c r="BX26" i="15"/>
  <c r="BY26" i="15" s="1"/>
  <c r="CH26" i="15" s="1"/>
  <c r="BX14" i="15"/>
  <c r="BY14" i="15" s="1"/>
  <c r="CH14" i="15" s="1"/>
  <c r="BX17" i="15"/>
  <c r="BY17" i="15" s="1"/>
  <c r="CH17" i="15" s="1"/>
  <c r="CV24" i="15"/>
  <c r="CW24" i="15" s="1"/>
  <c r="DF24" i="15" s="1"/>
  <c r="CV27" i="15"/>
  <c r="CW27" i="15" s="1"/>
  <c r="DF27" i="15" s="1"/>
  <c r="CV23" i="15"/>
  <c r="CW23" i="15" s="1"/>
  <c r="DF23" i="15" s="1"/>
  <c r="CV19" i="15"/>
  <c r="CW19" i="15" s="1"/>
  <c r="DF19" i="15" s="1"/>
  <c r="CV15" i="15"/>
  <c r="CW15" i="15" s="1"/>
  <c r="DF15" i="15" s="1"/>
  <c r="BX12" i="15"/>
  <c r="BY12" i="15" s="1"/>
  <c r="CH12" i="15" s="1"/>
  <c r="CV18" i="15"/>
  <c r="CW18" i="15" s="1"/>
  <c r="DF18" i="15" s="1"/>
  <c r="BX22" i="15"/>
  <c r="BY22" i="15" s="1"/>
  <c r="CH22" i="15" s="1"/>
  <c r="BX25" i="15"/>
  <c r="BY25" i="15" s="1"/>
  <c r="CH25" i="15" s="1"/>
  <c r="CV16" i="15"/>
  <c r="CW16" i="15" s="1"/>
  <c r="DF16" i="15" s="1"/>
  <c r="BX27" i="15"/>
  <c r="BY27" i="15" s="1"/>
  <c r="CH27" i="15" s="1"/>
  <c r="BX23" i="15"/>
  <c r="BY23" i="15" s="1"/>
  <c r="CH23" i="15" s="1"/>
  <c r="BX19" i="15"/>
  <c r="BY19" i="15" s="1"/>
  <c r="CH19" i="15" s="1"/>
  <c r="BX15" i="15"/>
  <c r="BY15" i="15" s="1"/>
  <c r="CH15" i="15" s="1"/>
  <c r="CV22" i="15"/>
  <c r="CW22" i="15" s="1"/>
  <c r="DF22" i="15" s="1"/>
  <c r="CV14" i="15"/>
  <c r="CW14" i="15" s="1"/>
  <c r="DF14" i="15" s="1"/>
  <c r="BX18" i="15"/>
  <c r="BY18" i="15" s="1"/>
  <c r="CH18" i="15" s="1"/>
  <c r="BX13" i="15"/>
  <c r="BY13" i="15" s="1"/>
  <c r="CH13" i="15" s="1"/>
  <c r="CV25" i="15"/>
  <c r="CW25" i="15" s="1"/>
  <c r="DF25" i="15" s="1"/>
  <c r="CV21" i="15"/>
  <c r="CW21" i="15" s="1"/>
  <c r="DF21" i="15" s="1"/>
  <c r="CV17" i="15"/>
  <c r="CW17" i="15" s="1"/>
  <c r="DF17" i="15" s="1"/>
  <c r="CV13" i="15"/>
  <c r="CW13" i="15" s="1"/>
  <c r="DF13" i="15" s="1"/>
  <c r="BX21" i="15"/>
  <c r="BY21" i="15" s="1"/>
  <c r="CH21" i="15" s="1"/>
  <c r="CV20" i="15"/>
  <c r="CW20" i="15" s="1"/>
  <c r="DF20" i="15" s="1"/>
  <c r="CR26" i="16"/>
  <c r="CS26" i="16" s="1"/>
  <c r="DB26" i="16" s="1"/>
  <c r="CR22" i="16"/>
  <c r="CS22" i="16" s="1"/>
  <c r="DB22" i="16" s="1"/>
  <c r="CR18" i="16"/>
  <c r="CS18" i="16" s="1"/>
  <c r="DB18" i="16" s="1"/>
  <c r="CR14" i="16"/>
  <c r="CS14" i="16" s="1"/>
  <c r="DB14" i="16" s="1"/>
  <c r="BU27" i="16"/>
  <c r="BV27" i="16" s="1"/>
  <c r="CE27" i="16" s="1"/>
  <c r="BU23" i="16"/>
  <c r="BV23" i="16" s="1"/>
  <c r="CE23" i="16" s="1"/>
  <c r="BU19" i="16"/>
  <c r="BV19" i="16" s="1"/>
  <c r="CE19" i="16" s="1"/>
  <c r="BU15" i="16"/>
  <c r="BV15" i="16" s="1"/>
  <c r="CE15" i="16" s="1"/>
  <c r="AX20" i="16"/>
  <c r="AY20" i="16" s="1"/>
  <c r="BH20" i="16" s="1"/>
  <c r="AX12" i="16"/>
  <c r="AY12" i="16" s="1"/>
  <c r="BH12" i="16" s="1"/>
  <c r="AA20" i="16"/>
  <c r="AB20" i="16" s="1"/>
  <c r="AK20" i="16" s="1"/>
  <c r="AA12" i="16"/>
  <c r="AB12" i="16" s="1"/>
  <c r="AK12" i="16" s="1"/>
  <c r="AB20" i="15"/>
  <c r="AC20" i="15" s="1"/>
  <c r="AL20" i="15" s="1"/>
  <c r="AB12" i="15"/>
  <c r="AC12" i="15" s="1"/>
  <c r="AL12" i="15" s="1"/>
  <c r="AZ20" i="15"/>
  <c r="BA20" i="15" s="1"/>
  <c r="BJ20" i="15" s="1"/>
  <c r="AZ12" i="15"/>
  <c r="BA12" i="15" s="1"/>
  <c r="BJ12" i="15" s="1"/>
  <c r="CV22" i="14"/>
  <c r="CV14" i="14"/>
  <c r="CW14" i="14" s="1"/>
  <c r="DF14" i="14" s="1"/>
  <c r="BX17" i="14"/>
  <c r="BX25" i="14"/>
  <c r="AZ23" i="14"/>
  <c r="AZ15" i="14"/>
  <c r="BA15" i="14" s="1"/>
  <c r="BJ15" i="14" s="1"/>
  <c r="AB15" i="14"/>
  <c r="AC15" i="14" s="1"/>
  <c r="AL15" i="14" s="1"/>
  <c r="AB23" i="14"/>
  <c r="CW19" i="13"/>
  <c r="DF19" i="13" s="1"/>
  <c r="CW27" i="13"/>
  <c r="DF27" i="13" s="1"/>
  <c r="BY17" i="13"/>
  <c r="CH17" i="13" s="1"/>
  <c r="BY25" i="13"/>
  <c r="CH25" i="13" s="1"/>
  <c r="D25" i="16"/>
  <c r="E25" i="16" s="1"/>
  <c r="N25" i="16" s="1"/>
  <c r="D23" i="16"/>
  <c r="E23" i="16" s="1"/>
  <c r="N23" i="16" s="1"/>
  <c r="D21" i="16"/>
  <c r="E21" i="16" s="1"/>
  <c r="N21" i="16" s="1"/>
  <c r="D19" i="16"/>
  <c r="E19" i="16" s="1"/>
  <c r="N19" i="16" s="1"/>
  <c r="D27" i="15"/>
  <c r="E27" i="15" s="1"/>
  <c r="N27" i="15" s="1"/>
  <c r="D25" i="15"/>
  <c r="E25" i="15" s="1"/>
  <c r="N25" i="15" s="1"/>
  <c r="D23" i="15"/>
  <c r="E23" i="15" s="1"/>
  <c r="N23" i="15" s="1"/>
  <c r="D21" i="15"/>
  <c r="E21" i="15" s="1"/>
  <c r="N21" i="15" s="1"/>
  <c r="D19" i="15"/>
  <c r="E19" i="15" s="1"/>
  <c r="N19" i="15" s="1"/>
  <c r="D17" i="15"/>
  <c r="E17" i="15" s="1"/>
  <c r="N17" i="15" s="1"/>
  <c r="D15" i="15"/>
  <c r="E15" i="15" s="1"/>
  <c r="N15" i="15" s="1"/>
  <c r="D26" i="14"/>
  <c r="AX13" i="16"/>
  <c r="AY13" i="16" s="1"/>
  <c r="BH13" i="16" s="1"/>
  <c r="AX21" i="16"/>
  <c r="AY21" i="16" s="1"/>
  <c r="BH21" i="16" s="1"/>
  <c r="AA13" i="16"/>
  <c r="AB13" i="16" s="1"/>
  <c r="AK13" i="16" s="1"/>
  <c r="AA21" i="16"/>
  <c r="AB21" i="16" s="1"/>
  <c r="AK21" i="16" s="1"/>
  <c r="AB13" i="15"/>
  <c r="AC13" i="15" s="1"/>
  <c r="AL13" i="15" s="1"/>
  <c r="AB21" i="15"/>
  <c r="AC21" i="15" s="1"/>
  <c r="AL21" i="15" s="1"/>
  <c r="AZ13" i="15"/>
  <c r="BA13" i="15" s="1"/>
  <c r="BJ13" i="15" s="1"/>
  <c r="AZ21" i="15"/>
  <c r="BA21" i="15" s="1"/>
  <c r="BJ21" i="15" s="1"/>
  <c r="CV21" i="14"/>
  <c r="CV13" i="14"/>
  <c r="CW13" i="14" s="1"/>
  <c r="DF13" i="14" s="1"/>
  <c r="BX18" i="14"/>
  <c r="BX26" i="14"/>
  <c r="AZ22" i="14"/>
  <c r="AZ14" i="14"/>
  <c r="BA14" i="14" s="1"/>
  <c r="BJ14" i="14" s="1"/>
  <c r="AB16" i="14"/>
  <c r="AC16" i="14" s="1"/>
  <c r="AL16" i="14" s="1"/>
  <c r="AB24" i="14"/>
  <c r="CW20" i="13"/>
  <c r="DF20" i="13" s="1"/>
  <c r="CW12" i="13"/>
  <c r="DF12" i="13" s="1"/>
  <c r="BY18" i="13"/>
  <c r="CH18" i="13" s="1"/>
  <c r="BY26" i="13"/>
  <c r="CH26" i="13" s="1"/>
  <c r="D17" i="16"/>
  <c r="E17" i="16" s="1"/>
  <c r="N17" i="16" s="1"/>
  <c r="D15" i="16"/>
  <c r="E15" i="16" s="1"/>
  <c r="N15" i="16" s="1"/>
  <c r="D12" i="16"/>
  <c r="E12" i="16" s="1"/>
  <c r="N12" i="16" s="1"/>
  <c r="D12" i="15"/>
  <c r="E12" i="15" s="1"/>
  <c r="N12" i="15" s="1"/>
  <c r="CR25" i="16"/>
  <c r="CS25" i="16" s="1"/>
  <c r="DB25" i="16" s="1"/>
  <c r="CR21" i="16"/>
  <c r="CS21" i="16" s="1"/>
  <c r="DB21" i="16" s="1"/>
  <c r="CR17" i="16"/>
  <c r="CS17" i="16" s="1"/>
  <c r="DB17" i="16" s="1"/>
  <c r="CR13" i="16"/>
  <c r="CS13" i="16" s="1"/>
  <c r="DB13" i="16" s="1"/>
  <c r="BU26" i="16"/>
  <c r="BV26" i="16" s="1"/>
  <c r="CE26" i="16" s="1"/>
  <c r="BU22" i="16"/>
  <c r="BV22" i="16" s="1"/>
  <c r="CE22" i="16" s="1"/>
  <c r="BU18" i="16"/>
  <c r="BV18" i="16" s="1"/>
  <c r="CE18" i="16" s="1"/>
  <c r="BU14" i="16"/>
  <c r="BV14" i="16" s="1"/>
  <c r="CE14" i="16" s="1"/>
  <c r="AX14" i="16"/>
  <c r="AY14" i="16" s="1"/>
  <c r="BH14" i="16" s="1"/>
  <c r="AX22" i="16"/>
  <c r="AY22" i="16" s="1"/>
  <c r="BH22" i="16" s="1"/>
  <c r="AA14" i="16"/>
  <c r="AB14" i="16" s="1"/>
  <c r="AK14" i="16" s="1"/>
  <c r="AA22" i="16"/>
  <c r="AB22" i="16" s="1"/>
  <c r="AK22" i="16" s="1"/>
  <c r="AB14" i="15"/>
  <c r="AC14" i="15" s="1"/>
  <c r="AL14" i="15" s="1"/>
  <c r="AB22" i="15"/>
  <c r="AC22" i="15" s="1"/>
  <c r="AL22" i="15" s="1"/>
  <c r="AZ14" i="15"/>
  <c r="BA14" i="15" s="1"/>
  <c r="BJ14" i="15" s="1"/>
  <c r="AZ22" i="15"/>
  <c r="BA22" i="15" s="1"/>
  <c r="BJ22" i="15" s="1"/>
  <c r="CV27" i="14"/>
  <c r="CV20" i="14"/>
  <c r="BX19" i="14"/>
  <c r="BX27" i="14"/>
  <c r="AZ21" i="14"/>
  <c r="AZ13" i="14"/>
  <c r="BA13" i="14" s="1"/>
  <c r="BJ13" i="14" s="1"/>
  <c r="AB17" i="14"/>
  <c r="AB25" i="14"/>
  <c r="CW13" i="13"/>
  <c r="DF13" i="13" s="1"/>
  <c r="CW21" i="13"/>
  <c r="DF21" i="13" s="1"/>
  <c r="BY19" i="13"/>
  <c r="CH19" i="13" s="1"/>
  <c r="BY27" i="13"/>
  <c r="CH27" i="13" s="1"/>
  <c r="D25" i="14"/>
  <c r="CR24" i="16"/>
  <c r="CS24" i="16" s="1"/>
  <c r="DB24" i="16" s="1"/>
  <c r="CR20" i="16"/>
  <c r="CS20" i="16" s="1"/>
  <c r="DB20" i="16" s="1"/>
  <c r="CR16" i="16"/>
  <c r="CS16" i="16" s="1"/>
  <c r="DB16" i="16" s="1"/>
  <c r="BU25" i="16"/>
  <c r="BV25" i="16" s="1"/>
  <c r="CE25" i="16" s="1"/>
  <c r="BU21" i="16"/>
  <c r="BV21" i="16" s="1"/>
  <c r="CE21" i="16" s="1"/>
  <c r="BU17" i="16"/>
  <c r="BV17" i="16" s="1"/>
  <c r="CE17" i="16" s="1"/>
  <c r="BU13" i="16"/>
  <c r="BV13" i="16" s="1"/>
  <c r="CE13" i="16" s="1"/>
  <c r="AX16" i="16"/>
  <c r="AY16" i="16" s="1"/>
  <c r="BH16" i="16" s="1"/>
  <c r="AX24" i="16"/>
  <c r="AY24" i="16" s="1"/>
  <c r="BH24" i="16" s="1"/>
  <c r="AA16" i="16"/>
  <c r="AB16" i="16" s="1"/>
  <c r="AK16" i="16" s="1"/>
  <c r="AA24" i="16"/>
  <c r="AB24" i="16" s="1"/>
  <c r="AK24" i="16" s="1"/>
  <c r="AB16" i="15"/>
  <c r="AC16" i="15" s="1"/>
  <c r="AL16" i="15" s="1"/>
  <c r="AB24" i="15"/>
  <c r="AC24" i="15" s="1"/>
  <c r="AL24" i="15" s="1"/>
  <c r="AZ16" i="15"/>
  <c r="BA16" i="15" s="1"/>
  <c r="BJ16" i="15" s="1"/>
  <c r="AZ24" i="15"/>
  <c r="BA24" i="15" s="1"/>
  <c r="BJ24" i="15" s="1"/>
  <c r="CV25" i="14"/>
  <c r="CV18" i="14"/>
  <c r="BX13" i="14"/>
  <c r="BY13" i="14" s="1"/>
  <c r="CH13" i="14" s="1"/>
  <c r="BX21" i="14"/>
  <c r="AZ27" i="14"/>
  <c r="AZ19" i="14"/>
  <c r="AZ12" i="14"/>
  <c r="BA12" i="14" s="1"/>
  <c r="BJ12" i="14" s="1"/>
  <c r="AB19" i="14"/>
  <c r="AB12" i="14"/>
  <c r="AC12" i="14" s="1"/>
  <c r="AL12" i="14" s="1"/>
  <c r="CW15" i="13"/>
  <c r="DF15" i="13" s="1"/>
  <c r="CW23" i="13"/>
  <c r="DF23" i="13" s="1"/>
  <c r="BY13" i="13"/>
  <c r="CH13" i="13" s="1"/>
  <c r="BY21" i="13"/>
  <c r="CH21" i="13" s="1"/>
  <c r="D24" i="16"/>
  <c r="E24" i="16" s="1"/>
  <c r="N24" i="16" s="1"/>
  <c r="D22" i="16"/>
  <c r="E22" i="16" s="1"/>
  <c r="N22" i="16" s="1"/>
  <c r="D20" i="16"/>
  <c r="E20" i="16" s="1"/>
  <c r="N20" i="16" s="1"/>
  <c r="D13" i="16"/>
  <c r="E13" i="16" s="1"/>
  <c r="N13" i="16" s="1"/>
  <c r="D26" i="15"/>
  <c r="E26" i="15" s="1"/>
  <c r="N26" i="15" s="1"/>
  <c r="D24" i="15"/>
  <c r="E24" i="15" s="1"/>
  <c r="N24" i="15" s="1"/>
  <c r="D22" i="15"/>
  <c r="E22" i="15" s="1"/>
  <c r="N22" i="15" s="1"/>
  <c r="D20" i="15"/>
  <c r="E20" i="15" s="1"/>
  <c r="N20" i="15" s="1"/>
  <c r="D18" i="15"/>
  <c r="E18" i="15" s="1"/>
  <c r="N18" i="15" s="1"/>
  <c r="D16" i="15"/>
  <c r="E16" i="15" s="1"/>
  <c r="N16" i="15" s="1"/>
  <c r="D24" i="14"/>
  <c r="D20" i="14"/>
  <c r="AX25" i="16"/>
  <c r="AY25" i="16" s="1"/>
  <c r="BH25" i="16" s="1"/>
  <c r="AA25" i="16"/>
  <c r="AB25" i="16" s="1"/>
  <c r="AK25" i="16" s="1"/>
  <c r="AB23" i="15"/>
  <c r="AC23" i="15" s="1"/>
  <c r="AL23" i="15" s="1"/>
  <c r="AZ23" i="15"/>
  <c r="BA23" i="15" s="1"/>
  <c r="BJ23" i="15" s="1"/>
  <c r="CV17" i="14"/>
  <c r="BX20" i="14"/>
  <c r="AZ20" i="14"/>
  <c r="AB18" i="14"/>
  <c r="CW26" i="13"/>
  <c r="DF26" i="13" s="1"/>
  <c r="BY23" i="13"/>
  <c r="CH23" i="13" s="1"/>
  <c r="D13" i="15"/>
  <c r="E13" i="15" s="1"/>
  <c r="N13" i="15" s="1"/>
  <c r="BA14" i="13"/>
  <c r="BJ14" i="13" s="1"/>
  <c r="BA22" i="13"/>
  <c r="BJ22" i="13" s="1"/>
  <c r="AC18" i="13"/>
  <c r="AL18" i="13" s="1"/>
  <c r="AC26" i="13"/>
  <c r="AL26" i="13" s="1"/>
  <c r="CR12" i="16"/>
  <c r="CS12" i="16" s="1"/>
  <c r="DB12" i="16" s="1"/>
  <c r="AA15" i="16"/>
  <c r="AB15" i="16" s="1"/>
  <c r="AK15" i="16" s="1"/>
  <c r="AZ27" i="15"/>
  <c r="BA27" i="15" s="1"/>
  <c r="BJ27" i="15" s="1"/>
  <c r="CV26" i="14"/>
  <c r="AZ16" i="14"/>
  <c r="BA16" i="14" s="1"/>
  <c r="BJ16" i="14" s="1"/>
  <c r="CW17" i="13"/>
  <c r="DF17" i="13" s="1"/>
  <c r="D14" i="16"/>
  <c r="E14" i="16" s="1"/>
  <c r="N14" i="16" s="1"/>
  <c r="D19" i="14"/>
  <c r="E23" i="13"/>
  <c r="N23" i="13" s="1"/>
  <c r="CR19" i="16"/>
  <c r="CS19" i="16" s="1"/>
  <c r="DB19" i="16" s="1"/>
  <c r="BU24" i="16"/>
  <c r="BV24" i="16" s="1"/>
  <c r="CE24" i="16" s="1"/>
  <c r="BU12" i="16"/>
  <c r="BV12" i="16" s="1"/>
  <c r="CE12" i="16" s="1"/>
  <c r="AX26" i="16"/>
  <c r="AY26" i="16" s="1"/>
  <c r="BH26" i="16" s="1"/>
  <c r="AA26" i="16"/>
  <c r="AB26" i="16" s="1"/>
  <c r="AK26" i="16" s="1"/>
  <c r="AB25" i="15"/>
  <c r="AC25" i="15" s="1"/>
  <c r="AL25" i="15" s="1"/>
  <c r="AZ25" i="15"/>
  <c r="BA25" i="15" s="1"/>
  <c r="BJ25" i="15" s="1"/>
  <c r="CV16" i="14"/>
  <c r="CW16" i="14" s="1"/>
  <c r="DF16" i="14" s="1"/>
  <c r="BX22" i="14"/>
  <c r="AZ18" i="14"/>
  <c r="AB20" i="14"/>
  <c r="CW14" i="13"/>
  <c r="DF14" i="13" s="1"/>
  <c r="BY24" i="13"/>
  <c r="CH24" i="13" s="1"/>
  <c r="D26" i="16"/>
  <c r="E26" i="16" s="1"/>
  <c r="N26" i="16" s="1"/>
  <c r="D16" i="14"/>
  <c r="E16" i="14" s="1"/>
  <c r="N16" i="14" s="1"/>
  <c r="BA15" i="13"/>
  <c r="BJ15" i="13" s="1"/>
  <c r="BA23" i="13"/>
  <c r="BJ23" i="13" s="1"/>
  <c r="AC19" i="13"/>
  <c r="AL19" i="13" s="1"/>
  <c r="AC12" i="13"/>
  <c r="AL12" i="13" s="1"/>
  <c r="E24" i="13"/>
  <c r="N24" i="13" s="1"/>
  <c r="E20" i="13"/>
  <c r="N20" i="13" s="1"/>
  <c r="E16" i="13"/>
  <c r="N16" i="13" s="1"/>
  <c r="AX15" i="16"/>
  <c r="AY15" i="16" s="1"/>
  <c r="BH15" i="16" s="1"/>
  <c r="AB27" i="15"/>
  <c r="AC27" i="15" s="1"/>
  <c r="AL27" i="15" s="1"/>
  <c r="AB22" i="14"/>
  <c r="BY14" i="13"/>
  <c r="CH14" i="13" s="1"/>
  <c r="D16" i="16"/>
  <c r="E16" i="16" s="1"/>
  <c r="N16" i="16" s="1"/>
  <c r="D23" i="14"/>
  <c r="BA17" i="13"/>
  <c r="BJ17" i="13" s="1"/>
  <c r="AC13" i="13"/>
  <c r="AL13" i="13" s="1"/>
  <c r="E19" i="13"/>
  <c r="N19" i="13" s="1"/>
  <c r="AX27" i="16"/>
  <c r="AY27" i="16" s="1"/>
  <c r="BH27" i="16" s="1"/>
  <c r="AA27" i="16"/>
  <c r="AB27" i="16" s="1"/>
  <c r="AK27" i="16" s="1"/>
  <c r="AB26" i="15"/>
  <c r="AC26" i="15" s="1"/>
  <c r="AL26" i="15" s="1"/>
  <c r="AZ26" i="15"/>
  <c r="BA26" i="15" s="1"/>
  <c r="BJ26" i="15" s="1"/>
  <c r="CV15" i="14"/>
  <c r="CW15" i="14" s="1"/>
  <c r="DF15" i="14" s="1"/>
  <c r="BX23" i="14"/>
  <c r="AZ17" i="14"/>
  <c r="AB21" i="14"/>
  <c r="CW16" i="13"/>
  <c r="DF16" i="13" s="1"/>
  <c r="BY12" i="13"/>
  <c r="CH12" i="13" s="1"/>
  <c r="D14" i="15"/>
  <c r="E14" i="15" s="1"/>
  <c r="N14" i="15" s="1"/>
  <c r="D13" i="14"/>
  <c r="E13" i="14" s="1"/>
  <c r="N13" i="14" s="1"/>
  <c r="BA16" i="13"/>
  <c r="BJ16" i="13" s="1"/>
  <c r="BA24" i="13"/>
  <c r="BJ24" i="13" s="1"/>
  <c r="AC27" i="13"/>
  <c r="AL27" i="13" s="1"/>
  <c r="AC20" i="13"/>
  <c r="AL20" i="13" s="1"/>
  <c r="E12" i="13"/>
  <c r="N12" i="13" s="1"/>
  <c r="BU16" i="16"/>
  <c r="BV16" i="16" s="1"/>
  <c r="CE16" i="16" s="1"/>
  <c r="BX24" i="14"/>
  <c r="BA25" i="13"/>
  <c r="BJ25" i="13" s="1"/>
  <c r="AC21" i="13"/>
  <c r="AL21" i="13" s="1"/>
  <c r="E27" i="13"/>
  <c r="N27" i="13" s="1"/>
  <c r="E15" i="13"/>
  <c r="N15" i="13" s="1"/>
  <c r="AX18" i="16"/>
  <c r="AY18" i="16" s="1"/>
  <c r="BH18" i="16" s="1"/>
  <c r="AA18" i="16"/>
  <c r="AB18" i="16" s="1"/>
  <c r="AK18" i="16" s="1"/>
  <c r="AB17" i="15"/>
  <c r="AC17" i="15" s="1"/>
  <c r="AL17" i="15" s="1"/>
  <c r="AZ17" i="15"/>
  <c r="BA17" i="15" s="1"/>
  <c r="BJ17" i="15" s="1"/>
  <c r="BX14" i="14"/>
  <c r="BY14" i="14" s="1"/>
  <c r="CH14" i="14" s="1"/>
  <c r="AZ26" i="14"/>
  <c r="AB27" i="14"/>
  <c r="CW22" i="13"/>
  <c r="DF22" i="13" s="1"/>
  <c r="BY16" i="13"/>
  <c r="CH16" i="13" s="1"/>
  <c r="D27" i="16"/>
  <c r="E27" i="16" s="1"/>
  <c r="N27" i="16" s="1"/>
  <c r="D22" i="14"/>
  <c r="D18" i="14"/>
  <c r="D12" i="14"/>
  <c r="E12" i="14" s="1"/>
  <c r="N12" i="14" s="1"/>
  <c r="BA19" i="13"/>
  <c r="BJ19" i="13" s="1"/>
  <c r="BA27" i="13"/>
  <c r="BJ27" i="13" s="1"/>
  <c r="AC15" i="13"/>
  <c r="AL15" i="13" s="1"/>
  <c r="AC23" i="13"/>
  <c r="AL23" i="13" s="1"/>
  <c r="E26" i="13"/>
  <c r="N26" i="13" s="1"/>
  <c r="E22" i="13"/>
  <c r="N22" i="13" s="1"/>
  <c r="E18" i="13"/>
  <c r="N18" i="13" s="1"/>
  <c r="E14" i="13"/>
  <c r="N14" i="13" s="1"/>
  <c r="CR15" i="16"/>
  <c r="CS15" i="16" s="1"/>
  <c r="DB15" i="16" s="1"/>
  <c r="BU20" i="16"/>
  <c r="BV20" i="16" s="1"/>
  <c r="CE20" i="16" s="1"/>
  <c r="AX19" i="16"/>
  <c r="AY19" i="16" s="1"/>
  <c r="BH19" i="16" s="1"/>
  <c r="AA19" i="16"/>
  <c r="AB19" i="16" s="1"/>
  <c r="AK19" i="16" s="1"/>
  <c r="AB18" i="15"/>
  <c r="AC18" i="15" s="1"/>
  <c r="AL18" i="15" s="1"/>
  <c r="AZ18" i="15"/>
  <c r="BA18" i="15" s="1"/>
  <c r="BJ18" i="15" s="1"/>
  <c r="CV23" i="14"/>
  <c r="BX15" i="14"/>
  <c r="BY15" i="14" s="1"/>
  <c r="CH15" i="14" s="1"/>
  <c r="AZ25" i="14"/>
  <c r="AB13" i="14"/>
  <c r="AC13" i="14" s="1"/>
  <c r="AL13" i="14" s="1"/>
  <c r="CW24" i="13"/>
  <c r="DF24" i="13" s="1"/>
  <c r="BY20" i="13"/>
  <c r="CH20" i="13" s="1"/>
  <c r="CV12" i="14"/>
  <c r="CW12" i="14" s="1"/>
  <c r="DF12" i="14" s="1"/>
  <c r="CW18" i="13"/>
  <c r="DF18" i="13" s="1"/>
  <c r="D17" i="14"/>
  <c r="BA21" i="13"/>
  <c r="BJ21" i="13" s="1"/>
  <c r="AC22" i="13"/>
  <c r="AL22" i="13" s="1"/>
  <c r="AZ24" i="14"/>
  <c r="AC14" i="13"/>
  <c r="AL14" i="13" s="1"/>
  <c r="CV19" i="14"/>
  <c r="BA18" i="13"/>
  <c r="BJ18" i="13" s="1"/>
  <c r="BA20" i="13"/>
  <c r="BJ20" i="13" s="1"/>
  <c r="BX16" i="14"/>
  <c r="BY16" i="14" s="1"/>
  <c r="CH16" i="14" s="1"/>
  <c r="CW25" i="13"/>
  <c r="DF25" i="13" s="1"/>
  <c r="BA26" i="13"/>
  <c r="BJ26" i="13" s="1"/>
  <c r="AC24" i="13"/>
  <c r="AL24" i="13" s="1"/>
  <c r="E21" i="13"/>
  <c r="N21" i="13" s="1"/>
  <c r="AB19" i="15"/>
  <c r="AC19" i="15" s="1"/>
  <c r="AL19" i="15" s="1"/>
  <c r="E13" i="13"/>
  <c r="N13" i="13" s="1"/>
  <c r="BA13" i="13"/>
  <c r="BJ13" i="13" s="1"/>
  <c r="CR27" i="16"/>
  <c r="CS27" i="16" s="1"/>
  <c r="DB27" i="16" s="1"/>
  <c r="AB15" i="15"/>
  <c r="AC15" i="15" s="1"/>
  <c r="AL15" i="15" s="1"/>
  <c r="BX12" i="14"/>
  <c r="BY12" i="14" s="1"/>
  <c r="CH12" i="14" s="1"/>
  <c r="D21" i="14"/>
  <c r="BA12" i="13"/>
  <c r="BJ12" i="13" s="1"/>
  <c r="AC25" i="13"/>
  <c r="AL25" i="13" s="1"/>
  <c r="CR23" i="16"/>
  <c r="CS23" i="16" s="1"/>
  <c r="DB23" i="16" s="1"/>
  <c r="AX17" i="16"/>
  <c r="AY17" i="16" s="1"/>
  <c r="BH17" i="16" s="1"/>
  <c r="BY15" i="13"/>
  <c r="CH15" i="13" s="1"/>
  <c r="D27" i="14"/>
  <c r="E17" i="13"/>
  <c r="N17" i="13" s="1"/>
  <c r="AC17" i="13"/>
  <c r="AL17" i="13" s="1"/>
  <c r="AX23" i="16"/>
  <c r="AY23" i="16" s="1"/>
  <c r="BH23" i="16" s="1"/>
  <c r="AZ15" i="15"/>
  <c r="BA15" i="15" s="1"/>
  <c r="BJ15" i="15" s="1"/>
  <c r="BY22" i="13"/>
  <c r="CH22" i="13" s="1"/>
  <c r="D15" i="14"/>
  <c r="E15" i="14" s="1"/>
  <c r="N15" i="14" s="1"/>
  <c r="E25" i="13"/>
  <c r="N25" i="13" s="1"/>
  <c r="AA17" i="16"/>
  <c r="AB17" i="16" s="1"/>
  <c r="AK17" i="16" s="1"/>
  <c r="AZ19" i="15"/>
  <c r="BA19" i="15" s="1"/>
  <c r="BJ19" i="15" s="1"/>
  <c r="CV24" i="14"/>
  <c r="AB14" i="14"/>
  <c r="AC14" i="14" s="1"/>
  <c r="AL14" i="14" s="1"/>
  <c r="D18" i="16"/>
  <c r="E18" i="16" s="1"/>
  <c r="N18" i="16" s="1"/>
  <c r="AA23" i="16"/>
  <c r="AB23" i="16" s="1"/>
  <c r="AK23" i="16" s="1"/>
  <c r="AB26" i="14"/>
  <c r="D14" i="14"/>
  <c r="E14" i="14" s="1"/>
  <c r="N14" i="14" s="1"/>
  <c r="AC16" i="13"/>
  <c r="AL16" i="13" s="1"/>
  <c r="E67" i="10"/>
  <c r="F67" i="10" s="1"/>
  <c r="Z67" i="10" s="1"/>
  <c r="E75" i="10"/>
  <c r="F75" i="10" s="1"/>
  <c r="Z75" i="10" s="1"/>
  <c r="E70" i="10"/>
  <c r="F70" i="10" s="1"/>
  <c r="Z70" i="10" s="1"/>
  <c r="E71" i="10"/>
  <c r="F71" i="10" s="1"/>
  <c r="Z71" i="10" s="1"/>
  <c r="E66" i="10"/>
  <c r="F66" i="10" s="1"/>
  <c r="Z66" i="10" s="1"/>
  <c r="E68" i="10"/>
  <c r="F68" i="10" s="1"/>
  <c r="Z68" i="10" s="1"/>
  <c r="E76" i="10"/>
  <c r="F76" i="10" s="1"/>
  <c r="Z76" i="10" s="1"/>
  <c r="E79" i="10"/>
  <c r="F79" i="10" s="1"/>
  <c r="Z79" i="10" s="1"/>
  <c r="E69" i="10"/>
  <c r="F69" i="10" s="1"/>
  <c r="Z69" i="10" s="1"/>
  <c r="E77" i="10"/>
  <c r="F77" i="10" s="1"/>
  <c r="Z77" i="10" s="1"/>
  <c r="E78" i="10"/>
  <c r="F78" i="10" s="1"/>
  <c r="Z78" i="10" s="1"/>
  <c r="E72" i="10"/>
  <c r="F72" i="10" s="1"/>
  <c r="Z72" i="10" s="1"/>
  <c r="E80" i="10"/>
  <c r="F80" i="10" s="1"/>
  <c r="Z80" i="10" s="1"/>
  <c r="E73" i="10"/>
  <c r="F73" i="10" s="1"/>
  <c r="Z73" i="10" s="1"/>
  <c r="E74" i="10"/>
  <c r="F74" i="10" s="1"/>
  <c r="Z74" i="10" s="1"/>
  <c r="N36" i="7"/>
  <c r="M9" i="7" s="1"/>
  <c r="S36" i="7"/>
  <c r="R9" i="7" s="1"/>
  <c r="R11" i="7" s="1"/>
  <c r="I36" i="7"/>
  <c r="H9" i="7" s="1"/>
  <c r="H11" i="7" s="1"/>
  <c r="X36" i="7"/>
  <c r="W9" i="7" s="1"/>
  <c r="W11" i="7" s="1"/>
  <c r="Z20" i="10" l="1"/>
  <c r="X20" i="10"/>
  <c r="AC20" i="10" s="1"/>
  <c r="Z23" i="10"/>
  <c r="X23" i="10"/>
  <c r="AC23" i="10" s="1"/>
  <c r="Z27" i="10"/>
  <c r="X27" i="10"/>
  <c r="AC27" i="10" s="1"/>
  <c r="Z21" i="10"/>
  <c r="X21" i="10"/>
  <c r="AC21" i="10" s="1"/>
  <c r="Z18" i="10"/>
  <c r="X18" i="10"/>
  <c r="AC18" i="10" s="1"/>
  <c r="Z15" i="10"/>
  <c r="X15" i="10"/>
  <c r="AC15" i="10" s="1"/>
  <c r="Z17" i="10"/>
  <c r="X17" i="10"/>
  <c r="AC17" i="10" s="1"/>
  <c r="Z14" i="10"/>
  <c r="X14" i="10"/>
  <c r="AC14" i="10" s="1"/>
  <c r="Z24" i="10"/>
  <c r="X24" i="10"/>
  <c r="AC24" i="10" s="1"/>
  <c r="AE13" i="10"/>
  <c r="AE14" i="10" s="1"/>
  <c r="AE15" i="10" s="1"/>
  <c r="Z26" i="10"/>
  <c r="X26" i="10"/>
  <c r="AC26" i="10" s="1"/>
  <c r="CM12" i="13"/>
  <c r="CM13" i="13" s="1"/>
  <c r="CM14" i="13" s="1"/>
  <c r="CM15" i="13" s="1"/>
  <c r="CM16" i="13" s="1"/>
  <c r="CM17" i="13" s="1"/>
  <c r="CM18" i="13" s="1"/>
  <c r="CM19" i="13" s="1"/>
  <c r="CM20" i="13" s="1"/>
  <c r="CM21" i="13" s="1"/>
  <c r="CM22" i="13" s="1"/>
  <c r="CM23" i="13" s="1"/>
  <c r="CM24" i="13" s="1"/>
  <c r="CM25" i="13" s="1"/>
  <c r="CM26" i="13" s="1"/>
  <c r="CM27" i="13" s="1"/>
  <c r="K160" i="13" s="1"/>
  <c r="DK12" i="13"/>
  <c r="DK13" i="13" s="1"/>
  <c r="DK14" i="13" s="1"/>
  <c r="DK15" i="13" s="1"/>
  <c r="DK16" i="13" s="1"/>
  <c r="DK17" i="13" s="1"/>
  <c r="DK18" i="13" s="1"/>
  <c r="DK19" i="13" s="1"/>
  <c r="DK20" i="13" s="1"/>
  <c r="DK21" i="13" s="1"/>
  <c r="DK22" i="13" s="1"/>
  <c r="DK23" i="13" s="1"/>
  <c r="DK24" i="13" s="1"/>
  <c r="DK25" i="13" s="1"/>
  <c r="DK26" i="13" s="1"/>
  <c r="DK27" i="13" s="1"/>
  <c r="L160" i="13" s="1"/>
  <c r="AQ12" i="15"/>
  <c r="AQ13" i="15" s="1"/>
  <c r="AQ14" i="15" s="1"/>
  <c r="AQ15" i="15" s="1"/>
  <c r="AQ16" i="15" s="1"/>
  <c r="AQ17" i="15" s="1"/>
  <c r="AQ18" i="15" s="1"/>
  <c r="AQ19" i="15" s="1"/>
  <c r="AQ20" i="15" s="1"/>
  <c r="AQ21" i="15" s="1"/>
  <c r="AQ22" i="15" s="1"/>
  <c r="AQ23" i="15" s="1"/>
  <c r="AQ24" i="15" s="1"/>
  <c r="AQ25" i="15" s="1"/>
  <c r="AQ26" i="15" s="1"/>
  <c r="AQ27" i="15" s="1"/>
  <c r="I160" i="15" s="1"/>
  <c r="BM12" i="16"/>
  <c r="BM13" i="16" s="1"/>
  <c r="BM14" i="16" s="1"/>
  <c r="BM15" i="16" s="1"/>
  <c r="BM16" i="16" s="1"/>
  <c r="BM17" i="16" s="1"/>
  <c r="BM18" i="16" s="1"/>
  <c r="BM19" i="16" s="1"/>
  <c r="BM20" i="16" s="1"/>
  <c r="BM21" i="16" s="1"/>
  <c r="BM22" i="16" s="1"/>
  <c r="BM23" i="16" s="1"/>
  <c r="BM24" i="16" s="1"/>
  <c r="BM25" i="16" s="1"/>
  <c r="BM26" i="16" s="1"/>
  <c r="BM27" i="16" s="1"/>
  <c r="J160" i="16" s="1"/>
  <c r="CM12" i="15"/>
  <c r="CM13" i="15" s="1"/>
  <c r="CM14" i="15" s="1"/>
  <c r="CM15" i="15" s="1"/>
  <c r="CM16" i="15" s="1"/>
  <c r="CM17" i="15" s="1"/>
  <c r="CM18" i="15" s="1"/>
  <c r="CM19" i="15" s="1"/>
  <c r="CM20" i="15" s="1"/>
  <c r="CM21" i="15" s="1"/>
  <c r="CM22" i="15" s="1"/>
  <c r="CM23" i="15" s="1"/>
  <c r="CM24" i="15" s="1"/>
  <c r="CM25" i="15" s="1"/>
  <c r="CM26" i="15" s="1"/>
  <c r="CM27" i="15" s="1"/>
  <c r="K160" i="15" s="1"/>
  <c r="BO12" i="13"/>
  <c r="BO13" i="13" s="1"/>
  <c r="BO14" i="13" s="1"/>
  <c r="BO15" i="13" s="1"/>
  <c r="BO16" i="13" s="1"/>
  <c r="BO17" i="13" s="1"/>
  <c r="BO18" i="13" s="1"/>
  <c r="BO19" i="13" s="1"/>
  <c r="BO20" i="13" s="1"/>
  <c r="BO21" i="13" s="1"/>
  <c r="BO22" i="13" s="1"/>
  <c r="BO23" i="13" s="1"/>
  <c r="BO24" i="13" s="1"/>
  <c r="BO25" i="13" s="1"/>
  <c r="BO26" i="13" s="1"/>
  <c r="BO27" i="13" s="1"/>
  <c r="J160" i="13" s="1"/>
  <c r="S12" i="16"/>
  <c r="S13" i="16" s="1"/>
  <c r="S14" i="16" s="1"/>
  <c r="S15" i="16" s="1"/>
  <c r="S16" i="16" s="1"/>
  <c r="S17" i="16" s="1"/>
  <c r="S18" i="16" s="1"/>
  <c r="S19" i="16" s="1"/>
  <c r="S20" i="16" s="1"/>
  <c r="S21" i="16" s="1"/>
  <c r="S22" i="16" s="1"/>
  <c r="S23" i="16" s="1"/>
  <c r="S24" i="16" s="1"/>
  <c r="S25" i="16" s="1"/>
  <c r="S26" i="16" s="1"/>
  <c r="S27" i="16" s="1"/>
  <c r="H160" i="16" s="1"/>
  <c r="CM12" i="14"/>
  <c r="CM13" i="14" s="1"/>
  <c r="CM14" i="14" s="1"/>
  <c r="CM15" i="14" s="1"/>
  <c r="CM16" i="14" s="1"/>
  <c r="DK12" i="14"/>
  <c r="DK13" i="14" s="1"/>
  <c r="DK14" i="14" s="1"/>
  <c r="DK15" i="14" s="1"/>
  <c r="DK16" i="14" s="1"/>
  <c r="S12" i="13"/>
  <c r="S13" i="13" s="1"/>
  <c r="S14" i="13" s="1"/>
  <c r="S15" i="13" s="1"/>
  <c r="S16" i="13" s="1"/>
  <c r="S17" i="13" s="1"/>
  <c r="S18" i="13" s="1"/>
  <c r="S19" i="13" s="1"/>
  <c r="S20" i="13" s="1"/>
  <c r="S21" i="13" s="1"/>
  <c r="S22" i="13" s="1"/>
  <c r="S23" i="13" s="1"/>
  <c r="S24" i="13" s="1"/>
  <c r="S25" i="13" s="1"/>
  <c r="S26" i="13" s="1"/>
  <c r="DG12" i="16"/>
  <c r="DG13" i="16" s="1"/>
  <c r="DG14" i="16" s="1"/>
  <c r="DG15" i="16" s="1"/>
  <c r="DG16" i="16" s="1"/>
  <c r="DG17" i="16" s="1"/>
  <c r="DG18" i="16" s="1"/>
  <c r="DG19" i="16" s="1"/>
  <c r="DG20" i="16" s="1"/>
  <c r="DG21" i="16" s="1"/>
  <c r="DG22" i="16" s="1"/>
  <c r="DG23" i="16" s="1"/>
  <c r="DG24" i="16" s="1"/>
  <c r="DG25" i="16" s="1"/>
  <c r="DG26" i="16" s="1"/>
  <c r="DG27" i="16" s="1"/>
  <c r="L160" i="16" s="1"/>
  <c r="AQ12" i="14"/>
  <c r="AQ13" i="14" s="1"/>
  <c r="AQ14" i="14" s="1"/>
  <c r="AQ15" i="14" s="1"/>
  <c r="AQ16" i="14" s="1"/>
  <c r="DK12" i="15"/>
  <c r="DK13" i="15" s="1"/>
  <c r="DK14" i="15" s="1"/>
  <c r="DK15" i="15" s="1"/>
  <c r="DK16" i="15" s="1"/>
  <c r="DK17" i="15" s="1"/>
  <c r="DK18" i="15" s="1"/>
  <c r="DK19" i="15" s="1"/>
  <c r="DK20" i="15" s="1"/>
  <c r="DK21" i="15" s="1"/>
  <c r="DK22" i="15" s="1"/>
  <c r="DK23" i="15" s="1"/>
  <c r="DK24" i="15" s="1"/>
  <c r="DK25" i="15" s="1"/>
  <c r="DK26" i="15" s="1"/>
  <c r="DK27" i="15" s="1"/>
  <c r="L160" i="15" s="1"/>
  <c r="BO12" i="14"/>
  <c r="BO13" i="14" s="1"/>
  <c r="BO14" i="14" s="1"/>
  <c r="BO15" i="14" s="1"/>
  <c r="BO16" i="14" s="1"/>
  <c r="S12" i="14"/>
  <c r="AQ12" i="13"/>
  <c r="AQ13" i="13" s="1"/>
  <c r="AQ14" i="13" s="1"/>
  <c r="AQ15" i="13" s="1"/>
  <c r="AQ16" i="13" s="1"/>
  <c r="AQ17" i="13" s="1"/>
  <c r="AQ18" i="13" s="1"/>
  <c r="AQ19" i="13" s="1"/>
  <c r="AQ20" i="13" s="1"/>
  <c r="AQ21" i="13" s="1"/>
  <c r="AQ22" i="13" s="1"/>
  <c r="AQ23" i="13" s="1"/>
  <c r="AQ24" i="13" s="1"/>
  <c r="AQ25" i="13" s="1"/>
  <c r="AQ26" i="13" s="1"/>
  <c r="AQ27" i="13" s="1"/>
  <c r="I160" i="13" s="1"/>
  <c r="CJ12" i="16"/>
  <c r="CJ13" i="16" s="1"/>
  <c r="CJ14" i="16" s="1"/>
  <c r="CJ15" i="16" s="1"/>
  <c r="CJ16" i="16" s="1"/>
  <c r="CJ17" i="16" s="1"/>
  <c r="CJ18" i="16" s="1"/>
  <c r="CJ19" i="16" s="1"/>
  <c r="CJ20" i="16" s="1"/>
  <c r="CJ21" i="16" s="1"/>
  <c r="CJ22" i="16" s="1"/>
  <c r="CJ23" i="16" s="1"/>
  <c r="CJ24" i="16" s="1"/>
  <c r="CJ25" i="16" s="1"/>
  <c r="CJ26" i="16" s="1"/>
  <c r="CJ27" i="16" s="1"/>
  <c r="K160" i="16" s="1"/>
  <c r="S12" i="15"/>
  <c r="S13" i="15" s="1"/>
  <c r="S14" i="15" s="1"/>
  <c r="S15" i="15" s="1"/>
  <c r="S16" i="15" s="1"/>
  <c r="S17" i="15" s="1"/>
  <c r="S18" i="15" s="1"/>
  <c r="S19" i="15" s="1"/>
  <c r="S20" i="15" s="1"/>
  <c r="S21" i="15" s="1"/>
  <c r="S22" i="15" s="1"/>
  <c r="S23" i="15" s="1"/>
  <c r="S24" i="15" s="1"/>
  <c r="S25" i="15" s="1"/>
  <c r="S26" i="15" s="1"/>
  <c r="S27" i="15" s="1"/>
  <c r="H160" i="15" s="1"/>
  <c r="BO12" i="15"/>
  <c r="BO13" i="15" s="1"/>
  <c r="BO14" i="15" s="1"/>
  <c r="BO15" i="15" s="1"/>
  <c r="BO16" i="15" s="1"/>
  <c r="BO17" i="15" s="1"/>
  <c r="BO18" i="15" s="1"/>
  <c r="BO19" i="15" s="1"/>
  <c r="BO20" i="15" s="1"/>
  <c r="BO21" i="15" s="1"/>
  <c r="BO22" i="15" s="1"/>
  <c r="BO23" i="15" s="1"/>
  <c r="BO24" i="15" s="1"/>
  <c r="BO25" i="15" s="1"/>
  <c r="BO26" i="15" s="1"/>
  <c r="BO27" i="15" s="1"/>
  <c r="J160" i="15" s="1"/>
  <c r="AP12" i="16"/>
  <c r="AP13" i="16" s="1"/>
  <c r="AP14" i="16" s="1"/>
  <c r="AP15" i="16" s="1"/>
  <c r="AP16" i="16" s="1"/>
  <c r="AP17" i="16" s="1"/>
  <c r="AP18" i="16" s="1"/>
  <c r="AP19" i="16" s="1"/>
  <c r="AP20" i="16" s="1"/>
  <c r="AP21" i="16" s="1"/>
  <c r="AP22" i="16" s="1"/>
  <c r="AP23" i="16" s="1"/>
  <c r="AP24" i="16" s="1"/>
  <c r="AP25" i="16" s="1"/>
  <c r="AP26" i="16" s="1"/>
  <c r="AP27" i="16" s="1"/>
  <c r="I160" i="16" s="1"/>
  <c r="E18" i="14"/>
  <c r="N18" i="14" s="1"/>
  <c r="E17" i="14"/>
  <c r="N17" i="14" s="1"/>
  <c r="E20" i="14"/>
  <c r="N20" i="14" s="1"/>
  <c r="E19" i="14"/>
  <c r="N19" i="14" s="1"/>
  <c r="M11" i="7"/>
  <c r="DK88" i="14"/>
  <c r="S113" i="15"/>
  <c r="CJ113" i="16"/>
  <c r="CJ114" i="16" s="1"/>
  <c r="AQ88" i="14"/>
  <c r="S88" i="15"/>
  <c r="DK88" i="15"/>
  <c r="CJ88" i="16"/>
  <c r="AQ113" i="15"/>
  <c r="S113" i="16"/>
  <c r="DG113" i="16"/>
  <c r="S113" i="13"/>
  <c r="AQ113" i="13"/>
  <c r="BO113" i="13"/>
  <c r="CM113" i="13"/>
  <c r="DK113" i="13"/>
  <c r="S113" i="14"/>
  <c r="AQ113" i="14"/>
  <c r="BO113" i="14"/>
  <c r="CM113" i="14"/>
  <c r="DK113" i="14"/>
  <c r="CM88" i="15"/>
  <c r="BO88" i="14"/>
  <c r="AQ88" i="15"/>
  <c r="S88" i="16"/>
  <c r="DG88" i="16"/>
  <c r="AQ88" i="13"/>
  <c r="DK88" i="13"/>
  <c r="BO113" i="15"/>
  <c r="AP113" i="16"/>
  <c r="AP114" i="16" s="1"/>
  <c r="AP115" i="16" s="1"/>
  <c r="AP116" i="16" s="1"/>
  <c r="S88" i="14"/>
  <c r="BM88" i="16"/>
  <c r="CM88" i="13"/>
  <c r="DK113" i="15"/>
  <c r="AC53" i="13"/>
  <c r="AL53" i="13" s="1"/>
  <c r="AC49" i="13"/>
  <c r="AL49" i="13" s="1"/>
  <c r="AC45" i="13"/>
  <c r="AL45" i="13" s="1"/>
  <c r="AC41" i="13"/>
  <c r="AL41" i="13" s="1"/>
  <c r="AC51" i="13"/>
  <c r="AL51" i="13" s="1"/>
  <c r="AC47" i="13"/>
  <c r="AL47" i="13" s="1"/>
  <c r="AC43" i="13"/>
  <c r="AL43" i="13" s="1"/>
  <c r="AC39" i="13"/>
  <c r="AL39" i="13" s="1"/>
  <c r="AC48" i="13"/>
  <c r="AL48" i="13" s="1"/>
  <c r="AC40" i="13"/>
  <c r="AL40" i="13" s="1"/>
  <c r="AC52" i="13"/>
  <c r="AL52" i="13" s="1"/>
  <c r="AC44" i="13"/>
  <c r="AL44" i="13" s="1"/>
  <c r="AC38" i="13"/>
  <c r="AL38" i="13" s="1"/>
  <c r="AC42" i="13"/>
  <c r="AL42" i="13" s="1"/>
  <c r="AC50" i="13"/>
  <c r="AL50" i="13" s="1"/>
  <c r="CM88" i="14"/>
  <c r="BO88" i="15"/>
  <c r="AP88" i="16"/>
  <c r="S88" i="13"/>
  <c r="BO88" i="13"/>
  <c r="CM113" i="15"/>
  <c r="BM113" i="16"/>
  <c r="AC46" i="13"/>
  <c r="AL46" i="13" s="1"/>
  <c r="AE66" i="10"/>
  <c r="AE67" i="10" s="1"/>
  <c r="AE68" i="10" s="1"/>
  <c r="AE69" i="10" s="1"/>
  <c r="AE70" i="10" s="1"/>
  <c r="AE71" i="10" s="1"/>
  <c r="AE72" i="10" s="1"/>
  <c r="AE73" i="10" s="1"/>
  <c r="AE74" i="10" s="1"/>
  <c r="AE75" i="10" s="1"/>
  <c r="AE76" i="10" s="1"/>
  <c r="AE77" i="10" s="1"/>
  <c r="AE78" i="10" s="1"/>
  <c r="AE79" i="10" s="1"/>
  <c r="AE80" i="10" s="1"/>
  <c r="W11" i="8"/>
  <c r="AA42" i="16"/>
  <c r="AB42" i="16" s="1"/>
  <c r="AK42" i="16" s="1"/>
  <c r="AA50" i="16"/>
  <c r="AB50" i="16" s="1"/>
  <c r="AK50" i="16" s="1"/>
  <c r="CV38" i="15"/>
  <c r="CW38" i="15" s="1"/>
  <c r="DF38" i="15" s="1"/>
  <c r="BX38" i="15"/>
  <c r="BY38" i="15" s="1"/>
  <c r="CH38" i="15" s="1"/>
  <c r="AZ38" i="15"/>
  <c r="BA38" i="15" s="1"/>
  <c r="BJ38" i="15" s="1"/>
  <c r="AB46" i="15"/>
  <c r="AC46" i="15" s="1"/>
  <c r="AL46" i="15" s="1"/>
  <c r="AB38" i="15"/>
  <c r="AC38" i="15" s="1"/>
  <c r="AL38" i="15" s="1"/>
  <c r="CV53" i="14"/>
  <c r="CW53" i="14" s="1"/>
  <c r="DF53" i="14" s="1"/>
  <c r="CV47" i="14"/>
  <c r="CW47" i="14" s="1"/>
  <c r="DF47" i="14" s="1"/>
  <c r="CV40" i="14"/>
  <c r="CW40" i="14" s="1"/>
  <c r="DF40" i="14" s="1"/>
  <c r="AZ44" i="14"/>
  <c r="BA44" i="14" s="1"/>
  <c r="BJ44" i="14" s="1"/>
  <c r="AZ52" i="14"/>
  <c r="BA52" i="14" s="1"/>
  <c r="BJ52" i="14" s="1"/>
  <c r="AB46" i="14"/>
  <c r="AC46" i="14" s="1"/>
  <c r="AL46" i="14" s="1"/>
  <c r="AB38" i="14"/>
  <c r="AC38" i="14" s="1"/>
  <c r="AL38" i="14" s="1"/>
  <c r="BX46" i="14"/>
  <c r="BY46" i="14" s="1"/>
  <c r="CH46" i="14" s="1"/>
  <c r="CW39" i="13"/>
  <c r="DF39" i="13" s="1"/>
  <c r="CW47" i="13"/>
  <c r="DF47" i="13" s="1"/>
  <c r="BY39" i="13"/>
  <c r="CH39" i="13" s="1"/>
  <c r="BY47" i="13"/>
  <c r="CH47" i="13" s="1"/>
  <c r="BA46" i="13"/>
  <c r="BJ46" i="13" s="1"/>
  <c r="BA38" i="13"/>
  <c r="BJ38" i="13" s="1"/>
  <c r="D47" i="16"/>
  <c r="E47" i="16" s="1"/>
  <c r="N47" i="16" s="1"/>
  <c r="D49" i="15"/>
  <c r="E49" i="15" s="1"/>
  <c r="N49" i="15" s="1"/>
  <c r="D51" i="14"/>
  <c r="E51" i="14" s="1"/>
  <c r="N51" i="14" s="1"/>
  <c r="D47" i="14"/>
  <c r="E47" i="14" s="1"/>
  <c r="N47" i="14" s="1"/>
  <c r="D43" i="14"/>
  <c r="E43" i="14" s="1"/>
  <c r="N43" i="14" s="1"/>
  <c r="CR51" i="16"/>
  <c r="CS51" i="16" s="1"/>
  <c r="DB51" i="16" s="1"/>
  <c r="CR47" i="16"/>
  <c r="CS47" i="16" s="1"/>
  <c r="DB47" i="16" s="1"/>
  <c r="CR43" i="16"/>
  <c r="CS43" i="16" s="1"/>
  <c r="DB43" i="16" s="1"/>
  <c r="CR39" i="16"/>
  <c r="CS39" i="16" s="1"/>
  <c r="DB39" i="16" s="1"/>
  <c r="BU51" i="16"/>
  <c r="BV51" i="16" s="1"/>
  <c r="CE51" i="16" s="1"/>
  <c r="BU47" i="16"/>
  <c r="BV47" i="16" s="1"/>
  <c r="CE47" i="16" s="1"/>
  <c r="BU43" i="16"/>
  <c r="BV43" i="16" s="1"/>
  <c r="CE43" i="16" s="1"/>
  <c r="BU39" i="16"/>
  <c r="BV39" i="16" s="1"/>
  <c r="CE39" i="16" s="1"/>
  <c r="AX51" i="16"/>
  <c r="AY51" i="16" s="1"/>
  <c r="BH51" i="16" s="1"/>
  <c r="AX47" i="16"/>
  <c r="AY47" i="16" s="1"/>
  <c r="BH47" i="16" s="1"/>
  <c r="AX43" i="16"/>
  <c r="AY43" i="16" s="1"/>
  <c r="BH43" i="16" s="1"/>
  <c r="AX39" i="16"/>
  <c r="AY39" i="16" s="1"/>
  <c r="BH39" i="16" s="1"/>
  <c r="AA43" i="16"/>
  <c r="AB43" i="16" s="1"/>
  <c r="AK43" i="16" s="1"/>
  <c r="AA51" i="16"/>
  <c r="AB51" i="16" s="1"/>
  <c r="AK51" i="16" s="1"/>
  <c r="CV53" i="15"/>
  <c r="CW53" i="15" s="1"/>
  <c r="DF53" i="15" s="1"/>
  <c r="CV49" i="15"/>
  <c r="CW49" i="15" s="1"/>
  <c r="DF49" i="15" s="1"/>
  <c r="CV45" i="15"/>
  <c r="CW45" i="15" s="1"/>
  <c r="DF45" i="15" s="1"/>
  <c r="CV41" i="15"/>
  <c r="CW41" i="15" s="1"/>
  <c r="DF41" i="15" s="1"/>
  <c r="BX53" i="15"/>
  <c r="BY53" i="15" s="1"/>
  <c r="CH53" i="15" s="1"/>
  <c r="BX49" i="15"/>
  <c r="BY49" i="15" s="1"/>
  <c r="CH49" i="15" s="1"/>
  <c r="BX45" i="15"/>
  <c r="BY45" i="15" s="1"/>
  <c r="CH45" i="15" s="1"/>
  <c r="BX41" i="15"/>
  <c r="BY41" i="15" s="1"/>
  <c r="CH41" i="15" s="1"/>
  <c r="AZ53" i="15"/>
  <c r="BA53" i="15" s="1"/>
  <c r="BJ53" i="15" s="1"/>
  <c r="AZ49" i="15"/>
  <c r="BA49" i="15" s="1"/>
  <c r="BJ49" i="15" s="1"/>
  <c r="AZ45" i="15"/>
  <c r="BA45" i="15" s="1"/>
  <c r="BJ45" i="15" s="1"/>
  <c r="AZ41" i="15"/>
  <c r="BA41" i="15" s="1"/>
  <c r="BJ41" i="15" s="1"/>
  <c r="AB39" i="15"/>
  <c r="AC39" i="15" s="1"/>
  <c r="AL39" i="15" s="1"/>
  <c r="AB47" i="15"/>
  <c r="AC47" i="15" s="1"/>
  <c r="AL47" i="15" s="1"/>
  <c r="CV52" i="14"/>
  <c r="CW52" i="14" s="1"/>
  <c r="DF52" i="14" s="1"/>
  <c r="CV46" i="14"/>
  <c r="CW46" i="14" s="1"/>
  <c r="DF46" i="14" s="1"/>
  <c r="CV39" i="14"/>
  <c r="CW39" i="14" s="1"/>
  <c r="DF39" i="14" s="1"/>
  <c r="AZ45" i="14"/>
  <c r="BA45" i="14" s="1"/>
  <c r="BJ45" i="14" s="1"/>
  <c r="AZ38" i="14"/>
  <c r="BA38" i="14" s="1"/>
  <c r="BJ38" i="14" s="1"/>
  <c r="AB39" i="14"/>
  <c r="AC39" i="14" s="1"/>
  <c r="AL39" i="14" s="1"/>
  <c r="AB47" i="14"/>
  <c r="AC47" i="14" s="1"/>
  <c r="AL47" i="14" s="1"/>
  <c r="BX53" i="14"/>
  <c r="BY53" i="14" s="1"/>
  <c r="CH53" i="14" s="1"/>
  <c r="BX45" i="14"/>
  <c r="BY45" i="14" s="1"/>
  <c r="CH45" i="14" s="1"/>
  <c r="BX38" i="14"/>
  <c r="BY38" i="14" s="1"/>
  <c r="CH38" i="14" s="1"/>
  <c r="CW40" i="13"/>
  <c r="DF40" i="13" s="1"/>
  <c r="CW48" i="13"/>
  <c r="DF48" i="13" s="1"/>
  <c r="BY40" i="13"/>
  <c r="CH40" i="13" s="1"/>
  <c r="BY48" i="13"/>
  <c r="CH48" i="13" s="1"/>
  <c r="BA39" i="13"/>
  <c r="BJ39" i="13" s="1"/>
  <c r="BA47" i="13"/>
  <c r="BJ47" i="13" s="1"/>
  <c r="D52" i="16"/>
  <c r="E52" i="16" s="1"/>
  <c r="N52" i="16" s="1"/>
  <c r="D44" i="16"/>
  <c r="E44" i="16" s="1"/>
  <c r="N44" i="16" s="1"/>
  <c r="D39" i="16"/>
  <c r="E39" i="16" s="1"/>
  <c r="N39" i="16" s="1"/>
  <c r="D46" i="15"/>
  <c r="E46" i="15" s="1"/>
  <c r="N46" i="15" s="1"/>
  <c r="D41" i="15"/>
  <c r="E41" i="15" s="1"/>
  <c r="N41" i="15" s="1"/>
  <c r="D39" i="15"/>
  <c r="E39" i="15" s="1"/>
  <c r="N39" i="15" s="1"/>
  <c r="D39" i="14"/>
  <c r="E39" i="14" s="1"/>
  <c r="N39" i="14" s="1"/>
  <c r="AA44" i="16"/>
  <c r="AB44" i="16" s="1"/>
  <c r="AK44" i="16" s="1"/>
  <c r="AA52" i="16"/>
  <c r="AB52" i="16" s="1"/>
  <c r="AK52" i="16" s="1"/>
  <c r="AB40" i="15"/>
  <c r="AC40" i="15" s="1"/>
  <c r="AL40" i="15" s="1"/>
  <c r="AB48" i="15"/>
  <c r="AC48" i="15" s="1"/>
  <c r="AL48" i="15" s="1"/>
  <c r="CV51" i="14"/>
  <c r="CW51" i="14" s="1"/>
  <c r="DF51" i="14" s="1"/>
  <c r="CV45" i="14"/>
  <c r="CW45" i="14" s="1"/>
  <c r="DF45" i="14" s="1"/>
  <c r="AZ53" i="14"/>
  <c r="BA53" i="14" s="1"/>
  <c r="BJ53" i="14" s="1"/>
  <c r="AZ46" i="14"/>
  <c r="BA46" i="14" s="1"/>
  <c r="BJ46" i="14" s="1"/>
  <c r="AB40" i="14"/>
  <c r="AC40" i="14" s="1"/>
  <c r="AL40" i="14" s="1"/>
  <c r="AB48" i="14"/>
  <c r="AC48" i="14" s="1"/>
  <c r="AL48" i="14" s="1"/>
  <c r="BX52" i="14"/>
  <c r="BY52" i="14" s="1"/>
  <c r="CH52" i="14" s="1"/>
  <c r="BX44" i="14"/>
  <c r="BY44" i="14" s="1"/>
  <c r="CH44" i="14" s="1"/>
  <c r="CW41" i="13"/>
  <c r="DF41" i="13" s="1"/>
  <c r="CW49" i="13"/>
  <c r="DF49" i="13" s="1"/>
  <c r="BY41" i="13"/>
  <c r="CH41" i="13" s="1"/>
  <c r="BY49" i="13"/>
  <c r="CH49" i="13" s="1"/>
  <c r="BA40" i="13"/>
  <c r="BJ40" i="13" s="1"/>
  <c r="BA48" i="13"/>
  <c r="BJ48" i="13" s="1"/>
  <c r="D49" i="16"/>
  <c r="E49" i="16" s="1"/>
  <c r="N49" i="16" s="1"/>
  <c r="D41" i="16"/>
  <c r="E41" i="16" s="1"/>
  <c r="N41" i="16" s="1"/>
  <c r="D51" i="15"/>
  <c r="E51" i="15" s="1"/>
  <c r="N51" i="15" s="1"/>
  <c r="D50" i="14"/>
  <c r="E50" i="14" s="1"/>
  <c r="N50" i="14" s="1"/>
  <c r="D46" i="14"/>
  <c r="E46" i="14" s="1"/>
  <c r="N46" i="14" s="1"/>
  <c r="D42" i="14"/>
  <c r="E42" i="14" s="1"/>
  <c r="N42" i="14" s="1"/>
  <c r="CR38" i="16"/>
  <c r="CS38" i="16" s="1"/>
  <c r="DB38" i="16" s="1"/>
  <c r="BU38" i="16"/>
  <c r="BV38" i="16" s="1"/>
  <c r="CE38" i="16" s="1"/>
  <c r="AX38" i="16"/>
  <c r="AY38" i="16" s="1"/>
  <c r="BH38" i="16" s="1"/>
  <c r="AA46" i="16"/>
  <c r="AB46" i="16" s="1"/>
  <c r="AK46" i="16" s="1"/>
  <c r="AA38" i="16"/>
  <c r="AB38" i="16" s="1"/>
  <c r="AK38" i="16" s="1"/>
  <c r="AB42" i="15"/>
  <c r="AC42" i="15" s="1"/>
  <c r="AL42" i="15" s="1"/>
  <c r="AB50" i="15"/>
  <c r="AC50" i="15" s="1"/>
  <c r="AL50" i="15" s="1"/>
  <c r="CV50" i="14"/>
  <c r="CW50" i="14" s="1"/>
  <c r="DF50" i="14" s="1"/>
  <c r="CV43" i="14"/>
  <c r="CW43" i="14" s="1"/>
  <c r="DF43" i="14" s="1"/>
  <c r="AZ40" i="14"/>
  <c r="BA40" i="14" s="1"/>
  <c r="BJ40" i="14" s="1"/>
  <c r="AZ48" i="14"/>
  <c r="BA48" i="14" s="1"/>
  <c r="BJ48" i="14" s="1"/>
  <c r="AB42" i="14"/>
  <c r="AC42" i="14" s="1"/>
  <c r="AL42" i="14" s="1"/>
  <c r="AB50" i="14"/>
  <c r="AC50" i="14" s="1"/>
  <c r="AL50" i="14" s="1"/>
  <c r="BX50" i="14"/>
  <c r="BY50" i="14" s="1"/>
  <c r="CH50" i="14" s="1"/>
  <c r="BX42" i="14"/>
  <c r="BY42" i="14" s="1"/>
  <c r="CH42" i="14" s="1"/>
  <c r="CW43" i="13"/>
  <c r="DF43" i="13" s="1"/>
  <c r="CW51" i="13"/>
  <c r="DF51" i="13" s="1"/>
  <c r="BY43" i="13"/>
  <c r="CH43" i="13" s="1"/>
  <c r="BY51" i="13"/>
  <c r="CH51" i="13" s="1"/>
  <c r="BA42" i="13"/>
  <c r="BJ42" i="13" s="1"/>
  <c r="BA50" i="13"/>
  <c r="BJ50" i="13" s="1"/>
  <c r="D51" i="16"/>
  <c r="E51" i="16" s="1"/>
  <c r="N51" i="16" s="1"/>
  <c r="D43" i="16"/>
  <c r="E43" i="16" s="1"/>
  <c r="N43" i="16" s="1"/>
  <c r="D38" i="16"/>
  <c r="E38" i="16" s="1"/>
  <c r="N38" i="16" s="1"/>
  <c r="D53" i="15"/>
  <c r="E53" i="15" s="1"/>
  <c r="N53" i="15" s="1"/>
  <c r="D45" i="15"/>
  <c r="E45" i="15" s="1"/>
  <c r="N45" i="15" s="1"/>
  <c r="D40" i="15"/>
  <c r="E40" i="15" s="1"/>
  <c r="N40" i="15" s="1"/>
  <c r="D53" i="14"/>
  <c r="E53" i="14" s="1"/>
  <c r="N53" i="14" s="1"/>
  <c r="D49" i="14"/>
  <c r="E49" i="14" s="1"/>
  <c r="N49" i="14" s="1"/>
  <c r="D45" i="14"/>
  <c r="E45" i="14" s="1"/>
  <c r="N45" i="14" s="1"/>
  <c r="D41" i="14"/>
  <c r="E41" i="14" s="1"/>
  <c r="N41" i="14" s="1"/>
  <c r="CR42" i="16"/>
  <c r="CS42" i="16" s="1"/>
  <c r="DB42" i="16" s="1"/>
  <c r="BU53" i="16"/>
  <c r="BV53" i="16" s="1"/>
  <c r="CE53" i="16" s="1"/>
  <c r="BU44" i="16"/>
  <c r="BV44" i="16" s="1"/>
  <c r="CE44" i="16" s="1"/>
  <c r="AX50" i="16"/>
  <c r="AY50" i="16" s="1"/>
  <c r="BH50" i="16" s="1"/>
  <c r="AX41" i="16"/>
  <c r="AY41" i="16" s="1"/>
  <c r="BH41" i="16" s="1"/>
  <c r="AA41" i="16"/>
  <c r="AB41" i="16" s="1"/>
  <c r="AK41" i="16" s="1"/>
  <c r="CV50" i="15"/>
  <c r="CW50" i="15" s="1"/>
  <c r="DF50" i="15" s="1"/>
  <c r="BX47" i="15"/>
  <c r="BY47" i="15" s="1"/>
  <c r="CH47" i="15" s="1"/>
  <c r="AZ44" i="15"/>
  <c r="BA44" i="15" s="1"/>
  <c r="BJ44" i="15" s="1"/>
  <c r="AB49" i="15"/>
  <c r="AC49" i="15" s="1"/>
  <c r="AL49" i="15" s="1"/>
  <c r="AZ49" i="14"/>
  <c r="BA49" i="14" s="1"/>
  <c r="BJ49" i="14" s="1"/>
  <c r="AB52" i="14"/>
  <c r="AC52" i="14" s="1"/>
  <c r="AL52" i="14" s="1"/>
  <c r="BX40" i="14"/>
  <c r="BY40" i="14" s="1"/>
  <c r="CH40" i="14" s="1"/>
  <c r="CW42" i="13"/>
  <c r="DF42" i="13" s="1"/>
  <c r="BY42" i="13"/>
  <c r="CH42" i="13" s="1"/>
  <c r="BA53" i="13"/>
  <c r="BJ53" i="13" s="1"/>
  <c r="D42" i="16"/>
  <c r="E42" i="16" s="1"/>
  <c r="N42" i="16" s="1"/>
  <c r="D40" i="14"/>
  <c r="E40" i="14" s="1"/>
  <c r="N40" i="14" s="1"/>
  <c r="E50" i="13"/>
  <c r="N50" i="13" s="1"/>
  <c r="E46" i="13"/>
  <c r="N46" i="13" s="1"/>
  <c r="E42" i="13"/>
  <c r="N42" i="13" s="1"/>
  <c r="CV39" i="15"/>
  <c r="CW39" i="15" s="1"/>
  <c r="DF39" i="15" s="1"/>
  <c r="AB43" i="14"/>
  <c r="AC43" i="14" s="1"/>
  <c r="AL43" i="14" s="1"/>
  <c r="BY46" i="13"/>
  <c r="CH46" i="13" s="1"/>
  <c r="BA44" i="13"/>
  <c r="BJ44" i="13" s="1"/>
  <c r="CR46" i="16"/>
  <c r="CS46" i="16" s="1"/>
  <c r="DB46" i="16" s="1"/>
  <c r="BU48" i="16"/>
  <c r="BV48" i="16" s="1"/>
  <c r="CE48" i="16" s="1"/>
  <c r="AX45" i="16"/>
  <c r="AY45" i="16" s="1"/>
  <c r="BH45" i="16" s="1"/>
  <c r="AA45" i="16"/>
  <c r="AB45" i="16" s="1"/>
  <c r="AK45" i="16" s="1"/>
  <c r="CV40" i="15"/>
  <c r="CW40" i="15" s="1"/>
  <c r="DF40" i="15" s="1"/>
  <c r="BX51" i="15"/>
  <c r="BY51" i="15" s="1"/>
  <c r="CH51" i="15" s="1"/>
  <c r="BX42" i="15"/>
  <c r="BY42" i="15" s="1"/>
  <c r="CH42" i="15" s="1"/>
  <c r="AZ48" i="15"/>
  <c r="BA48" i="15" s="1"/>
  <c r="BJ48" i="15" s="1"/>
  <c r="AZ39" i="15"/>
  <c r="BA39" i="15" s="1"/>
  <c r="BJ39" i="15" s="1"/>
  <c r="AB51" i="15"/>
  <c r="AC51" i="15" s="1"/>
  <c r="AL51" i="15" s="1"/>
  <c r="CV42" i="14"/>
  <c r="CW42" i="14" s="1"/>
  <c r="DF42" i="14" s="1"/>
  <c r="AZ50" i="14"/>
  <c r="BA50" i="14" s="1"/>
  <c r="BJ50" i="14" s="1"/>
  <c r="AB53" i="14"/>
  <c r="AC53" i="14" s="1"/>
  <c r="AL53" i="14" s="1"/>
  <c r="BX39" i="14"/>
  <c r="BY39" i="14" s="1"/>
  <c r="CH39" i="14" s="1"/>
  <c r="CW44" i="13"/>
  <c r="DF44" i="13" s="1"/>
  <c r="BY44" i="13"/>
  <c r="CH44" i="13" s="1"/>
  <c r="BA41" i="13"/>
  <c r="BJ41" i="13" s="1"/>
  <c r="D48" i="16"/>
  <c r="E48" i="16" s="1"/>
  <c r="N48" i="16" s="1"/>
  <c r="D45" i="16"/>
  <c r="E45" i="16" s="1"/>
  <c r="N45" i="16" s="1"/>
  <c r="D52" i="15"/>
  <c r="E52" i="15" s="1"/>
  <c r="N52" i="15" s="1"/>
  <c r="D43" i="15"/>
  <c r="E43" i="15" s="1"/>
  <c r="N43" i="15" s="1"/>
  <c r="D52" i="14"/>
  <c r="E52" i="14" s="1"/>
  <c r="N52" i="14" s="1"/>
  <c r="AX53" i="16"/>
  <c r="AY53" i="16" s="1"/>
  <c r="BH53" i="16" s="1"/>
  <c r="AA48" i="16"/>
  <c r="AB48" i="16" s="1"/>
  <c r="AK48" i="16" s="1"/>
  <c r="BX50" i="15"/>
  <c r="BY50" i="15" s="1"/>
  <c r="CH50" i="15" s="1"/>
  <c r="BX49" i="14"/>
  <c r="BY49" i="14" s="1"/>
  <c r="CH49" i="14" s="1"/>
  <c r="CW46" i="13"/>
  <c r="DF46" i="13" s="1"/>
  <c r="D48" i="15"/>
  <c r="E48" i="15" s="1"/>
  <c r="N48" i="15" s="1"/>
  <c r="CR50" i="16"/>
  <c r="CS50" i="16" s="1"/>
  <c r="DB50" i="16" s="1"/>
  <c r="CR41" i="16"/>
  <c r="CS41" i="16" s="1"/>
  <c r="DB41" i="16" s="1"/>
  <c r="BU52" i="16"/>
  <c r="BV52" i="16" s="1"/>
  <c r="CE52" i="16" s="1"/>
  <c r="AX49" i="16"/>
  <c r="AY49" i="16" s="1"/>
  <c r="BH49" i="16" s="1"/>
  <c r="AX40" i="16"/>
  <c r="AY40" i="16" s="1"/>
  <c r="BH40" i="16" s="1"/>
  <c r="AA47" i="16"/>
  <c r="AB47" i="16" s="1"/>
  <c r="AK47" i="16" s="1"/>
  <c r="CV44" i="15"/>
  <c r="CW44" i="15" s="1"/>
  <c r="DF44" i="15" s="1"/>
  <c r="BX46" i="15"/>
  <c r="BY46" i="15" s="1"/>
  <c r="CH46" i="15" s="1"/>
  <c r="AZ52" i="15"/>
  <c r="BA52" i="15" s="1"/>
  <c r="BJ52" i="15" s="1"/>
  <c r="AZ43" i="15"/>
  <c r="BA43" i="15" s="1"/>
  <c r="BJ43" i="15" s="1"/>
  <c r="AB52" i="15"/>
  <c r="AC52" i="15" s="1"/>
  <c r="AL52" i="15" s="1"/>
  <c r="CV41" i="14"/>
  <c r="CW41" i="14" s="1"/>
  <c r="DF41" i="14" s="1"/>
  <c r="AZ51" i="14"/>
  <c r="BA51" i="14" s="1"/>
  <c r="BJ51" i="14" s="1"/>
  <c r="AB41" i="14"/>
  <c r="AC41" i="14" s="1"/>
  <c r="AL41" i="14" s="1"/>
  <c r="BX51" i="14"/>
  <c r="BY51" i="14" s="1"/>
  <c r="CH51" i="14" s="1"/>
  <c r="CW45" i="13"/>
  <c r="DF45" i="13" s="1"/>
  <c r="BY45" i="13"/>
  <c r="CH45" i="13" s="1"/>
  <c r="BA43" i="13"/>
  <c r="BJ43" i="13" s="1"/>
  <c r="E53" i="13"/>
  <c r="N53" i="13" s="1"/>
  <c r="E49" i="13"/>
  <c r="N49" i="13" s="1"/>
  <c r="E45" i="13"/>
  <c r="N45" i="13" s="1"/>
  <c r="E41" i="13"/>
  <c r="N41" i="13" s="1"/>
  <c r="E38" i="13"/>
  <c r="N38" i="13" s="1"/>
  <c r="CR45" i="16"/>
  <c r="CS45" i="16" s="1"/>
  <c r="DB45" i="16" s="1"/>
  <c r="BU42" i="16"/>
  <c r="BV42" i="16" s="1"/>
  <c r="CE42" i="16" s="1"/>
  <c r="AX44" i="16"/>
  <c r="AY44" i="16" s="1"/>
  <c r="BH44" i="16" s="1"/>
  <c r="CV48" i="15"/>
  <c r="CW48" i="15" s="1"/>
  <c r="DF48" i="15" s="1"/>
  <c r="AZ47" i="15"/>
  <c r="BA47" i="15" s="1"/>
  <c r="BJ47" i="15" s="1"/>
  <c r="AB53" i="15"/>
  <c r="AC53" i="15" s="1"/>
  <c r="AL53" i="15" s="1"/>
  <c r="AZ39" i="14"/>
  <c r="BA39" i="14" s="1"/>
  <c r="BJ39" i="14" s="1"/>
  <c r="D44" i="14"/>
  <c r="E44" i="14" s="1"/>
  <c r="N44" i="14" s="1"/>
  <c r="CR53" i="16"/>
  <c r="CS53" i="16" s="1"/>
  <c r="DB53" i="16" s="1"/>
  <c r="CR44" i="16"/>
  <c r="CS44" i="16" s="1"/>
  <c r="DB44" i="16" s="1"/>
  <c r="BU50" i="16"/>
  <c r="BV50" i="16" s="1"/>
  <c r="CE50" i="16" s="1"/>
  <c r="BU41" i="16"/>
  <c r="BV41" i="16" s="1"/>
  <c r="CE41" i="16" s="1"/>
  <c r="AX52" i="16"/>
  <c r="AY52" i="16" s="1"/>
  <c r="BH52" i="16" s="1"/>
  <c r="AA53" i="16"/>
  <c r="AB53" i="16" s="1"/>
  <c r="AK53" i="16" s="1"/>
  <c r="CV47" i="15"/>
  <c r="CW47" i="15" s="1"/>
  <c r="DF47" i="15" s="1"/>
  <c r="BX44" i="15"/>
  <c r="BY44" i="15" s="1"/>
  <c r="CH44" i="15" s="1"/>
  <c r="AZ46" i="15"/>
  <c r="BA46" i="15" s="1"/>
  <c r="BJ46" i="15" s="1"/>
  <c r="AB43" i="15"/>
  <c r="AC43" i="15" s="1"/>
  <c r="AL43" i="15" s="1"/>
  <c r="AZ42" i="14"/>
  <c r="BA42" i="14" s="1"/>
  <c r="BJ42" i="14" s="1"/>
  <c r="AB45" i="14"/>
  <c r="AC45" i="14" s="1"/>
  <c r="AL45" i="14" s="1"/>
  <c r="BX47" i="14"/>
  <c r="BY47" i="14" s="1"/>
  <c r="CH47" i="14" s="1"/>
  <c r="CW52" i="13"/>
  <c r="DF52" i="13" s="1"/>
  <c r="BY52" i="13"/>
  <c r="CH52" i="13" s="1"/>
  <c r="BA49" i="13"/>
  <c r="BJ49" i="13" s="1"/>
  <c r="D53" i="16"/>
  <c r="E53" i="16" s="1"/>
  <c r="N53" i="16" s="1"/>
  <c r="D40" i="16"/>
  <c r="E40" i="16" s="1"/>
  <c r="N40" i="16" s="1"/>
  <c r="D44" i="15"/>
  <c r="E44" i="15" s="1"/>
  <c r="N44" i="15" s="1"/>
  <c r="D38" i="14"/>
  <c r="E38" i="14" s="1"/>
  <c r="N38" i="14" s="1"/>
  <c r="CR48" i="16"/>
  <c r="CS48" i="16" s="1"/>
  <c r="DB48" i="16" s="1"/>
  <c r="BU45" i="16"/>
  <c r="BV45" i="16" s="1"/>
  <c r="CE45" i="16" s="1"/>
  <c r="AX42" i="16"/>
  <c r="AY42" i="16" s="1"/>
  <c r="BH42" i="16" s="1"/>
  <c r="AA39" i="16"/>
  <c r="AB39" i="16" s="1"/>
  <c r="AK39" i="16" s="1"/>
  <c r="CV51" i="15"/>
  <c r="CW51" i="15" s="1"/>
  <c r="DF51" i="15" s="1"/>
  <c r="CV42" i="15"/>
  <c r="CW42" i="15" s="1"/>
  <c r="DF42" i="15" s="1"/>
  <c r="BX48" i="15"/>
  <c r="BY48" i="15" s="1"/>
  <c r="CH48" i="15" s="1"/>
  <c r="BX39" i="15"/>
  <c r="BY39" i="15" s="1"/>
  <c r="CH39" i="15" s="1"/>
  <c r="AZ50" i="15"/>
  <c r="BA50" i="15" s="1"/>
  <c r="BJ50" i="15" s="1"/>
  <c r="AB44" i="15"/>
  <c r="AC44" i="15" s="1"/>
  <c r="AL44" i="15" s="1"/>
  <c r="CV48" i="14"/>
  <c r="CW48" i="14" s="1"/>
  <c r="DF48" i="14" s="1"/>
  <c r="AZ43" i="14"/>
  <c r="BA43" i="14" s="1"/>
  <c r="BJ43" i="14" s="1"/>
  <c r="AB49" i="14"/>
  <c r="AC49" i="14" s="1"/>
  <c r="AL49" i="14" s="1"/>
  <c r="BX43" i="14"/>
  <c r="BY43" i="14" s="1"/>
  <c r="CH43" i="14" s="1"/>
  <c r="CW53" i="13"/>
  <c r="DF53" i="13" s="1"/>
  <c r="BY53" i="13"/>
  <c r="CH53" i="13" s="1"/>
  <c r="BA51" i="13"/>
  <c r="BJ51" i="13" s="1"/>
  <c r="D46" i="16"/>
  <c r="E46" i="16" s="1"/>
  <c r="N46" i="16" s="1"/>
  <c r="CR49" i="16"/>
  <c r="CS49" i="16" s="1"/>
  <c r="DB49" i="16" s="1"/>
  <c r="CV52" i="15"/>
  <c r="CW52" i="15" s="1"/>
  <c r="DF52" i="15" s="1"/>
  <c r="AB41" i="15"/>
  <c r="AC41" i="15" s="1"/>
  <c r="AL41" i="15" s="1"/>
  <c r="CV38" i="14"/>
  <c r="CW38" i="14" s="1"/>
  <c r="DF38" i="14" s="1"/>
  <c r="AZ47" i="14"/>
  <c r="BA47" i="14" s="1"/>
  <c r="BJ47" i="14" s="1"/>
  <c r="AB44" i="14"/>
  <c r="AC44" i="14" s="1"/>
  <c r="AL44" i="14" s="1"/>
  <c r="E48" i="13"/>
  <c r="N48" i="13" s="1"/>
  <c r="E43" i="13"/>
  <c r="N43" i="13" s="1"/>
  <c r="CV43" i="15"/>
  <c r="CW43" i="15" s="1"/>
  <c r="DF43" i="15" s="1"/>
  <c r="D47" i="15"/>
  <c r="E47" i="15" s="1"/>
  <c r="N47" i="15" s="1"/>
  <c r="AX48" i="16"/>
  <c r="AY48" i="16" s="1"/>
  <c r="BH48" i="16" s="1"/>
  <c r="BA45" i="13"/>
  <c r="BJ45" i="13" s="1"/>
  <c r="D48" i="14"/>
  <c r="E48" i="14" s="1"/>
  <c r="N48" i="14" s="1"/>
  <c r="E44" i="13"/>
  <c r="N44" i="13" s="1"/>
  <c r="AZ41" i="14"/>
  <c r="BA41" i="14" s="1"/>
  <c r="BJ41" i="14" s="1"/>
  <c r="AX46" i="16"/>
  <c r="AY46" i="16" s="1"/>
  <c r="BH46" i="16" s="1"/>
  <c r="BX40" i="15"/>
  <c r="BY40" i="15" s="1"/>
  <c r="CH40" i="15" s="1"/>
  <c r="AZ42" i="15"/>
  <c r="BA42" i="15" s="1"/>
  <c r="BJ42" i="15" s="1"/>
  <c r="AB45" i="15"/>
  <c r="AC45" i="15" s="1"/>
  <c r="AL45" i="15" s="1"/>
  <c r="AB51" i="14"/>
  <c r="AC51" i="14" s="1"/>
  <c r="AL51" i="14" s="1"/>
  <c r="CW50" i="13"/>
  <c r="DF50" i="13" s="1"/>
  <c r="AA40" i="16"/>
  <c r="AB40" i="16" s="1"/>
  <c r="AK40" i="16" s="1"/>
  <c r="BX52" i="15"/>
  <c r="BY52" i="15" s="1"/>
  <c r="CH52" i="15" s="1"/>
  <c r="BX41" i="14"/>
  <c r="BY41" i="14" s="1"/>
  <c r="CH41" i="14" s="1"/>
  <c r="BY50" i="13"/>
  <c r="CH50" i="13" s="1"/>
  <c r="CV44" i="14"/>
  <c r="CW44" i="14" s="1"/>
  <c r="DF44" i="14" s="1"/>
  <c r="CV46" i="15"/>
  <c r="CW46" i="15" s="1"/>
  <c r="DF46" i="15" s="1"/>
  <c r="BA52" i="13"/>
  <c r="BJ52" i="13" s="1"/>
  <c r="CR40" i="16"/>
  <c r="CS40" i="16" s="1"/>
  <c r="DB40" i="16" s="1"/>
  <c r="BU49" i="16"/>
  <c r="BV49" i="16" s="1"/>
  <c r="CE49" i="16" s="1"/>
  <c r="BX48" i="14"/>
  <c r="BY48" i="14" s="1"/>
  <c r="CH48" i="14" s="1"/>
  <c r="CW38" i="13"/>
  <c r="DF38" i="13" s="1"/>
  <c r="D38" i="15"/>
  <c r="E38" i="15" s="1"/>
  <c r="N38" i="15" s="1"/>
  <c r="E52" i="13"/>
  <c r="N52" i="13" s="1"/>
  <c r="E47" i="13"/>
  <c r="N47" i="13" s="1"/>
  <c r="CR52" i="16"/>
  <c r="CS52" i="16" s="1"/>
  <c r="DB52" i="16" s="1"/>
  <c r="AA49" i="16"/>
  <c r="AB49" i="16" s="1"/>
  <c r="AK49" i="16" s="1"/>
  <c r="AZ40" i="15"/>
  <c r="BA40" i="15" s="1"/>
  <c r="BJ40" i="15" s="1"/>
  <c r="BY38" i="13"/>
  <c r="CH38" i="13" s="1"/>
  <c r="D50" i="15"/>
  <c r="E50" i="15" s="1"/>
  <c r="N50" i="15" s="1"/>
  <c r="E51" i="13"/>
  <c r="N51" i="13" s="1"/>
  <c r="E40" i="13"/>
  <c r="N40" i="13" s="1"/>
  <c r="BU40" i="16"/>
  <c r="BV40" i="16" s="1"/>
  <c r="CE40" i="16" s="1"/>
  <c r="BX43" i="15"/>
  <c r="BY43" i="15" s="1"/>
  <c r="CH43" i="15" s="1"/>
  <c r="CV49" i="14"/>
  <c r="CW49" i="14" s="1"/>
  <c r="DF49" i="14" s="1"/>
  <c r="D50" i="16"/>
  <c r="E50" i="16" s="1"/>
  <c r="N50" i="16" s="1"/>
  <c r="BU46" i="16"/>
  <c r="BV46" i="16" s="1"/>
  <c r="CE46" i="16" s="1"/>
  <c r="AZ51" i="15"/>
  <c r="BA51" i="15" s="1"/>
  <c r="BJ51" i="15" s="1"/>
  <c r="D42" i="15"/>
  <c r="E42" i="15" s="1"/>
  <c r="N42" i="15" s="1"/>
  <c r="E39" i="13"/>
  <c r="N39" i="13" s="1"/>
  <c r="E94" i="10"/>
  <c r="F94" i="10" s="1"/>
  <c r="Z94" i="10" s="1"/>
  <c r="E102" i="10"/>
  <c r="F102" i="10" s="1"/>
  <c r="Z102" i="10" s="1"/>
  <c r="E105" i="10"/>
  <c r="F105" i="10" s="1"/>
  <c r="Z105" i="10" s="1"/>
  <c r="E106" i="10"/>
  <c r="F106" i="10" s="1"/>
  <c r="Z106" i="10" s="1"/>
  <c r="E95" i="10"/>
  <c r="F95" i="10" s="1"/>
  <c r="Z95" i="10" s="1"/>
  <c r="E103" i="10"/>
  <c r="F103" i="10" s="1"/>
  <c r="Z103" i="10" s="1"/>
  <c r="E97" i="10"/>
  <c r="F97" i="10" s="1"/>
  <c r="Z97" i="10" s="1"/>
  <c r="E101" i="10"/>
  <c r="F101" i="10" s="1"/>
  <c r="Z101" i="10" s="1"/>
  <c r="E96" i="10"/>
  <c r="F96" i="10" s="1"/>
  <c r="Z96" i="10" s="1"/>
  <c r="E104" i="10"/>
  <c r="F104" i="10" s="1"/>
  <c r="Z104" i="10" s="1"/>
  <c r="E98" i="10"/>
  <c r="F98" i="10" s="1"/>
  <c r="Z98" i="10" s="1"/>
  <c r="E99" i="10"/>
  <c r="F99" i="10" s="1"/>
  <c r="Z99" i="10" s="1"/>
  <c r="E91" i="10"/>
  <c r="F91" i="10" s="1"/>
  <c r="Z91" i="10" s="1"/>
  <c r="E92" i="10"/>
  <c r="F92" i="10" s="1"/>
  <c r="Z92" i="10" s="1"/>
  <c r="E100" i="10"/>
  <c r="F100" i="10" s="1"/>
  <c r="Z100" i="10" s="1"/>
  <c r="E93" i="10"/>
  <c r="F93" i="10" s="1"/>
  <c r="Z93" i="10" s="1"/>
  <c r="AD20" i="2"/>
  <c r="W20" i="2"/>
  <c r="P20" i="2"/>
  <c r="I20" i="2"/>
  <c r="S27" i="13" l="1"/>
  <c r="H160" i="13" s="1"/>
  <c r="D63" i="22"/>
  <c r="CM89" i="13"/>
  <c r="D72" i="22"/>
  <c r="D62" i="22"/>
  <c r="D69" i="22"/>
  <c r="D71" i="22"/>
  <c r="D65" i="22"/>
  <c r="D66" i="22"/>
  <c r="D68" i="22"/>
  <c r="DK38" i="15"/>
  <c r="DK39" i="15" s="1"/>
  <c r="DK40" i="15" s="1"/>
  <c r="DK41" i="15" s="1"/>
  <c r="DK42" i="15" s="1"/>
  <c r="DK43" i="15" s="1"/>
  <c r="DK44" i="15" s="1"/>
  <c r="DK45" i="15" s="1"/>
  <c r="DK46" i="15" s="1"/>
  <c r="DK47" i="15" s="1"/>
  <c r="DK48" i="15" s="1"/>
  <c r="DK49" i="15" s="1"/>
  <c r="DK50" i="15" s="1"/>
  <c r="DK51" i="15" s="1"/>
  <c r="DK52" i="15" s="1"/>
  <c r="DK53" i="15" s="1"/>
  <c r="Q160" i="15" s="1"/>
  <c r="DK38" i="13"/>
  <c r="DK39" i="13" s="1"/>
  <c r="DK40" i="13" s="1"/>
  <c r="DK41" i="13" s="1"/>
  <c r="DK42" i="13" s="1"/>
  <c r="DK43" i="13" s="1"/>
  <c r="DK44" i="13" s="1"/>
  <c r="DK45" i="13" s="1"/>
  <c r="DK46" i="13" s="1"/>
  <c r="DK47" i="13" s="1"/>
  <c r="DK48" i="13" s="1"/>
  <c r="DK49" i="13" s="1"/>
  <c r="DK50" i="13" s="1"/>
  <c r="DK51" i="13" s="1"/>
  <c r="DK52" i="13" s="1"/>
  <c r="DK53" i="13" s="1"/>
  <c r="Q160" i="13" s="1"/>
  <c r="DK38" i="14"/>
  <c r="DK39" i="14" s="1"/>
  <c r="DK40" i="14" s="1"/>
  <c r="DK41" i="14" s="1"/>
  <c r="DK42" i="14" s="1"/>
  <c r="DK43" i="14" s="1"/>
  <c r="DK44" i="14" s="1"/>
  <c r="DK45" i="14" s="1"/>
  <c r="DK46" i="14" s="1"/>
  <c r="DK47" i="14" s="1"/>
  <c r="DK48" i="14" s="1"/>
  <c r="DK49" i="14" s="1"/>
  <c r="DK50" i="14" s="1"/>
  <c r="DK51" i="14" s="1"/>
  <c r="DK52" i="14" s="1"/>
  <c r="DK53" i="14" s="1"/>
  <c r="Q160" i="14" s="1"/>
  <c r="AP38" i="16"/>
  <c r="AP39" i="16" s="1"/>
  <c r="AP40" i="16" s="1"/>
  <c r="AP41" i="16" s="1"/>
  <c r="AP42" i="16" s="1"/>
  <c r="AP43" i="16" s="1"/>
  <c r="AP44" i="16" s="1"/>
  <c r="AP45" i="16" s="1"/>
  <c r="AP46" i="16" s="1"/>
  <c r="AP47" i="16" s="1"/>
  <c r="AP48" i="16" s="1"/>
  <c r="AP49" i="16" s="1"/>
  <c r="AP50" i="16" s="1"/>
  <c r="AP51" i="16" s="1"/>
  <c r="AP52" i="16" s="1"/>
  <c r="AP53" i="16" s="1"/>
  <c r="N160" i="16" s="1"/>
  <c r="DG38" i="16"/>
  <c r="DG39" i="16" s="1"/>
  <c r="DG40" i="16" s="1"/>
  <c r="DG41" i="16" s="1"/>
  <c r="DG42" i="16" s="1"/>
  <c r="DG43" i="16" s="1"/>
  <c r="DG44" i="16" s="1"/>
  <c r="DG45" i="16" s="1"/>
  <c r="DG46" i="16" s="1"/>
  <c r="DG47" i="16" s="1"/>
  <c r="DG48" i="16" s="1"/>
  <c r="DG49" i="16" s="1"/>
  <c r="DG50" i="16" s="1"/>
  <c r="DG51" i="16" s="1"/>
  <c r="DG52" i="16" s="1"/>
  <c r="DG53" i="16" s="1"/>
  <c r="Q160" i="16" s="1"/>
  <c r="AQ38" i="14"/>
  <c r="AQ39" i="14" s="1"/>
  <c r="AQ40" i="14" s="1"/>
  <c r="AQ41" i="14" s="1"/>
  <c r="AQ42" i="14" s="1"/>
  <c r="AQ43" i="14" s="1"/>
  <c r="AQ44" i="14" s="1"/>
  <c r="AQ45" i="14" s="1"/>
  <c r="AQ46" i="14" s="1"/>
  <c r="AQ47" i="14" s="1"/>
  <c r="AQ48" i="14" s="1"/>
  <c r="AQ49" i="14" s="1"/>
  <c r="AQ50" i="14" s="1"/>
  <c r="AQ51" i="14" s="1"/>
  <c r="AQ52" i="14" s="1"/>
  <c r="AQ53" i="14" s="1"/>
  <c r="N160" i="14" s="1"/>
  <c r="S38" i="15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M160" i="15" s="1"/>
  <c r="CM38" i="13"/>
  <c r="CM39" i="13" s="1"/>
  <c r="CM40" i="13" s="1"/>
  <c r="CM41" i="13" s="1"/>
  <c r="CM42" i="13" s="1"/>
  <c r="CM43" i="13" s="1"/>
  <c r="CM44" i="13" s="1"/>
  <c r="CM45" i="13" s="1"/>
  <c r="CM46" i="13" s="1"/>
  <c r="CM47" i="13" s="1"/>
  <c r="CM48" i="13" s="1"/>
  <c r="CM49" i="13" s="1"/>
  <c r="CM50" i="13" s="1"/>
  <c r="CM51" i="13" s="1"/>
  <c r="CM52" i="13" s="1"/>
  <c r="CM53" i="13" s="1"/>
  <c r="P160" i="13" s="1"/>
  <c r="S38" i="16"/>
  <c r="S39" i="16" s="1"/>
  <c r="S40" i="16" s="1"/>
  <c r="S41" i="16" s="1"/>
  <c r="S42" i="16" s="1"/>
  <c r="S43" i="16" s="1"/>
  <c r="S44" i="16" s="1"/>
  <c r="S45" i="16" s="1"/>
  <c r="S46" i="16" s="1"/>
  <c r="S47" i="16" s="1"/>
  <c r="S48" i="16" s="1"/>
  <c r="S49" i="16" s="1"/>
  <c r="S50" i="16" s="1"/>
  <c r="S51" i="16" s="1"/>
  <c r="S52" i="16" s="1"/>
  <c r="S53" i="16" s="1"/>
  <c r="M160" i="16" s="1"/>
  <c r="BO38" i="13"/>
  <c r="BO39" i="13" s="1"/>
  <c r="BO40" i="13" s="1"/>
  <c r="BO41" i="13" s="1"/>
  <c r="BO42" i="13" s="1"/>
  <c r="BO43" i="13" s="1"/>
  <c r="BO44" i="13" s="1"/>
  <c r="BO45" i="13" s="1"/>
  <c r="BO46" i="13" s="1"/>
  <c r="BO47" i="13" s="1"/>
  <c r="BO48" i="13" s="1"/>
  <c r="BO49" i="13" s="1"/>
  <c r="BO50" i="13" s="1"/>
  <c r="BO51" i="13" s="1"/>
  <c r="BO52" i="13" s="1"/>
  <c r="BO53" i="13" s="1"/>
  <c r="O160" i="13" s="1"/>
  <c r="BO38" i="15"/>
  <c r="BO39" i="15" s="1"/>
  <c r="BO40" i="15" s="1"/>
  <c r="BO41" i="15" s="1"/>
  <c r="BO42" i="15" s="1"/>
  <c r="BO43" i="15" s="1"/>
  <c r="BO44" i="15" s="1"/>
  <c r="BO45" i="15" s="1"/>
  <c r="BO46" i="15" s="1"/>
  <c r="BO47" i="15" s="1"/>
  <c r="BO48" i="15" s="1"/>
  <c r="BO49" i="15" s="1"/>
  <c r="BO50" i="15" s="1"/>
  <c r="BO51" i="15" s="1"/>
  <c r="BO52" i="15" s="1"/>
  <c r="BO53" i="15" s="1"/>
  <c r="O160" i="15" s="1"/>
  <c r="S13" i="14"/>
  <c r="S14" i="14" s="1"/>
  <c r="S15" i="14" s="1"/>
  <c r="S16" i="14" s="1"/>
  <c r="CJ38" i="16"/>
  <c r="CJ39" i="16" s="1"/>
  <c r="CJ40" i="16" s="1"/>
  <c r="CJ41" i="16" s="1"/>
  <c r="CJ42" i="16" s="1"/>
  <c r="CJ43" i="16" s="1"/>
  <c r="CJ44" i="16" s="1"/>
  <c r="CJ45" i="16" s="1"/>
  <c r="CJ46" i="16" s="1"/>
  <c r="CJ47" i="16" s="1"/>
  <c r="CJ48" i="16" s="1"/>
  <c r="CJ49" i="16" s="1"/>
  <c r="CJ50" i="16" s="1"/>
  <c r="CJ51" i="16" s="1"/>
  <c r="CJ52" i="16" s="1"/>
  <c r="CJ53" i="16" s="1"/>
  <c r="P160" i="16" s="1"/>
  <c r="BO38" i="14"/>
  <c r="BO39" i="14" s="1"/>
  <c r="BO40" i="14" s="1"/>
  <c r="BO41" i="14" s="1"/>
  <c r="BO42" i="14" s="1"/>
  <c r="BO43" i="14" s="1"/>
  <c r="BO44" i="14" s="1"/>
  <c r="BO45" i="14" s="1"/>
  <c r="BO46" i="14" s="1"/>
  <c r="BO47" i="14" s="1"/>
  <c r="BO48" i="14" s="1"/>
  <c r="BO49" i="14" s="1"/>
  <c r="BO50" i="14" s="1"/>
  <c r="BO51" i="14" s="1"/>
  <c r="BO52" i="14" s="1"/>
  <c r="BO53" i="14" s="1"/>
  <c r="O160" i="14" s="1"/>
  <c r="AQ38" i="15"/>
  <c r="AQ39" i="15" s="1"/>
  <c r="AQ40" i="15" s="1"/>
  <c r="AQ41" i="15" s="1"/>
  <c r="AQ42" i="15" s="1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N160" i="15" s="1"/>
  <c r="S38" i="14"/>
  <c r="S39" i="14" s="1"/>
  <c r="S40" i="14" s="1"/>
  <c r="S41" i="14" s="1"/>
  <c r="S42" i="14" s="1"/>
  <c r="S43" i="14" s="1"/>
  <c r="S44" i="14" s="1"/>
  <c r="S45" i="14" s="1"/>
  <c r="S46" i="14" s="1"/>
  <c r="S47" i="14" s="1"/>
  <c r="S48" i="14" s="1"/>
  <c r="S49" i="14" s="1"/>
  <c r="S50" i="14" s="1"/>
  <c r="S51" i="14" s="1"/>
  <c r="S52" i="14" s="1"/>
  <c r="S53" i="14" s="1"/>
  <c r="M160" i="14" s="1"/>
  <c r="S38" i="13"/>
  <c r="S39" i="13" s="1"/>
  <c r="S40" i="13" s="1"/>
  <c r="S41" i="13" s="1"/>
  <c r="S42" i="13" s="1"/>
  <c r="S43" i="13" s="1"/>
  <c r="S44" i="13" s="1"/>
  <c r="S45" i="13" s="1"/>
  <c r="S46" i="13" s="1"/>
  <c r="S47" i="13" s="1"/>
  <c r="S48" i="13" s="1"/>
  <c r="S49" i="13" s="1"/>
  <c r="S50" i="13" s="1"/>
  <c r="S51" i="13" s="1"/>
  <c r="S52" i="13" s="1"/>
  <c r="S53" i="13" s="1"/>
  <c r="M160" i="13" s="1"/>
  <c r="BM38" i="16"/>
  <c r="BM39" i="16" s="1"/>
  <c r="BM40" i="16" s="1"/>
  <c r="BM41" i="16" s="1"/>
  <c r="BM42" i="16" s="1"/>
  <c r="BM43" i="16" s="1"/>
  <c r="BM44" i="16" s="1"/>
  <c r="BM45" i="16" s="1"/>
  <c r="BM46" i="16" s="1"/>
  <c r="BM47" i="16" s="1"/>
  <c r="BM48" i="16" s="1"/>
  <c r="BM49" i="16" s="1"/>
  <c r="BM50" i="16" s="1"/>
  <c r="BM51" i="16" s="1"/>
  <c r="BM52" i="16" s="1"/>
  <c r="BM53" i="16" s="1"/>
  <c r="O160" i="16" s="1"/>
  <c r="CM38" i="14"/>
  <c r="CM39" i="14" s="1"/>
  <c r="CM40" i="14" s="1"/>
  <c r="CM41" i="14" s="1"/>
  <c r="CM42" i="14" s="1"/>
  <c r="CM43" i="14" s="1"/>
  <c r="CM44" i="14" s="1"/>
  <c r="CM45" i="14" s="1"/>
  <c r="CM46" i="14" s="1"/>
  <c r="CM47" i="14" s="1"/>
  <c r="CM48" i="14" s="1"/>
  <c r="CM49" i="14" s="1"/>
  <c r="CM50" i="14" s="1"/>
  <c r="CM51" i="14" s="1"/>
  <c r="CM52" i="14" s="1"/>
  <c r="CM53" i="14" s="1"/>
  <c r="P160" i="14" s="1"/>
  <c r="CM38" i="15"/>
  <c r="CM39" i="15" s="1"/>
  <c r="CM40" i="15" s="1"/>
  <c r="CM41" i="15" s="1"/>
  <c r="CM42" i="15" s="1"/>
  <c r="CM43" i="15" s="1"/>
  <c r="CM44" i="15" s="1"/>
  <c r="CM45" i="15" s="1"/>
  <c r="CM46" i="15" s="1"/>
  <c r="CM47" i="15" s="1"/>
  <c r="CM48" i="15" s="1"/>
  <c r="CM49" i="15" s="1"/>
  <c r="CM50" i="15" s="1"/>
  <c r="CM51" i="15" s="1"/>
  <c r="CM52" i="15" s="1"/>
  <c r="CM53" i="15" s="1"/>
  <c r="P160" i="15" s="1"/>
  <c r="AQ38" i="13"/>
  <c r="AQ39" i="13" s="1"/>
  <c r="AQ40" i="13" s="1"/>
  <c r="AQ41" i="13" s="1"/>
  <c r="AQ42" i="13" s="1"/>
  <c r="AQ43" i="13" s="1"/>
  <c r="AQ44" i="13" s="1"/>
  <c r="AQ45" i="13" s="1"/>
  <c r="AQ46" i="13" s="1"/>
  <c r="AQ47" i="13" s="1"/>
  <c r="AQ48" i="13" s="1"/>
  <c r="AQ49" i="13" s="1"/>
  <c r="AQ50" i="13" s="1"/>
  <c r="AQ51" i="13" s="1"/>
  <c r="AQ52" i="13" s="1"/>
  <c r="AQ53" i="13" s="1"/>
  <c r="N160" i="13" s="1"/>
  <c r="CU17" i="14"/>
  <c r="CW17" i="14" s="1"/>
  <c r="AY17" i="14"/>
  <c r="BA17" i="14" s="1"/>
  <c r="BW17" i="14"/>
  <c r="BY17" i="14" s="1"/>
  <c r="AA17" i="14"/>
  <c r="AC17" i="14" s="1"/>
  <c r="CU18" i="14"/>
  <c r="CW18" i="14" s="1"/>
  <c r="DF18" i="14" s="1"/>
  <c r="BW18" i="14"/>
  <c r="BY18" i="14" s="1"/>
  <c r="CH18" i="14" s="1"/>
  <c r="AY18" i="14"/>
  <c r="BA18" i="14" s="1"/>
  <c r="BJ18" i="14" s="1"/>
  <c r="AA18" i="14"/>
  <c r="AC18" i="14" s="1"/>
  <c r="AL18" i="14" s="1"/>
  <c r="CU20" i="14"/>
  <c r="CW20" i="14" s="1"/>
  <c r="DF20" i="14" s="1"/>
  <c r="BW20" i="14"/>
  <c r="BY20" i="14" s="1"/>
  <c r="CH20" i="14" s="1"/>
  <c r="AY20" i="14"/>
  <c r="BA20" i="14" s="1"/>
  <c r="BJ20" i="14" s="1"/>
  <c r="AA20" i="14"/>
  <c r="AC20" i="14" s="1"/>
  <c r="AL20" i="14" s="1"/>
  <c r="CU19" i="14"/>
  <c r="CW19" i="14" s="1"/>
  <c r="DF19" i="14" s="1"/>
  <c r="BW19" i="14"/>
  <c r="BY19" i="14" s="1"/>
  <c r="CH19" i="14" s="1"/>
  <c r="AY19" i="14"/>
  <c r="BA19" i="14" s="1"/>
  <c r="BJ19" i="14" s="1"/>
  <c r="AA19" i="14"/>
  <c r="AC19" i="14" s="1"/>
  <c r="AL19" i="14" s="1"/>
  <c r="AQ114" i="15"/>
  <c r="AQ115" i="15" s="1"/>
  <c r="AQ116" i="15" s="1"/>
  <c r="AQ117" i="15" s="1"/>
  <c r="AQ118" i="15" s="1"/>
  <c r="AQ119" i="15" s="1"/>
  <c r="AQ120" i="15" s="1"/>
  <c r="AQ121" i="15" s="1"/>
  <c r="AQ122" i="15" s="1"/>
  <c r="AQ123" i="15" s="1"/>
  <c r="AQ124" i="15" s="1"/>
  <c r="AQ125" i="15" s="1"/>
  <c r="AQ126" i="15" s="1"/>
  <c r="AQ127" i="15" s="1"/>
  <c r="AQ128" i="15" s="1"/>
  <c r="AC160" i="15" s="1"/>
  <c r="S89" i="13"/>
  <c r="S90" i="13" s="1"/>
  <c r="BO89" i="13"/>
  <c r="BO90" i="13" s="1"/>
  <c r="BM89" i="16"/>
  <c r="BM90" i="16" s="1"/>
  <c r="BO89" i="14"/>
  <c r="BO90" i="14" s="1"/>
  <c r="CM89" i="14"/>
  <c r="CM90" i="14" s="1"/>
  <c r="S114" i="15"/>
  <c r="S115" i="15" s="1"/>
  <c r="S116" i="15" s="1"/>
  <c r="S117" i="15" s="1"/>
  <c r="S118" i="15" s="1"/>
  <c r="S119" i="15" s="1"/>
  <c r="S120" i="15" s="1"/>
  <c r="S121" i="15" s="1"/>
  <c r="S122" i="15" s="1"/>
  <c r="S123" i="15" s="1"/>
  <c r="S124" i="15" s="1"/>
  <c r="S125" i="15" s="1"/>
  <c r="S126" i="15" s="1"/>
  <c r="S127" i="15" s="1"/>
  <c r="S128" i="15" s="1"/>
  <c r="AB160" i="15" s="1"/>
  <c r="BO114" i="13"/>
  <c r="BO115" i="13" s="1"/>
  <c r="BO116" i="13" s="1"/>
  <c r="BO117" i="13" s="1"/>
  <c r="BO118" i="13" s="1"/>
  <c r="BO119" i="13" s="1"/>
  <c r="BO120" i="13" s="1"/>
  <c r="BO121" i="13" s="1"/>
  <c r="BO122" i="13" s="1"/>
  <c r="BO123" i="13" s="1"/>
  <c r="BO124" i="13" s="1"/>
  <c r="BO125" i="13" s="1"/>
  <c r="BO126" i="13" s="1"/>
  <c r="BO127" i="13" s="1"/>
  <c r="BO128" i="13" s="1"/>
  <c r="AD160" i="13" s="1"/>
  <c r="CM114" i="15"/>
  <c r="CM115" i="15" s="1"/>
  <c r="CM116" i="15" s="1"/>
  <c r="CM117" i="15" s="1"/>
  <c r="CM118" i="15" s="1"/>
  <c r="CM119" i="15" s="1"/>
  <c r="CM120" i="15" s="1"/>
  <c r="CM121" i="15" s="1"/>
  <c r="CM122" i="15" s="1"/>
  <c r="CM123" i="15" s="1"/>
  <c r="CM124" i="15" s="1"/>
  <c r="CM125" i="15" s="1"/>
  <c r="CM126" i="15" s="1"/>
  <c r="CM127" i="15" s="1"/>
  <c r="CM128" i="15" s="1"/>
  <c r="AE160" i="15" s="1"/>
  <c r="AP89" i="16"/>
  <c r="AP90" i="16" s="1"/>
  <c r="S114" i="14"/>
  <c r="S115" i="14" s="1"/>
  <c r="S116" i="14" s="1"/>
  <c r="S117" i="14" s="1"/>
  <c r="S118" i="14" s="1"/>
  <c r="S119" i="14" s="1"/>
  <c r="S120" i="14" s="1"/>
  <c r="S121" i="14" s="1"/>
  <c r="S122" i="14" s="1"/>
  <c r="S123" i="14" s="1"/>
  <c r="S124" i="14" s="1"/>
  <c r="S125" i="14" s="1"/>
  <c r="S126" i="14" s="1"/>
  <c r="S127" i="14" s="1"/>
  <c r="S128" i="14" s="1"/>
  <c r="AB160" i="14" s="1"/>
  <c r="S89" i="14"/>
  <c r="S90" i="14" s="1"/>
  <c r="DG89" i="16"/>
  <c r="DG90" i="16" s="1"/>
  <c r="CJ89" i="16"/>
  <c r="CJ90" i="16" s="1"/>
  <c r="CM114" i="14"/>
  <c r="CM115" i="14" s="1"/>
  <c r="CM116" i="14" s="1"/>
  <c r="CM117" i="14" s="1"/>
  <c r="CM118" i="14" s="1"/>
  <c r="CM119" i="14" s="1"/>
  <c r="CM120" i="14" s="1"/>
  <c r="CM121" i="14" s="1"/>
  <c r="CM122" i="14" s="1"/>
  <c r="CM123" i="14" s="1"/>
  <c r="CM124" i="14" s="1"/>
  <c r="CM125" i="14" s="1"/>
  <c r="CM126" i="14" s="1"/>
  <c r="CM127" i="14" s="1"/>
  <c r="CM128" i="14" s="1"/>
  <c r="AE160" i="14" s="1"/>
  <c r="AQ114" i="14"/>
  <c r="AQ115" i="14" s="1"/>
  <c r="AQ116" i="14" s="1"/>
  <c r="AQ117" i="14" s="1"/>
  <c r="AQ118" i="14" s="1"/>
  <c r="AQ119" i="14" s="1"/>
  <c r="AQ120" i="14" s="1"/>
  <c r="AQ121" i="14" s="1"/>
  <c r="AQ122" i="14" s="1"/>
  <c r="AQ123" i="14" s="1"/>
  <c r="AQ124" i="14" s="1"/>
  <c r="AQ125" i="14" s="1"/>
  <c r="AQ126" i="14" s="1"/>
  <c r="AQ127" i="14" s="1"/>
  <c r="AQ128" i="14" s="1"/>
  <c r="AC160" i="14" s="1"/>
  <c r="DK114" i="13"/>
  <c r="DK115" i="13" s="1"/>
  <c r="DK116" i="13" s="1"/>
  <c r="DK117" i="13" s="1"/>
  <c r="DK118" i="13" s="1"/>
  <c r="DK119" i="13" s="1"/>
  <c r="DK120" i="13" s="1"/>
  <c r="DK121" i="13" s="1"/>
  <c r="DK122" i="13" s="1"/>
  <c r="DK123" i="13" s="1"/>
  <c r="DK124" i="13" s="1"/>
  <c r="DK125" i="13" s="1"/>
  <c r="DK126" i="13" s="1"/>
  <c r="DK127" i="13" s="1"/>
  <c r="DK128" i="13" s="1"/>
  <c r="AF160" i="13" s="1"/>
  <c r="CM114" i="13"/>
  <c r="CM115" i="13" s="1"/>
  <c r="CM116" i="13" s="1"/>
  <c r="CM117" i="13" s="1"/>
  <c r="CM118" i="13" s="1"/>
  <c r="CM119" i="13" s="1"/>
  <c r="CM120" i="13" s="1"/>
  <c r="CM121" i="13" s="1"/>
  <c r="CM122" i="13" s="1"/>
  <c r="CM123" i="13" s="1"/>
  <c r="CM124" i="13" s="1"/>
  <c r="CM125" i="13" s="1"/>
  <c r="CM126" i="13" s="1"/>
  <c r="CM127" i="13" s="1"/>
  <c r="CM128" i="13" s="1"/>
  <c r="AE160" i="13" s="1"/>
  <c r="S89" i="16"/>
  <c r="S90" i="16" s="1"/>
  <c r="CM89" i="15"/>
  <c r="CM90" i="15" s="1"/>
  <c r="S114" i="16"/>
  <c r="S115" i="16" s="1"/>
  <c r="S116" i="16" s="1"/>
  <c r="S117" i="16" s="1"/>
  <c r="S118" i="16" s="1"/>
  <c r="S119" i="16" s="1"/>
  <c r="S120" i="16" s="1"/>
  <c r="S121" i="16" s="1"/>
  <c r="S122" i="16" s="1"/>
  <c r="S123" i="16" s="1"/>
  <c r="S124" i="16" s="1"/>
  <c r="S125" i="16" s="1"/>
  <c r="S126" i="16" s="1"/>
  <c r="S127" i="16" s="1"/>
  <c r="S128" i="16" s="1"/>
  <c r="AB160" i="16" s="1"/>
  <c r="AQ89" i="14"/>
  <c r="AQ90" i="14" s="1"/>
  <c r="DK89" i="14"/>
  <c r="DK90" i="14" s="1"/>
  <c r="AP117" i="16"/>
  <c r="AP118" i="16" s="1"/>
  <c r="AP119" i="16" s="1"/>
  <c r="AP120" i="16" s="1"/>
  <c r="AP121" i="16" s="1"/>
  <c r="AP122" i="16" s="1"/>
  <c r="AP123" i="16" s="1"/>
  <c r="AP124" i="16" s="1"/>
  <c r="AP125" i="16" s="1"/>
  <c r="AP126" i="16" s="1"/>
  <c r="AP127" i="16" s="1"/>
  <c r="AP128" i="16" s="1"/>
  <c r="AC160" i="16" s="1"/>
  <c r="AQ114" i="13"/>
  <c r="AQ115" i="13" s="1"/>
  <c r="AQ116" i="13" s="1"/>
  <c r="AQ117" i="13" s="1"/>
  <c r="AQ118" i="13" s="1"/>
  <c r="AQ119" i="13" s="1"/>
  <c r="AQ120" i="13" s="1"/>
  <c r="AQ121" i="13" s="1"/>
  <c r="AQ122" i="13" s="1"/>
  <c r="AQ123" i="13" s="1"/>
  <c r="AQ124" i="13" s="1"/>
  <c r="AQ125" i="13" s="1"/>
  <c r="AQ126" i="13" s="1"/>
  <c r="AQ127" i="13" s="1"/>
  <c r="AQ128" i="13" s="1"/>
  <c r="AC160" i="13" s="1"/>
  <c r="CJ115" i="16"/>
  <c r="CJ116" i="16" s="1"/>
  <c r="CJ117" i="16" s="1"/>
  <c r="CJ118" i="16" s="1"/>
  <c r="CJ119" i="16" s="1"/>
  <c r="CJ120" i="16" s="1"/>
  <c r="CJ121" i="16" s="1"/>
  <c r="CJ122" i="16" s="1"/>
  <c r="CJ123" i="16" s="1"/>
  <c r="CJ124" i="16" s="1"/>
  <c r="CJ125" i="16" s="1"/>
  <c r="CJ126" i="16" s="1"/>
  <c r="CJ127" i="16" s="1"/>
  <c r="CJ128" i="16" s="1"/>
  <c r="AE160" i="16" s="1"/>
  <c r="DK114" i="15"/>
  <c r="DK115" i="15" s="1"/>
  <c r="DK116" i="15" s="1"/>
  <c r="DK117" i="15" s="1"/>
  <c r="DK118" i="15" s="1"/>
  <c r="DK119" i="15" s="1"/>
  <c r="DK120" i="15" s="1"/>
  <c r="DK121" i="15" s="1"/>
  <c r="DK122" i="15" s="1"/>
  <c r="DK123" i="15" s="1"/>
  <c r="DK124" i="15" s="1"/>
  <c r="DK125" i="15" s="1"/>
  <c r="DK126" i="15" s="1"/>
  <c r="DK127" i="15" s="1"/>
  <c r="DK128" i="15" s="1"/>
  <c r="AF160" i="15" s="1"/>
  <c r="BO114" i="15"/>
  <c r="BO115" i="15" s="1"/>
  <c r="BO116" i="15" s="1"/>
  <c r="BO117" i="15" s="1"/>
  <c r="BO118" i="15" s="1"/>
  <c r="BO119" i="15" s="1"/>
  <c r="BO120" i="15" s="1"/>
  <c r="BO121" i="15" s="1"/>
  <c r="BO122" i="15" s="1"/>
  <c r="BO123" i="15" s="1"/>
  <c r="BO124" i="15" s="1"/>
  <c r="BO125" i="15" s="1"/>
  <c r="BO126" i="15" s="1"/>
  <c r="BO127" i="15" s="1"/>
  <c r="BO128" i="15" s="1"/>
  <c r="AD160" i="15" s="1"/>
  <c r="BO89" i="15"/>
  <c r="BO90" i="15" s="1"/>
  <c r="AQ89" i="13"/>
  <c r="AQ90" i="13" s="1"/>
  <c r="BO114" i="14"/>
  <c r="BO115" i="14" s="1"/>
  <c r="BO116" i="14" s="1"/>
  <c r="BO117" i="14" s="1"/>
  <c r="BO118" i="14" s="1"/>
  <c r="BO119" i="14" s="1"/>
  <c r="BO120" i="14" s="1"/>
  <c r="BO121" i="14" s="1"/>
  <c r="BO122" i="14" s="1"/>
  <c r="BO123" i="14" s="1"/>
  <c r="BO124" i="14" s="1"/>
  <c r="BO125" i="14" s="1"/>
  <c r="BO126" i="14" s="1"/>
  <c r="BO127" i="14" s="1"/>
  <c r="BO128" i="14" s="1"/>
  <c r="AD160" i="14" s="1"/>
  <c r="DG114" i="16"/>
  <c r="DG115" i="16" s="1"/>
  <c r="DG116" i="16" s="1"/>
  <c r="DG117" i="16" s="1"/>
  <c r="DG118" i="16" s="1"/>
  <c r="DG119" i="16" s="1"/>
  <c r="DG120" i="16" s="1"/>
  <c r="DG121" i="16" s="1"/>
  <c r="DG122" i="16" s="1"/>
  <c r="DG123" i="16" s="1"/>
  <c r="DG124" i="16" s="1"/>
  <c r="DG125" i="16" s="1"/>
  <c r="DG126" i="16" s="1"/>
  <c r="DG127" i="16" s="1"/>
  <c r="DG128" i="16" s="1"/>
  <c r="AF160" i="16" s="1"/>
  <c r="DK89" i="15"/>
  <c r="DK90" i="15" s="1"/>
  <c r="BM114" i="16"/>
  <c r="BM115" i="16" s="1"/>
  <c r="BM116" i="16" s="1"/>
  <c r="BM117" i="16" s="1"/>
  <c r="BM118" i="16" s="1"/>
  <c r="BM119" i="16" s="1"/>
  <c r="BM120" i="16" s="1"/>
  <c r="BM121" i="16" s="1"/>
  <c r="BM122" i="16" s="1"/>
  <c r="BM123" i="16" s="1"/>
  <c r="BM124" i="16" s="1"/>
  <c r="BM125" i="16" s="1"/>
  <c r="BM126" i="16" s="1"/>
  <c r="BM127" i="16" s="1"/>
  <c r="BM128" i="16" s="1"/>
  <c r="AD160" i="16" s="1"/>
  <c r="CM90" i="13"/>
  <c r="DK89" i="13"/>
  <c r="DK90" i="13" s="1"/>
  <c r="AQ89" i="15"/>
  <c r="AQ90" i="15" s="1"/>
  <c r="DK114" i="14"/>
  <c r="DK115" i="14" s="1"/>
  <c r="DK116" i="14" s="1"/>
  <c r="DK117" i="14" s="1"/>
  <c r="DK118" i="14" s="1"/>
  <c r="DK119" i="14" s="1"/>
  <c r="DK120" i="14" s="1"/>
  <c r="DK121" i="14" s="1"/>
  <c r="DK122" i="14" s="1"/>
  <c r="DK123" i="14" s="1"/>
  <c r="DK124" i="14" s="1"/>
  <c r="DK125" i="14" s="1"/>
  <c r="DK126" i="14" s="1"/>
  <c r="DK127" i="14" s="1"/>
  <c r="DK128" i="14" s="1"/>
  <c r="AF160" i="14" s="1"/>
  <c r="S114" i="13"/>
  <c r="S115" i="13" s="1"/>
  <c r="S116" i="13" s="1"/>
  <c r="S117" i="13" s="1"/>
  <c r="S118" i="13" s="1"/>
  <c r="S119" i="13" s="1"/>
  <c r="S120" i="13" s="1"/>
  <c r="S121" i="13" s="1"/>
  <c r="S122" i="13" s="1"/>
  <c r="S123" i="13" s="1"/>
  <c r="S124" i="13" s="1"/>
  <c r="S125" i="13" s="1"/>
  <c r="S126" i="13" s="1"/>
  <c r="S127" i="13" s="1"/>
  <c r="S128" i="13" s="1"/>
  <c r="AB160" i="13" s="1"/>
  <c r="S89" i="15"/>
  <c r="S90" i="15" s="1"/>
  <c r="L6" i="11"/>
  <c r="D74" i="22"/>
  <c r="AD16" i="2"/>
  <c r="W16" i="2"/>
  <c r="AD10" i="2"/>
  <c r="W10" i="2"/>
  <c r="P16" i="2"/>
  <c r="P10" i="2"/>
  <c r="I16" i="2"/>
  <c r="I10" i="2"/>
  <c r="DF17" i="14" l="1"/>
  <c r="DK17" i="14" s="1"/>
  <c r="DK18" i="14" s="1"/>
  <c r="DK19" i="14" s="1"/>
  <c r="DK20" i="14" s="1"/>
  <c r="AL17" i="14"/>
  <c r="AQ17" i="14" s="1"/>
  <c r="AQ18" i="14" s="1"/>
  <c r="AQ19" i="14" s="1"/>
  <c r="AQ20" i="14" s="1"/>
  <c r="CH17" i="14"/>
  <c r="CM17" i="14" s="1"/>
  <c r="CM18" i="14" s="1"/>
  <c r="CM19" i="14" s="1"/>
  <c r="CM20" i="14" s="1"/>
  <c r="BJ17" i="14"/>
  <c r="BO17" i="14" s="1"/>
  <c r="BO18" i="14" s="1"/>
  <c r="BO19" i="14" s="1"/>
  <c r="BO20" i="14" s="1"/>
  <c r="S17" i="14"/>
  <c r="S18" i="14" s="1"/>
  <c r="S19" i="14" s="1"/>
  <c r="S20" i="14" s="1"/>
  <c r="CU22" i="14"/>
  <c r="CW22" i="14" s="1"/>
  <c r="DF22" i="14" s="1"/>
  <c r="BW22" i="14"/>
  <c r="BY22" i="14" s="1"/>
  <c r="CH22" i="14" s="1"/>
  <c r="AY22" i="14"/>
  <c r="BA22" i="14" s="1"/>
  <c r="BJ22" i="14" s="1"/>
  <c r="AA22" i="14"/>
  <c r="AC22" i="14" s="1"/>
  <c r="AL22" i="14" s="1"/>
  <c r="E22" i="14"/>
  <c r="N22" i="14" s="1"/>
  <c r="CU24" i="14"/>
  <c r="CW24" i="14" s="1"/>
  <c r="DF24" i="14" s="1"/>
  <c r="BW24" i="14"/>
  <c r="BY24" i="14" s="1"/>
  <c r="CH24" i="14" s="1"/>
  <c r="AY24" i="14"/>
  <c r="BA24" i="14" s="1"/>
  <c r="BJ24" i="14" s="1"/>
  <c r="AA24" i="14"/>
  <c r="AC24" i="14" s="1"/>
  <c r="AL24" i="14" s="1"/>
  <c r="E24" i="14"/>
  <c r="N24" i="14" s="1"/>
  <c r="BW21" i="14"/>
  <c r="BY21" i="14" s="1"/>
  <c r="CH21" i="14" s="1"/>
  <c r="CU21" i="14"/>
  <c r="CW21" i="14" s="1"/>
  <c r="DF21" i="14" s="1"/>
  <c r="AY21" i="14"/>
  <c r="BA21" i="14" s="1"/>
  <c r="BJ21" i="14" s="1"/>
  <c r="AA21" i="14"/>
  <c r="AC21" i="14" s="1"/>
  <c r="AL21" i="14" s="1"/>
  <c r="E21" i="14"/>
  <c r="N21" i="14" s="1"/>
  <c r="CU23" i="14"/>
  <c r="CW23" i="14" s="1"/>
  <c r="DF23" i="14" s="1"/>
  <c r="BW23" i="14"/>
  <c r="BY23" i="14" s="1"/>
  <c r="CH23" i="14" s="1"/>
  <c r="AY23" i="14"/>
  <c r="BA23" i="14" s="1"/>
  <c r="BJ23" i="14" s="1"/>
  <c r="AA23" i="14"/>
  <c r="AC23" i="14" s="1"/>
  <c r="AL23" i="14" s="1"/>
  <c r="E23" i="14"/>
  <c r="N23" i="14" s="1"/>
  <c r="D75" i="22"/>
  <c r="X28" i="2"/>
  <c r="Y28" i="2" s="1"/>
  <c r="AE65" i="2"/>
  <c r="Q65" i="2"/>
  <c r="X65" i="2"/>
  <c r="J65" i="2"/>
  <c r="AE44" i="2"/>
  <c r="AE64" i="2" s="1"/>
  <c r="X44" i="2"/>
  <c r="X59" i="2"/>
  <c r="Y59" i="2" s="1"/>
  <c r="J59" i="2"/>
  <c r="X26" i="2"/>
  <c r="Y26" i="2" s="1"/>
  <c r="X29" i="2"/>
  <c r="Y29" i="2" s="1"/>
  <c r="AE24" i="2"/>
  <c r="X24" i="2"/>
  <c r="AE23" i="2"/>
  <c r="AF23" i="2" s="1"/>
  <c r="AE28" i="2"/>
  <c r="AF28" i="2" s="1"/>
  <c r="Q25" i="2"/>
  <c r="R25" i="2" s="1"/>
  <c r="AE29" i="2"/>
  <c r="AF29" i="2" s="1"/>
  <c r="AE26" i="2"/>
  <c r="AF26" i="2" s="1"/>
  <c r="AE25" i="2"/>
  <c r="AF25" i="2" s="1"/>
  <c r="X25" i="2"/>
  <c r="Y25" i="2" s="1"/>
  <c r="X23" i="2"/>
  <c r="Y23" i="2" s="1"/>
  <c r="J25" i="2"/>
  <c r="K25" i="2" s="1"/>
  <c r="J24" i="2"/>
  <c r="J29" i="2"/>
  <c r="K29" i="2" s="1"/>
  <c r="J26" i="2"/>
  <c r="K26" i="2" s="1"/>
  <c r="J20" i="2"/>
  <c r="AQ21" i="14" l="1"/>
  <c r="AQ22" i="14" s="1"/>
  <c r="BW94" i="14"/>
  <c r="AA94" i="14"/>
  <c r="AC94" i="14" s="1"/>
  <c r="AL94" i="14" s="1"/>
  <c r="AY94" i="14"/>
  <c r="BA94" i="14" s="1"/>
  <c r="BJ94" i="14" s="1"/>
  <c r="C94" i="14"/>
  <c r="E94" i="14" s="1"/>
  <c r="N94" i="14" s="1"/>
  <c r="CU94" i="14"/>
  <c r="CW94" i="14" s="1"/>
  <c r="DF94" i="14" s="1"/>
  <c r="CU91" i="14"/>
  <c r="CW91" i="14" s="1"/>
  <c r="DF91" i="14" s="1"/>
  <c r="BW91" i="14"/>
  <c r="BY91" i="14" s="1"/>
  <c r="CH91" i="14" s="1"/>
  <c r="AY91" i="14"/>
  <c r="BA91" i="14" s="1"/>
  <c r="BJ91" i="14" s="1"/>
  <c r="AA91" i="14"/>
  <c r="C91" i="14"/>
  <c r="E91" i="14" s="1"/>
  <c r="N91" i="14" s="1"/>
  <c r="CU100" i="14"/>
  <c r="CW100" i="14" s="1"/>
  <c r="DF100" i="14" s="1"/>
  <c r="BW100" i="14"/>
  <c r="BY100" i="14" s="1"/>
  <c r="CH100" i="14" s="1"/>
  <c r="AY100" i="14"/>
  <c r="AA100" i="14"/>
  <c r="AC100" i="14" s="1"/>
  <c r="AL100" i="14" s="1"/>
  <c r="C100" i="14"/>
  <c r="E100" i="14" s="1"/>
  <c r="N100" i="14" s="1"/>
  <c r="CU97" i="14"/>
  <c r="CW97" i="14" s="1"/>
  <c r="DF97" i="14" s="1"/>
  <c r="BW97" i="14"/>
  <c r="AY97" i="14"/>
  <c r="BA97" i="14" s="1"/>
  <c r="BJ97" i="14" s="1"/>
  <c r="AA97" i="14"/>
  <c r="AC97" i="14" s="1"/>
  <c r="AL97" i="14" s="1"/>
  <c r="C97" i="14"/>
  <c r="E97" i="14" s="1"/>
  <c r="N97" i="14" s="1"/>
  <c r="CU103" i="14"/>
  <c r="BW103" i="14"/>
  <c r="BY103" i="14" s="1"/>
  <c r="CH103" i="14" s="1"/>
  <c r="AY103" i="14"/>
  <c r="BA103" i="14" s="1"/>
  <c r="BJ103" i="14" s="1"/>
  <c r="AA103" i="14"/>
  <c r="AC103" i="14" s="1"/>
  <c r="AL103" i="14" s="1"/>
  <c r="C103" i="14"/>
  <c r="DK21" i="14"/>
  <c r="DK22" i="14" s="1"/>
  <c r="DK23" i="14" s="1"/>
  <c r="DK24" i="14" s="1"/>
  <c r="AQ23" i="14"/>
  <c r="AQ24" i="14" s="1"/>
  <c r="CM21" i="14"/>
  <c r="CM22" i="14" s="1"/>
  <c r="CM23" i="14" s="1"/>
  <c r="CM24" i="14" s="1"/>
  <c r="S21" i="14"/>
  <c r="BO21" i="14"/>
  <c r="BO22" i="14" s="1"/>
  <c r="BO23" i="14" s="1"/>
  <c r="BO24" i="14" s="1"/>
  <c r="X64" i="2"/>
  <c r="T22" i="8" s="1"/>
  <c r="K59" i="2"/>
  <c r="K64" i="2" s="1"/>
  <c r="J64" i="2"/>
  <c r="K24" i="2"/>
  <c r="AF24" i="2"/>
  <c r="Y24" i="2"/>
  <c r="K20" i="2"/>
  <c r="J22" i="2"/>
  <c r="V22" i="8"/>
  <c r="Y44" i="2"/>
  <c r="BY94" i="14"/>
  <c r="CH94" i="14" s="1"/>
  <c r="CQ94" i="16"/>
  <c r="CS94" i="16" s="1"/>
  <c r="DB94" i="16" s="1"/>
  <c r="BT94" i="16"/>
  <c r="BV94" i="16" s="1"/>
  <c r="CE94" i="16" s="1"/>
  <c r="AW94" i="16"/>
  <c r="AY94" i="16" s="1"/>
  <c r="BH94" i="16" s="1"/>
  <c r="Z94" i="16"/>
  <c r="AB94" i="16" s="1"/>
  <c r="AK94" i="16" s="1"/>
  <c r="C94" i="16"/>
  <c r="E94" i="16" s="1"/>
  <c r="N94" i="16" s="1"/>
  <c r="CU94" i="15"/>
  <c r="CW94" i="15" s="1"/>
  <c r="DF94" i="15" s="1"/>
  <c r="BW94" i="15"/>
  <c r="BY94" i="15" s="1"/>
  <c r="CH94" i="15" s="1"/>
  <c r="AY94" i="15"/>
  <c r="BA94" i="15" s="1"/>
  <c r="BJ94" i="15" s="1"/>
  <c r="AA94" i="15"/>
  <c r="AC94" i="15" s="1"/>
  <c r="AL94" i="15" s="1"/>
  <c r="C94" i="15"/>
  <c r="E94" i="15" s="1"/>
  <c r="N94" i="15" s="1"/>
  <c r="CU94" i="13"/>
  <c r="CW94" i="13" s="1"/>
  <c r="DF94" i="13" s="1"/>
  <c r="BW94" i="13"/>
  <c r="BY94" i="13" s="1"/>
  <c r="CH94" i="13" s="1"/>
  <c r="AY94" i="13"/>
  <c r="BA94" i="13" s="1"/>
  <c r="BJ94" i="13" s="1"/>
  <c r="AA94" i="13"/>
  <c r="AC94" i="13" s="1"/>
  <c r="AL94" i="13" s="1"/>
  <c r="C94" i="13"/>
  <c r="E94" i="13" s="1"/>
  <c r="N94" i="13" s="1"/>
  <c r="AC91" i="14"/>
  <c r="AL91" i="14" s="1"/>
  <c r="CQ91" i="16"/>
  <c r="CS91" i="16" s="1"/>
  <c r="DB91" i="16" s="1"/>
  <c r="AW91" i="16"/>
  <c r="AY91" i="16" s="1"/>
  <c r="BH91" i="16" s="1"/>
  <c r="C91" i="16"/>
  <c r="E91" i="16" s="1"/>
  <c r="N91" i="16" s="1"/>
  <c r="BW91" i="15"/>
  <c r="BY91" i="15" s="1"/>
  <c r="CH91" i="15" s="1"/>
  <c r="AA91" i="15"/>
  <c r="AC91" i="15" s="1"/>
  <c r="AL91" i="15" s="1"/>
  <c r="CU91" i="13"/>
  <c r="CW91" i="13" s="1"/>
  <c r="DF91" i="13" s="1"/>
  <c r="AY91" i="13"/>
  <c r="BA91" i="13" s="1"/>
  <c r="BJ91" i="13" s="1"/>
  <c r="BT91" i="16"/>
  <c r="BV91" i="16" s="1"/>
  <c r="CE91" i="16" s="1"/>
  <c r="Z91" i="16"/>
  <c r="AB91" i="16" s="1"/>
  <c r="AK91" i="16" s="1"/>
  <c r="CU91" i="15"/>
  <c r="CW91" i="15" s="1"/>
  <c r="DF91" i="15" s="1"/>
  <c r="AY91" i="15"/>
  <c r="BA91" i="15" s="1"/>
  <c r="BJ91" i="15" s="1"/>
  <c r="C91" i="15"/>
  <c r="E91" i="15" s="1"/>
  <c r="N91" i="15" s="1"/>
  <c r="BW91" i="13"/>
  <c r="BY91" i="13" s="1"/>
  <c r="CH91" i="13" s="1"/>
  <c r="AA91" i="13"/>
  <c r="AC91" i="13" s="1"/>
  <c r="AL91" i="13" s="1"/>
  <c r="C91" i="13"/>
  <c r="E91" i="13" s="1"/>
  <c r="N91" i="13" s="1"/>
  <c r="BA100" i="14"/>
  <c r="BJ100" i="14" s="1"/>
  <c r="CQ100" i="16"/>
  <c r="CS100" i="16" s="1"/>
  <c r="DB100" i="16" s="1"/>
  <c r="BT100" i="16"/>
  <c r="BV100" i="16" s="1"/>
  <c r="CE100" i="16" s="1"/>
  <c r="AW100" i="16"/>
  <c r="AY100" i="16" s="1"/>
  <c r="BH100" i="16" s="1"/>
  <c r="Z100" i="16"/>
  <c r="AB100" i="16" s="1"/>
  <c r="AK100" i="16" s="1"/>
  <c r="C100" i="16"/>
  <c r="E100" i="16" s="1"/>
  <c r="N100" i="16" s="1"/>
  <c r="CU100" i="15"/>
  <c r="CW100" i="15" s="1"/>
  <c r="DF100" i="15" s="1"/>
  <c r="BW100" i="15"/>
  <c r="BY100" i="15" s="1"/>
  <c r="CH100" i="15" s="1"/>
  <c r="AY100" i="15"/>
  <c r="BA100" i="15" s="1"/>
  <c r="BJ100" i="15" s="1"/>
  <c r="AA100" i="15"/>
  <c r="AC100" i="15" s="1"/>
  <c r="AL100" i="15" s="1"/>
  <c r="C100" i="15"/>
  <c r="E100" i="15" s="1"/>
  <c r="N100" i="15" s="1"/>
  <c r="CU100" i="13"/>
  <c r="CW100" i="13" s="1"/>
  <c r="DF100" i="13" s="1"/>
  <c r="BW100" i="13"/>
  <c r="BY100" i="13" s="1"/>
  <c r="CH100" i="13" s="1"/>
  <c r="AY100" i="13"/>
  <c r="BA100" i="13" s="1"/>
  <c r="BJ100" i="13" s="1"/>
  <c r="AA100" i="13"/>
  <c r="AC100" i="13" s="1"/>
  <c r="AL100" i="13" s="1"/>
  <c r="C100" i="13"/>
  <c r="E100" i="13" s="1"/>
  <c r="N100" i="13" s="1"/>
  <c r="BY97" i="14"/>
  <c r="CH97" i="14" s="1"/>
  <c r="C97" i="13"/>
  <c r="E97" i="13" s="1"/>
  <c r="N97" i="13" s="1"/>
  <c r="CQ97" i="16"/>
  <c r="CS97" i="16" s="1"/>
  <c r="DB97" i="16" s="1"/>
  <c r="BT97" i="16"/>
  <c r="BV97" i="16" s="1"/>
  <c r="CE97" i="16" s="1"/>
  <c r="AW97" i="16"/>
  <c r="AY97" i="16" s="1"/>
  <c r="BH97" i="16" s="1"/>
  <c r="Z97" i="16"/>
  <c r="AB97" i="16" s="1"/>
  <c r="AK97" i="16" s="1"/>
  <c r="C97" i="16"/>
  <c r="E97" i="16" s="1"/>
  <c r="N97" i="16" s="1"/>
  <c r="CU97" i="15"/>
  <c r="CW97" i="15" s="1"/>
  <c r="DF97" i="15" s="1"/>
  <c r="BW97" i="15"/>
  <c r="BY97" i="15" s="1"/>
  <c r="CH97" i="15" s="1"/>
  <c r="AY97" i="15"/>
  <c r="BA97" i="15" s="1"/>
  <c r="BJ97" i="15" s="1"/>
  <c r="AA97" i="15"/>
  <c r="AC97" i="15" s="1"/>
  <c r="AL97" i="15" s="1"/>
  <c r="C97" i="15"/>
  <c r="E97" i="15" s="1"/>
  <c r="N97" i="15" s="1"/>
  <c r="CU97" i="13"/>
  <c r="CW97" i="13" s="1"/>
  <c r="DF97" i="13" s="1"/>
  <c r="BW97" i="13"/>
  <c r="BY97" i="13" s="1"/>
  <c r="CH97" i="13" s="1"/>
  <c r="AY97" i="13"/>
  <c r="BA97" i="13" s="1"/>
  <c r="BJ97" i="13" s="1"/>
  <c r="AA97" i="13"/>
  <c r="AC97" i="13" s="1"/>
  <c r="AL97" i="13" s="1"/>
  <c r="CW103" i="14"/>
  <c r="DF103" i="14" s="1"/>
  <c r="C103" i="13"/>
  <c r="E103" i="13" s="1"/>
  <c r="N103" i="13" s="1"/>
  <c r="BT103" i="16"/>
  <c r="BV103" i="16" s="1"/>
  <c r="CE103" i="16" s="1"/>
  <c r="Z103" i="16"/>
  <c r="AB103" i="16" s="1"/>
  <c r="AK103" i="16" s="1"/>
  <c r="CU103" i="15"/>
  <c r="CW103" i="15" s="1"/>
  <c r="DF103" i="15" s="1"/>
  <c r="AY103" i="15"/>
  <c r="BA103" i="15" s="1"/>
  <c r="BJ103" i="15" s="1"/>
  <c r="C103" i="15"/>
  <c r="E103" i="15" s="1"/>
  <c r="N103" i="15" s="1"/>
  <c r="E103" i="14"/>
  <c r="N103" i="14" s="1"/>
  <c r="BW103" i="13"/>
  <c r="BY103" i="13" s="1"/>
  <c r="CH103" i="13" s="1"/>
  <c r="AA103" i="13"/>
  <c r="AC103" i="13" s="1"/>
  <c r="AL103" i="13" s="1"/>
  <c r="CQ103" i="16"/>
  <c r="CS103" i="16" s="1"/>
  <c r="DB103" i="16" s="1"/>
  <c r="AW103" i="16"/>
  <c r="AY103" i="16" s="1"/>
  <c r="BH103" i="16" s="1"/>
  <c r="C103" i="16"/>
  <c r="E103" i="16" s="1"/>
  <c r="N103" i="16" s="1"/>
  <c r="BW103" i="15"/>
  <c r="BY103" i="15" s="1"/>
  <c r="CH103" i="15" s="1"/>
  <c r="AA103" i="15"/>
  <c r="AC103" i="15" s="1"/>
  <c r="AL103" i="15" s="1"/>
  <c r="CU103" i="13"/>
  <c r="CW103" i="13" s="1"/>
  <c r="DF103" i="13" s="1"/>
  <c r="AY103" i="13"/>
  <c r="BA103" i="13" s="1"/>
  <c r="BJ103" i="13" s="1"/>
  <c r="E43" i="10"/>
  <c r="F43" i="10" s="1"/>
  <c r="Z43" i="10" s="1"/>
  <c r="E51" i="10"/>
  <c r="F51" i="10" s="1"/>
  <c r="Z51" i="10" s="1"/>
  <c r="E54" i="10"/>
  <c r="F54" i="10" s="1"/>
  <c r="Z54" i="10" s="1"/>
  <c r="E44" i="10"/>
  <c r="F44" i="10" s="1"/>
  <c r="Z44" i="10" s="1"/>
  <c r="E52" i="10"/>
  <c r="F52" i="10" s="1"/>
  <c r="Z52" i="10" s="1"/>
  <c r="E45" i="10"/>
  <c r="F45" i="10" s="1"/>
  <c r="Z45" i="10" s="1"/>
  <c r="E53" i="10"/>
  <c r="F53" i="10" s="1"/>
  <c r="Z53" i="10" s="1"/>
  <c r="E46" i="10"/>
  <c r="F46" i="10" s="1"/>
  <c r="Z46" i="10" s="1"/>
  <c r="E47" i="10"/>
  <c r="F47" i="10" s="1"/>
  <c r="Z47" i="10" s="1"/>
  <c r="E41" i="10"/>
  <c r="F41" i="10" s="1"/>
  <c r="Z41" i="10" s="1"/>
  <c r="E50" i="10"/>
  <c r="F50" i="10" s="1"/>
  <c r="Z50" i="10" s="1"/>
  <c r="E40" i="10"/>
  <c r="F40" i="10" s="1"/>
  <c r="Z40" i="10" s="1"/>
  <c r="E48" i="10"/>
  <c r="F48" i="10" s="1"/>
  <c r="Z48" i="10" s="1"/>
  <c r="E49" i="10"/>
  <c r="F49" i="10" s="1"/>
  <c r="Z49" i="10" s="1"/>
  <c r="E42" i="10"/>
  <c r="F42" i="10" s="1"/>
  <c r="Z42" i="10" s="1"/>
  <c r="K65" i="2"/>
  <c r="K67" i="2" s="1"/>
  <c r="J67" i="2"/>
  <c r="Y65" i="2"/>
  <c r="Y67" i="2" s="1"/>
  <c r="X67" i="2"/>
  <c r="F56" i="22" s="1"/>
  <c r="R65" i="2"/>
  <c r="R67" i="2" s="1"/>
  <c r="Q67" i="2"/>
  <c r="AF65" i="2"/>
  <c r="AF67" i="2" s="1"/>
  <c r="AE67" i="2"/>
  <c r="AF44" i="2"/>
  <c r="AF64" i="2" s="1"/>
  <c r="S22" i="14" l="1"/>
  <c r="S23" i="14" s="1"/>
  <c r="S24" i="14" s="1"/>
  <c r="CU25" i="14"/>
  <c r="CW25" i="14" s="1"/>
  <c r="AA25" i="14"/>
  <c r="AC25" i="14" s="1"/>
  <c r="BW25" i="14"/>
  <c r="BY25" i="14" s="1"/>
  <c r="AY25" i="14"/>
  <c r="BA25" i="14" s="1"/>
  <c r="E25" i="14"/>
  <c r="N25" i="14" s="1"/>
  <c r="CU26" i="14"/>
  <c r="CW26" i="14" s="1"/>
  <c r="DF26" i="14" s="1"/>
  <c r="BW26" i="14"/>
  <c r="BY26" i="14" s="1"/>
  <c r="CH26" i="14" s="1"/>
  <c r="AY26" i="14"/>
  <c r="BA26" i="14" s="1"/>
  <c r="BJ26" i="14" s="1"/>
  <c r="AA26" i="14"/>
  <c r="AC26" i="14" s="1"/>
  <c r="AL26" i="14" s="1"/>
  <c r="E26" i="14"/>
  <c r="N26" i="14" s="1"/>
  <c r="CU27" i="14"/>
  <c r="CW27" i="14" s="1"/>
  <c r="DF27" i="14" s="1"/>
  <c r="BW27" i="14"/>
  <c r="BY27" i="14" s="1"/>
  <c r="CH27" i="14" s="1"/>
  <c r="AY27" i="14"/>
  <c r="BA27" i="14" s="1"/>
  <c r="BJ27" i="14" s="1"/>
  <c r="AA27" i="14"/>
  <c r="AC27" i="14" s="1"/>
  <c r="AL27" i="14" s="1"/>
  <c r="E27" i="14"/>
  <c r="N27" i="14" s="1"/>
  <c r="Y64" i="2"/>
  <c r="U22" i="8" s="1"/>
  <c r="Q22" i="8"/>
  <c r="K22" i="2"/>
  <c r="CX128" i="16"/>
  <c r="J128" i="16"/>
  <c r="AH128" i="15"/>
  <c r="BF128" i="14"/>
  <c r="CD128" i="13"/>
  <c r="CA128" i="16"/>
  <c r="DB128" i="15"/>
  <c r="J128" i="15"/>
  <c r="AH128" i="14"/>
  <c r="BF128" i="13"/>
  <c r="BD128" i="16"/>
  <c r="CD128" i="15"/>
  <c r="DB128" i="14"/>
  <c r="J128" i="14"/>
  <c r="AH128" i="13"/>
  <c r="AG128" i="16"/>
  <c r="J128" i="13"/>
  <c r="BF128" i="15"/>
  <c r="CD128" i="14"/>
  <c r="DB128" i="13"/>
  <c r="W22" i="8"/>
  <c r="S91" i="15"/>
  <c r="S92" i="15" s="1"/>
  <c r="S93" i="15" s="1"/>
  <c r="CM91" i="15"/>
  <c r="CM92" i="15" s="1"/>
  <c r="CM93" i="15" s="1"/>
  <c r="G56" i="22"/>
  <c r="CX103" i="16"/>
  <c r="J103" i="16"/>
  <c r="AH103" i="15"/>
  <c r="BF103" i="14"/>
  <c r="CD103" i="13"/>
  <c r="BD103" i="16"/>
  <c r="CD103" i="15"/>
  <c r="DB103" i="14"/>
  <c r="J103" i="14"/>
  <c r="AH103" i="13"/>
  <c r="CA103" i="16"/>
  <c r="J103" i="15"/>
  <c r="BF103" i="13"/>
  <c r="DB103" i="15"/>
  <c r="AH103" i="14"/>
  <c r="AG103" i="16"/>
  <c r="J103" i="13"/>
  <c r="CD103" i="14"/>
  <c r="DB103" i="13"/>
  <c r="BF103" i="15"/>
  <c r="AQ91" i="13"/>
  <c r="AQ92" i="13" s="1"/>
  <c r="AQ93" i="13" s="1"/>
  <c r="BO91" i="15"/>
  <c r="BO92" i="15" s="1"/>
  <c r="BO93" i="15" s="1"/>
  <c r="BO91" i="13"/>
  <c r="BO92" i="13" s="1"/>
  <c r="BO93" i="13" s="1"/>
  <c r="S91" i="16"/>
  <c r="S92" i="16" s="1"/>
  <c r="S93" i="16" s="1"/>
  <c r="S94" i="16" s="1"/>
  <c r="S95" i="16" s="1"/>
  <c r="S96" i="16" s="1"/>
  <c r="AQ91" i="14"/>
  <c r="AQ92" i="14" s="1"/>
  <c r="AQ93" i="14" s="1"/>
  <c r="CM91" i="13"/>
  <c r="CM92" i="13" s="1"/>
  <c r="CM93" i="13" s="1"/>
  <c r="DK91" i="15"/>
  <c r="DK92" i="15" s="1"/>
  <c r="DK93" i="15" s="1"/>
  <c r="DK91" i="13"/>
  <c r="DK92" i="13" s="1"/>
  <c r="DK93" i="13" s="1"/>
  <c r="BM91" i="16"/>
  <c r="BM92" i="16" s="1"/>
  <c r="BM93" i="16" s="1"/>
  <c r="BO91" i="14"/>
  <c r="BO92" i="14" s="1"/>
  <c r="BO93" i="14" s="1"/>
  <c r="S91" i="13"/>
  <c r="S92" i="13" s="1"/>
  <c r="S93" i="13" s="1"/>
  <c r="CJ91" i="16"/>
  <c r="CJ92" i="16" s="1"/>
  <c r="CJ93" i="16" s="1"/>
  <c r="CM91" i="14"/>
  <c r="CM92" i="14" s="1"/>
  <c r="CM93" i="14" s="1"/>
  <c r="S91" i="14"/>
  <c r="S92" i="14" s="1"/>
  <c r="S93" i="14" s="1"/>
  <c r="AP91" i="16"/>
  <c r="AP92" i="16" s="1"/>
  <c r="AP93" i="16" s="1"/>
  <c r="AQ91" i="15"/>
  <c r="AQ92" i="15" s="1"/>
  <c r="AQ93" i="15" s="1"/>
  <c r="DG91" i="16"/>
  <c r="DG92" i="16" s="1"/>
  <c r="DG93" i="16" s="1"/>
  <c r="DK91" i="14"/>
  <c r="DK92" i="14" s="1"/>
  <c r="DK93" i="14" s="1"/>
  <c r="F48" i="22"/>
  <c r="F49" i="22"/>
  <c r="F50" i="22"/>
  <c r="F39" i="22"/>
  <c r="V28" i="10"/>
  <c r="D56" i="22"/>
  <c r="V54" i="10"/>
  <c r="E56" i="22"/>
  <c r="J53" i="13"/>
  <c r="CD53" i="13"/>
  <c r="J53" i="14"/>
  <c r="DB53" i="15"/>
  <c r="DB53" i="14"/>
  <c r="J53" i="16"/>
  <c r="CX53" i="16"/>
  <c r="CD53" i="15"/>
  <c r="BF53" i="13"/>
  <c r="AH53" i="15"/>
  <c r="CA53" i="16"/>
  <c r="BF53" i="15"/>
  <c r="CD53" i="14"/>
  <c r="AG53" i="16"/>
  <c r="AH53" i="14"/>
  <c r="BD53" i="16"/>
  <c r="BF53" i="14"/>
  <c r="J53" i="15"/>
  <c r="DB53" i="13"/>
  <c r="AH53" i="13"/>
  <c r="V106" i="10"/>
  <c r="CD27" i="15"/>
  <c r="DB27" i="15"/>
  <c r="CA27" i="16"/>
  <c r="DB27" i="14"/>
  <c r="BD27" i="16"/>
  <c r="AH27" i="14"/>
  <c r="J27" i="13"/>
  <c r="K27" i="13" s="1"/>
  <c r="P27" i="13" s="1"/>
  <c r="CD27" i="14"/>
  <c r="J27" i="15"/>
  <c r="AG27" i="16"/>
  <c r="BF27" i="15"/>
  <c r="DB27" i="13"/>
  <c r="CX27" i="16"/>
  <c r="CD27" i="13"/>
  <c r="BF27" i="14"/>
  <c r="J27" i="16"/>
  <c r="AH27" i="15"/>
  <c r="J27" i="14"/>
  <c r="AH27" i="13"/>
  <c r="BF27" i="13"/>
  <c r="V80" i="10"/>
  <c r="CE26" i="15"/>
  <c r="CJ26" i="15" s="1"/>
  <c r="CE18" i="15"/>
  <c r="CJ18" i="15" s="1"/>
  <c r="DC24" i="15"/>
  <c r="DH24" i="15" s="1"/>
  <c r="DC21" i="15"/>
  <c r="DH21" i="15" s="1"/>
  <c r="CE15" i="15"/>
  <c r="CJ15" i="15" s="1"/>
  <c r="DC17" i="15"/>
  <c r="DH17" i="15" s="1"/>
  <c r="CE25" i="15"/>
  <c r="CJ25" i="15" s="1"/>
  <c r="DC22" i="15"/>
  <c r="DH22" i="15" s="1"/>
  <c r="CB16" i="16"/>
  <c r="CG16" i="16" s="1"/>
  <c r="BG23" i="14"/>
  <c r="BL23" i="14" s="1"/>
  <c r="CE14" i="14"/>
  <c r="CJ14" i="14" s="1"/>
  <c r="AH26" i="16"/>
  <c r="AM26" i="16" s="1"/>
  <c r="K17" i="15"/>
  <c r="P17" i="15" s="1"/>
  <c r="AI25" i="13"/>
  <c r="AN25" i="13" s="1"/>
  <c r="DC15" i="14"/>
  <c r="DH15" i="14" s="1"/>
  <c r="CY18" i="16"/>
  <c r="DD18" i="16" s="1"/>
  <c r="CE21" i="14"/>
  <c r="CJ21" i="14" s="1"/>
  <c r="DC23" i="13"/>
  <c r="DH23" i="13" s="1"/>
  <c r="BE25" i="16"/>
  <c r="BJ25" i="16" s="1"/>
  <c r="K17" i="16"/>
  <c r="P17" i="16" s="1"/>
  <c r="BG17" i="15"/>
  <c r="BL17" i="15" s="1"/>
  <c r="K13" i="15"/>
  <c r="P13" i="15" s="1"/>
  <c r="BG15" i="13"/>
  <c r="BL15" i="13" s="1"/>
  <c r="CB25" i="16"/>
  <c r="CG25" i="16" s="1"/>
  <c r="CE13" i="14"/>
  <c r="CJ13" i="14" s="1"/>
  <c r="DC19" i="14"/>
  <c r="DH19" i="14" s="1"/>
  <c r="CE14" i="13"/>
  <c r="CJ14" i="13" s="1"/>
  <c r="AH16" i="16"/>
  <c r="AM16" i="16" s="1"/>
  <c r="BG24" i="15"/>
  <c r="BL24" i="15" s="1"/>
  <c r="AI18" i="15"/>
  <c r="AN18" i="15" s="1"/>
  <c r="BG17" i="13"/>
  <c r="BL17" i="13" s="1"/>
  <c r="BG14" i="14"/>
  <c r="BL14" i="14" s="1"/>
  <c r="DC13" i="14"/>
  <c r="DH13" i="14" s="1"/>
  <c r="DC22" i="13"/>
  <c r="DH22" i="13" s="1"/>
  <c r="K15" i="16"/>
  <c r="P15" i="16" s="1"/>
  <c r="AI19" i="15"/>
  <c r="AN19" i="15" s="1"/>
  <c r="AI13" i="15"/>
  <c r="AN13" i="15" s="1"/>
  <c r="BG14" i="13"/>
  <c r="BL14" i="13" s="1"/>
  <c r="CY20" i="16"/>
  <c r="DD20" i="16" s="1"/>
  <c r="DC18" i="14"/>
  <c r="DH18" i="14" s="1"/>
  <c r="CE22" i="14"/>
  <c r="CJ22" i="14" s="1"/>
  <c r="BE26" i="16"/>
  <c r="BJ26" i="16" s="1"/>
  <c r="K14" i="16"/>
  <c r="P14" i="16" s="1"/>
  <c r="AI17" i="14"/>
  <c r="AN17" i="14" s="1"/>
  <c r="K17" i="13"/>
  <c r="P17" i="13" s="1"/>
  <c r="BG26" i="15"/>
  <c r="BL26" i="15" s="1"/>
  <c r="AH14" i="16"/>
  <c r="AM14" i="16" s="1"/>
  <c r="BG25" i="13"/>
  <c r="BL25" i="13" s="1"/>
  <c r="BG24" i="14"/>
  <c r="BL24" i="14" s="1"/>
  <c r="K20" i="16"/>
  <c r="P20" i="16" s="1"/>
  <c r="AI17" i="15"/>
  <c r="AN17" i="15" s="1"/>
  <c r="AI19" i="14"/>
  <c r="AN19" i="14" s="1"/>
  <c r="AI20" i="13"/>
  <c r="AN20" i="13" s="1"/>
  <c r="K15" i="13"/>
  <c r="P15" i="13" s="1"/>
  <c r="CB26" i="16"/>
  <c r="CG26" i="16" s="1"/>
  <c r="AI16" i="15"/>
  <c r="AN16" i="15" s="1"/>
  <c r="K24" i="16"/>
  <c r="P24" i="16" s="1"/>
  <c r="K23" i="14"/>
  <c r="P23" i="14" s="1"/>
  <c r="CB24" i="16"/>
  <c r="CG24" i="16" s="1"/>
  <c r="CE26" i="14"/>
  <c r="CJ26" i="14" s="1"/>
  <c r="K20" i="15"/>
  <c r="P20" i="15" s="1"/>
  <c r="CE16" i="13"/>
  <c r="CJ16" i="13" s="1"/>
  <c r="BE17" i="16"/>
  <c r="BJ17" i="16" s="1"/>
  <c r="K26" i="13"/>
  <c r="P26" i="13" s="1"/>
  <c r="K18" i="13"/>
  <c r="P18" i="13" s="1"/>
  <c r="DC23" i="14"/>
  <c r="DH23" i="14" s="1"/>
  <c r="CE23" i="14"/>
  <c r="CJ23" i="14" s="1"/>
  <c r="CE18" i="14"/>
  <c r="CJ18" i="14" s="1"/>
  <c r="K22" i="16"/>
  <c r="P22" i="16" s="1"/>
  <c r="AH21" i="16"/>
  <c r="AM21" i="16" s="1"/>
  <c r="K25" i="14"/>
  <c r="P25" i="14" s="1"/>
  <c r="BG19" i="13"/>
  <c r="BL19" i="13" s="1"/>
  <c r="CB18" i="16"/>
  <c r="CG18" i="16" s="1"/>
  <c r="K26" i="16"/>
  <c r="P26" i="16" s="1"/>
  <c r="K16" i="16"/>
  <c r="P16" i="16" s="1"/>
  <c r="BG22" i="15"/>
  <c r="BL22" i="15" s="1"/>
  <c r="K21" i="15"/>
  <c r="P21" i="15" s="1"/>
  <c r="K26" i="14"/>
  <c r="P26" i="14" s="1"/>
  <c r="BG21" i="13"/>
  <c r="BL21" i="13" s="1"/>
  <c r="CY16" i="16"/>
  <c r="DD16" i="16" s="1"/>
  <c r="W69" i="10"/>
  <c r="AB69" i="10" s="1"/>
  <c r="W72" i="10"/>
  <c r="AB72" i="10" s="1"/>
  <c r="W73" i="10"/>
  <c r="AB73" i="10" s="1"/>
  <c r="W71" i="10"/>
  <c r="AB71" i="10" s="1"/>
  <c r="W67" i="10"/>
  <c r="AB67" i="10" s="1"/>
  <c r="W75" i="10"/>
  <c r="AB75" i="10" s="1"/>
  <c r="AE16" i="10"/>
  <c r="AE17" i="10" s="1"/>
  <c r="AE18" i="10" s="1"/>
  <c r="AE39" i="10"/>
  <c r="BJ25" i="14" l="1"/>
  <c r="BO25" i="14" s="1"/>
  <c r="BO26" i="14" s="1"/>
  <c r="BO27" i="14" s="1"/>
  <c r="J160" i="14" s="1"/>
  <c r="CH25" i="14"/>
  <c r="CM25" i="14" s="1"/>
  <c r="CM26" i="14" s="1"/>
  <c r="CM27" i="14" s="1"/>
  <c r="K160" i="14" s="1"/>
  <c r="AL25" i="14"/>
  <c r="AQ25" i="14" s="1"/>
  <c r="AQ26" i="14" s="1"/>
  <c r="AQ27" i="14" s="1"/>
  <c r="I160" i="14" s="1"/>
  <c r="DF25" i="14"/>
  <c r="DK25" i="14" s="1"/>
  <c r="DK26" i="14" s="1"/>
  <c r="DK27" i="14" s="1"/>
  <c r="L160" i="14" s="1"/>
  <c r="S25" i="14"/>
  <c r="S26" i="14" s="1"/>
  <c r="S27" i="14" s="1"/>
  <c r="H160" i="14" s="1"/>
  <c r="F51" i="22"/>
  <c r="F43" i="22"/>
  <c r="F38" i="22"/>
  <c r="F47" i="22"/>
  <c r="CE24" i="15"/>
  <c r="CJ24" i="15" s="1"/>
  <c r="CE16" i="15"/>
  <c r="CE17" i="15"/>
  <c r="CE21" i="15"/>
  <c r="CJ21" i="15" s="1"/>
  <c r="CB14" i="16"/>
  <c r="CG14" i="16" s="1"/>
  <c r="BG19" i="14"/>
  <c r="BL19" i="14" s="1"/>
  <c r="DC19" i="13"/>
  <c r="AH15" i="16"/>
  <c r="AM15" i="16" s="1"/>
  <c r="AI15" i="14"/>
  <c r="AN15" i="14" s="1"/>
  <c r="BG22" i="13"/>
  <c r="CY22" i="16"/>
  <c r="BG18" i="14"/>
  <c r="BL18" i="14" s="1"/>
  <c r="DC21" i="14"/>
  <c r="DH21" i="14" s="1"/>
  <c r="CE17" i="14"/>
  <c r="CJ17" i="14" s="1"/>
  <c r="DC21" i="13"/>
  <c r="K25" i="16"/>
  <c r="BE14" i="16"/>
  <c r="BJ14" i="16" s="1"/>
  <c r="K15" i="15"/>
  <c r="P15" i="15" s="1"/>
  <c r="K27" i="14"/>
  <c r="AI18" i="13"/>
  <c r="AN18" i="13" s="1"/>
  <c r="CB21" i="16"/>
  <c r="CG21" i="16" s="1"/>
  <c r="CY19" i="16"/>
  <c r="DD19" i="16" s="1"/>
  <c r="DC17" i="14"/>
  <c r="DH17" i="14" s="1"/>
  <c r="BE22" i="16"/>
  <c r="BJ22" i="16" s="1"/>
  <c r="BE13" i="16"/>
  <c r="BJ13" i="16" s="1"/>
  <c r="K23" i="15"/>
  <c r="AI19" i="13"/>
  <c r="AN19" i="13" s="1"/>
  <c r="CE16" i="14"/>
  <c r="CJ16" i="14" s="1"/>
  <c r="CE19" i="14"/>
  <c r="CJ19" i="14" s="1"/>
  <c r="DC20" i="13"/>
  <c r="DH20" i="13" s="1"/>
  <c r="AH25" i="16"/>
  <c r="AM25" i="16" s="1"/>
  <c r="K13" i="16"/>
  <c r="P13" i="16" s="1"/>
  <c r="K18" i="15"/>
  <c r="P18" i="15" s="1"/>
  <c r="AI26" i="14"/>
  <c r="AN26" i="14" s="1"/>
  <c r="AI14" i="13"/>
  <c r="AN14" i="13" s="1"/>
  <c r="CB20" i="16"/>
  <c r="CG20" i="16" s="1"/>
  <c r="CE18" i="13"/>
  <c r="AH19" i="16"/>
  <c r="AM19" i="16" s="1"/>
  <c r="BG16" i="15"/>
  <c r="AI16" i="13"/>
  <c r="AN16" i="13" s="1"/>
  <c r="K13" i="13"/>
  <c r="K22" i="14"/>
  <c r="CB22" i="16"/>
  <c r="CG22" i="16" s="1"/>
  <c r="CE27" i="13"/>
  <c r="CJ27" i="13" s="1"/>
  <c r="K18" i="16"/>
  <c r="K14" i="15"/>
  <c r="P14" i="15" s="1"/>
  <c r="AI18" i="14"/>
  <c r="AN18" i="14" s="1"/>
  <c r="BE23" i="16"/>
  <c r="BJ23" i="16" s="1"/>
  <c r="CE15" i="14"/>
  <c r="CJ15" i="14" s="1"/>
  <c r="AI23" i="13"/>
  <c r="AN23" i="13" s="1"/>
  <c r="BE20" i="16"/>
  <c r="K21" i="14"/>
  <c r="CB15" i="16"/>
  <c r="CG15" i="16" s="1"/>
  <c r="DC16" i="13"/>
  <c r="CY23" i="16"/>
  <c r="AH23" i="16"/>
  <c r="AM23" i="16" s="1"/>
  <c r="BG25" i="15"/>
  <c r="BL25" i="15" s="1"/>
  <c r="K24" i="13"/>
  <c r="K16" i="13"/>
  <c r="P16" i="13" s="1"/>
  <c r="BG20" i="14"/>
  <c r="BL20" i="14" s="1"/>
  <c r="DC15" i="13"/>
  <c r="BG23" i="15"/>
  <c r="K16" i="14"/>
  <c r="P16" i="14" s="1"/>
  <c r="BG17" i="14"/>
  <c r="BL17" i="14" s="1"/>
  <c r="K27" i="15"/>
  <c r="AI20" i="15"/>
  <c r="BG16" i="13"/>
  <c r="W77" i="10"/>
  <c r="W70" i="10"/>
  <c r="AB70" i="10" s="1"/>
  <c r="W66" i="10"/>
  <c r="AB66" i="10" s="1"/>
  <c r="W68" i="10"/>
  <c r="F52" i="22"/>
  <c r="F45" i="22"/>
  <c r="F44" i="22"/>
  <c r="DC16" i="15"/>
  <c r="DH16" i="15" s="1"/>
  <c r="DC13" i="15"/>
  <c r="DH13" i="15" s="1"/>
  <c r="CE27" i="15"/>
  <c r="CJ27" i="15" s="1"/>
  <c r="CY24" i="16"/>
  <c r="DC14" i="14"/>
  <c r="BG13" i="14"/>
  <c r="DC13" i="13"/>
  <c r="K24" i="15"/>
  <c r="AI14" i="14"/>
  <c r="AN14" i="14" s="1"/>
  <c r="BG13" i="13"/>
  <c r="BL13" i="13" s="1"/>
  <c r="CE20" i="14"/>
  <c r="BG27" i="14"/>
  <c r="BL27" i="14" s="1"/>
  <c r="DC27" i="13"/>
  <c r="DH27" i="13" s="1"/>
  <c r="CE25" i="13"/>
  <c r="CJ25" i="13" s="1"/>
  <c r="BE21" i="16"/>
  <c r="BJ21" i="16" s="1"/>
  <c r="AI16" i="14"/>
  <c r="AN16" i="14" s="1"/>
  <c r="AI26" i="13"/>
  <c r="AN26" i="13" s="1"/>
  <c r="CB17" i="16"/>
  <c r="DC26" i="14"/>
  <c r="CE24" i="14"/>
  <c r="CJ24" i="14" s="1"/>
  <c r="K21" i="16"/>
  <c r="P21" i="16" s="1"/>
  <c r="AI27" i="15"/>
  <c r="AI24" i="14"/>
  <c r="AN24" i="14" s="1"/>
  <c r="AI27" i="13"/>
  <c r="CY26" i="16"/>
  <c r="DD26" i="16" s="1"/>
  <c r="DC26" i="13"/>
  <c r="CE21" i="13"/>
  <c r="CJ21" i="13" s="1"/>
  <c r="AH18" i="16"/>
  <c r="K24" i="14"/>
  <c r="P24" i="14" s="1"/>
  <c r="AI22" i="13"/>
  <c r="AN22" i="13" s="1"/>
  <c r="DC25" i="14"/>
  <c r="DH25" i="14" s="1"/>
  <c r="BG22" i="14"/>
  <c r="BL22" i="14" s="1"/>
  <c r="CE15" i="13"/>
  <c r="CJ15" i="13" s="1"/>
  <c r="AH17" i="16"/>
  <c r="AM17" i="16" s="1"/>
  <c r="AI23" i="14"/>
  <c r="AN23" i="14" s="1"/>
  <c r="K25" i="13"/>
  <c r="K23" i="16"/>
  <c r="P23" i="16" s="1"/>
  <c r="BG20" i="13"/>
  <c r="K20" i="14"/>
  <c r="CB13" i="16"/>
  <c r="CE24" i="13"/>
  <c r="CJ24" i="13" s="1"/>
  <c r="AH13" i="16"/>
  <c r="AM13" i="16" s="1"/>
  <c r="AI21" i="14"/>
  <c r="AN21" i="14" s="1"/>
  <c r="BG26" i="13"/>
  <c r="K23" i="13"/>
  <c r="P23" i="13" s="1"/>
  <c r="BG18" i="13"/>
  <c r="CE26" i="13"/>
  <c r="CJ26" i="13" s="1"/>
  <c r="K22" i="15"/>
  <c r="K19" i="14"/>
  <c r="P19" i="14" s="1"/>
  <c r="DC22" i="14"/>
  <c r="DH22" i="14" s="1"/>
  <c r="DC14" i="13"/>
  <c r="DH14" i="13" s="1"/>
  <c r="CY14" i="16"/>
  <c r="DD14" i="16" s="1"/>
  <c r="BE19" i="16"/>
  <c r="BJ19" i="16" s="1"/>
  <c r="K14" i="14"/>
  <c r="P14" i="14" s="1"/>
  <c r="K22" i="13"/>
  <c r="P22" i="13" s="1"/>
  <c r="K14" i="13"/>
  <c r="P14" i="13" s="1"/>
  <c r="BG15" i="14"/>
  <c r="BL15" i="14" s="1"/>
  <c r="BE24" i="16"/>
  <c r="BJ24" i="16" s="1"/>
  <c r="K15" i="14"/>
  <c r="P15" i="14" s="1"/>
  <c r="DC17" i="13"/>
  <c r="DH17" i="13" s="1"/>
  <c r="AI15" i="13"/>
  <c r="AN15" i="13" s="1"/>
  <c r="W79" i="10"/>
  <c r="AB79" i="10" s="1"/>
  <c r="W78" i="10"/>
  <c r="W74" i="10"/>
  <c r="AB74" i="10" s="1"/>
  <c r="W76" i="10"/>
  <c r="AB76" i="10" s="1"/>
  <c r="F40" i="22"/>
  <c r="F41" i="22"/>
  <c r="F42" i="22"/>
  <c r="F46" i="22"/>
  <c r="CE20" i="15"/>
  <c r="DC27" i="15"/>
  <c r="DH27" i="15" s="1"/>
  <c r="DC23" i="15"/>
  <c r="DH23" i="15" s="1"/>
  <c r="CE19" i="15"/>
  <c r="CJ19" i="15" s="1"/>
  <c r="CY15" i="16"/>
  <c r="DD15" i="16" s="1"/>
  <c r="BG25" i="14"/>
  <c r="CE25" i="14"/>
  <c r="CJ25" i="14" s="1"/>
  <c r="CE20" i="13"/>
  <c r="BG21" i="15"/>
  <c r="BL21" i="15" s="1"/>
  <c r="K13" i="14"/>
  <c r="P13" i="14" s="1"/>
  <c r="AI17" i="13"/>
  <c r="AN17" i="13" s="1"/>
  <c r="CB23" i="16"/>
  <c r="CG23" i="16" s="1"/>
  <c r="CY25" i="16"/>
  <c r="DD25" i="16" s="1"/>
  <c r="BG21" i="14"/>
  <c r="DC25" i="13"/>
  <c r="DH25" i="13" s="1"/>
  <c r="CE17" i="13"/>
  <c r="BE18" i="16"/>
  <c r="BJ18" i="16" s="1"/>
  <c r="AI22" i="15"/>
  <c r="BG24" i="13"/>
  <c r="BL24" i="13" s="1"/>
  <c r="CY13" i="16"/>
  <c r="DD13" i="16" s="1"/>
  <c r="BG16" i="14"/>
  <c r="BL16" i="14" s="1"/>
  <c r="DC24" i="14"/>
  <c r="DH24" i="14" s="1"/>
  <c r="CE22" i="13"/>
  <c r="AH20" i="16"/>
  <c r="AM20" i="16" s="1"/>
  <c r="K26" i="15"/>
  <c r="P26" i="15" s="1"/>
  <c r="AI13" i="14"/>
  <c r="CB19" i="16"/>
  <c r="CY17" i="16"/>
  <c r="DD17" i="16" s="1"/>
  <c r="DC24" i="13"/>
  <c r="DH24" i="13" s="1"/>
  <c r="CE13" i="13"/>
  <c r="BE15" i="16"/>
  <c r="BJ15" i="16" s="1"/>
  <c r="AI24" i="15"/>
  <c r="AN24" i="15" s="1"/>
  <c r="K17" i="14"/>
  <c r="P17" i="14" s="1"/>
  <c r="DC20" i="14"/>
  <c r="DH20" i="14" s="1"/>
  <c r="CE27" i="14"/>
  <c r="CJ27" i="14" s="1"/>
  <c r="AH27" i="16"/>
  <c r="AM27" i="16" s="1"/>
  <c r="BE16" i="16"/>
  <c r="BJ16" i="16" s="1"/>
  <c r="AI22" i="14"/>
  <c r="K21" i="13"/>
  <c r="DC18" i="13"/>
  <c r="CE23" i="13"/>
  <c r="CJ23" i="13" s="1"/>
  <c r="K18" i="14"/>
  <c r="P18" i="14" s="1"/>
  <c r="DC16" i="14"/>
  <c r="DH16" i="14" s="1"/>
  <c r="AH24" i="16"/>
  <c r="AM24" i="16" s="1"/>
  <c r="AI23" i="15"/>
  <c r="AN23" i="15" s="1"/>
  <c r="AI20" i="14"/>
  <c r="AN20" i="14" s="1"/>
  <c r="BG23" i="13"/>
  <c r="K19" i="13"/>
  <c r="P19" i="13" s="1"/>
  <c r="AI21" i="13"/>
  <c r="AN21" i="13" s="1"/>
  <c r="AI21" i="15"/>
  <c r="AN21" i="15" s="1"/>
  <c r="AI25" i="14"/>
  <c r="AI24" i="13"/>
  <c r="AN24" i="13" s="1"/>
  <c r="BG26" i="14"/>
  <c r="AH22" i="16"/>
  <c r="CE19" i="13"/>
  <c r="CJ19" i="13" s="1"/>
  <c r="K19" i="16"/>
  <c r="P19" i="16" s="1"/>
  <c r="AI13" i="13"/>
  <c r="AN13" i="13" s="1"/>
  <c r="K20" i="13"/>
  <c r="P20" i="13" s="1"/>
  <c r="CY21" i="16"/>
  <c r="CY103" i="16"/>
  <c r="DD103" i="16" s="1"/>
  <c r="CB102" i="16"/>
  <c r="CG102" i="16" s="1"/>
  <c r="BE101" i="16"/>
  <c r="AH100" i="16"/>
  <c r="AM100" i="16" s="1"/>
  <c r="K99" i="16"/>
  <c r="DC98" i="15"/>
  <c r="CE97" i="15"/>
  <c r="CJ97" i="15" s="1"/>
  <c r="BG96" i="15"/>
  <c r="BL96" i="15" s="1"/>
  <c r="AI95" i="15"/>
  <c r="K94" i="15"/>
  <c r="P94" i="15" s="1"/>
  <c r="DC93" i="14"/>
  <c r="CE92" i="14"/>
  <c r="CJ92" i="14" s="1"/>
  <c r="BG91" i="14"/>
  <c r="BL91" i="14" s="1"/>
  <c r="AI90" i="14"/>
  <c r="AN90" i="14" s="1"/>
  <c r="K89" i="14"/>
  <c r="CE103" i="13"/>
  <c r="CJ103" i="13" s="1"/>
  <c r="BG102" i="13"/>
  <c r="BL102" i="13" s="1"/>
  <c r="AI101" i="13"/>
  <c r="AN101" i="13" s="1"/>
  <c r="K93" i="13"/>
  <c r="P93" i="13" s="1"/>
  <c r="CY97" i="16"/>
  <c r="DD97" i="16" s="1"/>
  <c r="CB96" i="16"/>
  <c r="CG96" i="16" s="1"/>
  <c r="BE95" i="16"/>
  <c r="BJ95" i="16" s="1"/>
  <c r="AH94" i="16"/>
  <c r="AM94" i="16" s="1"/>
  <c r="K93" i="16"/>
  <c r="P93" i="16" s="1"/>
  <c r="DC92" i="15"/>
  <c r="DH92" i="15" s="1"/>
  <c r="CE91" i="15"/>
  <c r="CJ91" i="15" s="1"/>
  <c r="BG90" i="15"/>
  <c r="BL90" i="15" s="1"/>
  <c r="AI89" i="15"/>
  <c r="AN89" i="15" s="1"/>
  <c r="DC103" i="14"/>
  <c r="DH103" i="14" s="1"/>
  <c r="CE102" i="14"/>
  <c r="BG101" i="14"/>
  <c r="BL101" i="14" s="1"/>
  <c r="AI100" i="14"/>
  <c r="AN100" i="14" s="1"/>
  <c r="K99" i="14"/>
  <c r="P99" i="14" s="1"/>
  <c r="DC98" i="13"/>
  <c r="DH98" i="13" s="1"/>
  <c r="CE97" i="13"/>
  <c r="CJ97" i="13" s="1"/>
  <c r="BG96" i="13"/>
  <c r="BL96" i="13" s="1"/>
  <c r="AI95" i="13"/>
  <c r="AN95" i="13" s="1"/>
  <c r="K99" i="13"/>
  <c r="CB97" i="16"/>
  <c r="CG97" i="16" s="1"/>
  <c r="AH95" i="16"/>
  <c r="AM95" i="16" s="1"/>
  <c r="DC93" i="15"/>
  <c r="DH93" i="15" s="1"/>
  <c r="BG91" i="15"/>
  <c r="BL91" i="15" s="1"/>
  <c r="K89" i="15"/>
  <c r="P89" i="15" s="1"/>
  <c r="BG102" i="14"/>
  <c r="BL102" i="14" s="1"/>
  <c r="K100" i="14"/>
  <c r="P100" i="14" s="1"/>
  <c r="CE98" i="13"/>
  <c r="CJ98" i="13" s="1"/>
  <c r="AI96" i="13"/>
  <c r="AN96" i="13" s="1"/>
  <c r="CY94" i="16"/>
  <c r="DD94" i="16" s="1"/>
  <c r="BE92" i="16"/>
  <c r="BJ92" i="16" s="1"/>
  <c r="K90" i="16"/>
  <c r="BG103" i="15"/>
  <c r="BL103" i="15" s="1"/>
  <c r="K101" i="15"/>
  <c r="P101" i="15" s="1"/>
  <c r="CE99" i="14"/>
  <c r="CJ99" i="14" s="1"/>
  <c r="AI97" i="14"/>
  <c r="AN97" i="14" s="1"/>
  <c r="DC95" i="13"/>
  <c r="DH95" i="13" s="1"/>
  <c r="BG93" i="13"/>
  <c r="BL93" i="13" s="1"/>
  <c r="K100" i="13"/>
  <c r="P100" i="13" s="1"/>
  <c r="K100" i="16"/>
  <c r="P100" i="16" s="1"/>
  <c r="AI96" i="15"/>
  <c r="AN96" i="15" s="1"/>
  <c r="BG92" i="14"/>
  <c r="BL92" i="14" s="1"/>
  <c r="BG103" i="13"/>
  <c r="CB95" i="16"/>
  <c r="CG95" i="16" s="1"/>
  <c r="DC91" i="15"/>
  <c r="DH91" i="15" s="1"/>
  <c r="DC102" i="14"/>
  <c r="DH102" i="14" s="1"/>
  <c r="K98" i="14"/>
  <c r="P98" i="14" s="1"/>
  <c r="AI94" i="13"/>
  <c r="AN94" i="13" s="1"/>
  <c r="BE90" i="16"/>
  <c r="BJ90" i="16" s="1"/>
  <c r="BG101" i="15"/>
  <c r="BL101" i="15" s="1"/>
  <c r="CE97" i="14"/>
  <c r="CJ97" i="14" s="1"/>
  <c r="DC93" i="13"/>
  <c r="K102" i="13"/>
  <c r="P102" i="13" s="1"/>
  <c r="CE100" i="13"/>
  <c r="CJ100" i="13" s="1"/>
  <c r="AI103" i="14"/>
  <c r="AN103" i="14" s="1"/>
  <c r="K91" i="15"/>
  <c r="P91" i="15" s="1"/>
  <c r="CE94" i="15"/>
  <c r="CJ94" i="15" s="1"/>
  <c r="CY99" i="16"/>
  <c r="DD99" i="16" s="1"/>
  <c r="CB98" i="16"/>
  <c r="CG98" i="16" s="1"/>
  <c r="BE97" i="16"/>
  <c r="BJ97" i="16" s="1"/>
  <c r="AH96" i="16"/>
  <c r="AM96" i="16" s="1"/>
  <c r="K95" i="16"/>
  <c r="DC94" i="15"/>
  <c r="DH94" i="15" s="1"/>
  <c r="CE93" i="15"/>
  <c r="CJ93" i="15" s="1"/>
  <c r="BG92" i="15"/>
  <c r="BL92" i="15" s="1"/>
  <c r="AI91" i="15"/>
  <c r="AN91" i="15" s="1"/>
  <c r="K90" i="15"/>
  <c r="P90" i="15" s="1"/>
  <c r="DC89" i="14"/>
  <c r="BG103" i="14"/>
  <c r="BL103" i="14" s="1"/>
  <c r="AI102" i="14"/>
  <c r="AN102" i="14" s="1"/>
  <c r="K101" i="14"/>
  <c r="P101" i="14" s="1"/>
  <c r="DC100" i="13"/>
  <c r="DH100" i="13" s="1"/>
  <c r="CE99" i="13"/>
  <c r="CJ99" i="13" s="1"/>
  <c r="BG98" i="13"/>
  <c r="BL98" i="13" s="1"/>
  <c r="AI97" i="13"/>
  <c r="AN97" i="13" s="1"/>
  <c r="K97" i="13"/>
  <c r="P97" i="13" s="1"/>
  <c r="CY93" i="16"/>
  <c r="DD93" i="16" s="1"/>
  <c r="CB92" i="16"/>
  <c r="CG92" i="16" s="1"/>
  <c r="BE91" i="16"/>
  <c r="BJ91" i="16" s="1"/>
  <c r="AH90" i="16"/>
  <c r="K89" i="16"/>
  <c r="CE103" i="15"/>
  <c r="CJ103" i="15" s="1"/>
  <c r="BG102" i="15"/>
  <c r="BL102" i="15" s="1"/>
  <c r="AI101" i="15"/>
  <c r="AN101" i="15" s="1"/>
  <c r="K100" i="15"/>
  <c r="P100" i="15" s="1"/>
  <c r="DC99" i="14"/>
  <c r="DH99" i="14" s="1"/>
  <c r="CE98" i="14"/>
  <c r="CJ98" i="14" s="1"/>
  <c r="BG97" i="14"/>
  <c r="BL97" i="14" s="1"/>
  <c r="AI96" i="14"/>
  <c r="AN96" i="14" s="1"/>
  <c r="K95" i="14"/>
  <c r="P95" i="14" s="1"/>
  <c r="DC94" i="13"/>
  <c r="DH94" i="13" s="1"/>
  <c r="CE93" i="13"/>
  <c r="CJ93" i="13" s="1"/>
  <c r="BG92" i="13"/>
  <c r="BL92" i="13" s="1"/>
  <c r="AI91" i="13"/>
  <c r="AN91" i="13" s="1"/>
  <c r="K103" i="13"/>
  <c r="P103" i="13" s="1"/>
  <c r="CB89" i="16"/>
  <c r="K102" i="16"/>
  <c r="CE100" i="15"/>
  <c r="CJ100" i="15" s="1"/>
  <c r="AI98" i="15"/>
  <c r="AN98" i="15" s="1"/>
  <c r="DC96" i="14"/>
  <c r="BG94" i="14"/>
  <c r="BL94" i="14" s="1"/>
  <c r="K92" i="14"/>
  <c r="P92" i="14" s="1"/>
  <c r="CE90" i="13"/>
  <c r="CJ90" i="13" s="1"/>
  <c r="K96" i="13"/>
  <c r="P96" i="13" s="1"/>
  <c r="CB101" i="16"/>
  <c r="AH99" i="16"/>
  <c r="AM99" i="16" s="1"/>
  <c r="DC97" i="15"/>
  <c r="DH97" i="15" s="1"/>
  <c r="BG95" i="15"/>
  <c r="BL95" i="15" s="1"/>
  <c r="K93" i="15"/>
  <c r="P93" i="15" s="1"/>
  <c r="CE91" i="14"/>
  <c r="CJ91" i="14" s="1"/>
  <c r="AI89" i="14"/>
  <c r="AN89" i="14" s="1"/>
  <c r="CE102" i="13"/>
  <c r="AI100" i="13"/>
  <c r="AN100" i="13" s="1"/>
  <c r="CB103" i="16"/>
  <c r="CG103" i="16" s="1"/>
  <c r="DC99" i="15"/>
  <c r="K95" i="15"/>
  <c r="P95" i="15" s="1"/>
  <c r="AI91" i="14"/>
  <c r="AN91" i="14" s="1"/>
  <c r="AI102" i="13"/>
  <c r="AN102" i="13" s="1"/>
  <c r="BE94" i="16"/>
  <c r="BJ94" i="16" s="1"/>
  <c r="CE90" i="15"/>
  <c r="CJ90" i="15" s="1"/>
  <c r="CE101" i="14"/>
  <c r="CJ101" i="14" s="1"/>
  <c r="DC97" i="13"/>
  <c r="DH97" i="13" s="1"/>
  <c r="K98" i="13"/>
  <c r="P98" i="13" s="1"/>
  <c r="AH89" i="16"/>
  <c r="AI100" i="15"/>
  <c r="AN100" i="15" s="1"/>
  <c r="BG96" i="14"/>
  <c r="BL96" i="14" s="1"/>
  <c r="CE92" i="13"/>
  <c r="CJ92" i="13" s="1"/>
  <c r="AH97" i="16"/>
  <c r="AM97" i="16" s="1"/>
  <c r="CY100" i="16"/>
  <c r="DD100" i="16" s="1"/>
  <c r="BG99" i="13"/>
  <c r="K102" i="14"/>
  <c r="P102" i="14" s="1"/>
  <c r="DC90" i="14"/>
  <c r="CY95" i="16"/>
  <c r="CB94" i="16"/>
  <c r="CG94" i="16" s="1"/>
  <c r="BE93" i="16"/>
  <c r="AH92" i="16"/>
  <c r="K91" i="16"/>
  <c r="P91" i="16" s="1"/>
  <c r="DC90" i="15"/>
  <c r="CE89" i="15"/>
  <c r="CJ89" i="15" s="1"/>
  <c r="AI103" i="15"/>
  <c r="AN103" i="15" s="1"/>
  <c r="K102" i="15"/>
  <c r="P102" i="15" s="1"/>
  <c r="DC101" i="14"/>
  <c r="DH101" i="14" s="1"/>
  <c r="CE100" i="14"/>
  <c r="CJ100" i="14" s="1"/>
  <c r="BG99" i="14"/>
  <c r="BL99" i="14" s="1"/>
  <c r="AI98" i="14"/>
  <c r="AN98" i="14" s="1"/>
  <c r="K97" i="14"/>
  <c r="P97" i="14" s="1"/>
  <c r="DC96" i="13"/>
  <c r="CE95" i="13"/>
  <c r="BG94" i="13"/>
  <c r="BL94" i="13" s="1"/>
  <c r="AI93" i="13"/>
  <c r="K101" i="13"/>
  <c r="CY89" i="16"/>
  <c r="BE103" i="16"/>
  <c r="BJ103" i="16" s="1"/>
  <c r="AH102" i="16"/>
  <c r="AM102" i="16" s="1"/>
  <c r="K101" i="16"/>
  <c r="DC100" i="15"/>
  <c r="DH100" i="15" s="1"/>
  <c r="CE99" i="15"/>
  <c r="CJ99" i="15" s="1"/>
  <c r="BG98" i="15"/>
  <c r="AI97" i="15"/>
  <c r="AN97" i="15" s="1"/>
  <c r="K96" i="15"/>
  <c r="DC95" i="14"/>
  <c r="CE94" i="14"/>
  <c r="CJ94" i="14" s="1"/>
  <c r="BG93" i="14"/>
  <c r="AI92" i="14"/>
  <c r="K91" i="14"/>
  <c r="P91" i="14" s="1"/>
  <c r="DC90" i="13"/>
  <c r="DH90" i="13" s="1"/>
  <c r="CE89" i="13"/>
  <c r="AI103" i="13"/>
  <c r="AN103" i="13" s="1"/>
  <c r="K91" i="13"/>
  <c r="P91" i="13" s="1"/>
  <c r="CY98" i="16"/>
  <c r="DD98" i="16" s="1"/>
  <c r="BE96" i="16"/>
  <c r="K94" i="16"/>
  <c r="P94" i="16" s="1"/>
  <c r="CE92" i="15"/>
  <c r="CJ92" i="15" s="1"/>
  <c r="AI90" i="15"/>
  <c r="CE103" i="14"/>
  <c r="CJ103" i="14" s="1"/>
  <c r="AI101" i="14"/>
  <c r="DC99" i="13"/>
  <c r="BG97" i="13"/>
  <c r="BL97" i="13" s="1"/>
  <c r="K89" i="13"/>
  <c r="CB93" i="16"/>
  <c r="AH91" i="16"/>
  <c r="AM91" i="16" s="1"/>
  <c r="DC89" i="15"/>
  <c r="DH89" i="15" s="1"/>
  <c r="AI102" i="15"/>
  <c r="DC100" i="14"/>
  <c r="DH100" i="14" s="1"/>
  <c r="BG98" i="14"/>
  <c r="BL98" i="14" s="1"/>
  <c r="K96" i="14"/>
  <c r="CE94" i="13"/>
  <c r="CJ94" i="13" s="1"/>
  <c r="AI92" i="13"/>
  <c r="AN92" i="13" s="1"/>
  <c r="BE102" i="16"/>
  <c r="BJ102" i="16" s="1"/>
  <c r="CE98" i="15"/>
  <c r="CJ98" i="15" s="1"/>
  <c r="DC94" i="14"/>
  <c r="DH94" i="14" s="1"/>
  <c r="K90" i="14"/>
  <c r="K90" i="13"/>
  <c r="P90" i="13" s="1"/>
  <c r="AH93" i="16"/>
  <c r="AM93" i="16" s="1"/>
  <c r="BG89" i="15"/>
  <c r="BG100" i="14"/>
  <c r="BL100" i="14" s="1"/>
  <c r="CE96" i="13"/>
  <c r="CY92" i="16"/>
  <c r="DC103" i="15"/>
  <c r="DH103" i="15" s="1"/>
  <c r="K99" i="15"/>
  <c r="AI95" i="14"/>
  <c r="AN95" i="14" s="1"/>
  <c r="BG91" i="13"/>
  <c r="BL91" i="13" s="1"/>
  <c r="BG93" i="15"/>
  <c r="BL93" i="15" s="1"/>
  <c r="K96" i="16"/>
  <c r="P96" i="16" s="1"/>
  <c r="CB99" i="16"/>
  <c r="CG99" i="16" s="1"/>
  <c r="AI98" i="13"/>
  <c r="AN98" i="13" s="1"/>
  <c r="DC101" i="13"/>
  <c r="DH101" i="13" s="1"/>
  <c r="CY91" i="16"/>
  <c r="DD91" i="16" s="1"/>
  <c r="CB90" i="16"/>
  <c r="CG90" i="16" s="1"/>
  <c r="BE89" i="16"/>
  <c r="K103" i="16"/>
  <c r="P103" i="16" s="1"/>
  <c r="DC102" i="15"/>
  <c r="CE101" i="15"/>
  <c r="CJ101" i="15" s="1"/>
  <c r="BG100" i="15"/>
  <c r="BL100" i="15" s="1"/>
  <c r="AI99" i="15"/>
  <c r="AN99" i="15" s="1"/>
  <c r="K98" i="15"/>
  <c r="DC97" i="14"/>
  <c r="DH97" i="14" s="1"/>
  <c r="CE96" i="14"/>
  <c r="CJ96" i="14" s="1"/>
  <c r="BG95" i="14"/>
  <c r="AI94" i="14"/>
  <c r="AN94" i="14" s="1"/>
  <c r="K93" i="14"/>
  <c r="P93" i="14" s="1"/>
  <c r="DC92" i="13"/>
  <c r="CE91" i="13"/>
  <c r="CJ91" i="13" s="1"/>
  <c r="BG90" i="13"/>
  <c r="AI89" i="13"/>
  <c r="AN89" i="13" s="1"/>
  <c r="CY101" i="16"/>
  <c r="DD101" i="16" s="1"/>
  <c r="CB100" i="16"/>
  <c r="CG100" i="16" s="1"/>
  <c r="BE99" i="16"/>
  <c r="AH98" i="16"/>
  <c r="AM98" i="16" s="1"/>
  <c r="K97" i="16"/>
  <c r="P97" i="16" s="1"/>
  <c r="DC96" i="15"/>
  <c r="DH96" i="15" s="1"/>
  <c r="CE95" i="15"/>
  <c r="CJ95" i="15" s="1"/>
  <c r="BG94" i="15"/>
  <c r="BL94" i="15" s="1"/>
  <c r="AI93" i="15"/>
  <c r="AN93" i="15" s="1"/>
  <c r="K92" i="15"/>
  <c r="P92" i="15" s="1"/>
  <c r="DC91" i="14"/>
  <c r="DH91" i="14" s="1"/>
  <c r="CE90" i="14"/>
  <c r="CJ90" i="14" s="1"/>
  <c r="BG89" i="14"/>
  <c r="BL89" i="14" s="1"/>
  <c r="DC102" i="13"/>
  <c r="DH102" i="13" s="1"/>
  <c r="CE101" i="13"/>
  <c r="CJ101" i="13" s="1"/>
  <c r="BG100" i="13"/>
  <c r="BL100" i="13" s="1"/>
  <c r="AI99" i="13"/>
  <c r="AN99" i="13" s="1"/>
  <c r="K95" i="13"/>
  <c r="P95" i="13" s="1"/>
  <c r="CY90" i="16"/>
  <c r="DD90" i="16" s="1"/>
  <c r="AH103" i="16"/>
  <c r="AM103" i="16" s="1"/>
  <c r="DC101" i="15"/>
  <c r="DH101" i="15" s="1"/>
  <c r="BG99" i="15"/>
  <c r="K97" i="15"/>
  <c r="P97" i="15" s="1"/>
  <c r="CE95" i="14"/>
  <c r="CJ95" i="14" s="1"/>
  <c r="AI93" i="14"/>
  <c r="AN93" i="14" s="1"/>
  <c r="DC91" i="13"/>
  <c r="DH91" i="13" s="1"/>
  <c r="BG89" i="13"/>
  <c r="BL89" i="13" s="1"/>
  <c r="CY102" i="16"/>
  <c r="DD102" i="16" s="1"/>
  <c r="BE100" i="16"/>
  <c r="BJ100" i="16" s="1"/>
  <c r="K98" i="16"/>
  <c r="P98" i="16" s="1"/>
  <c r="CE96" i="15"/>
  <c r="CJ96" i="15" s="1"/>
  <c r="AI94" i="15"/>
  <c r="AN94" i="15" s="1"/>
  <c r="DC92" i="14"/>
  <c r="DH92" i="14" s="1"/>
  <c r="BG90" i="14"/>
  <c r="DC103" i="13"/>
  <c r="DH103" i="13" s="1"/>
  <c r="BG101" i="13"/>
  <c r="BL101" i="13" s="1"/>
  <c r="K92" i="13"/>
  <c r="P92" i="13" s="1"/>
  <c r="AH101" i="16"/>
  <c r="BG97" i="15"/>
  <c r="BL97" i="15" s="1"/>
  <c r="CE93" i="14"/>
  <c r="CJ93" i="14" s="1"/>
  <c r="DC89" i="13"/>
  <c r="DH89" i="13" s="1"/>
  <c r="CY96" i="16"/>
  <c r="K92" i="16"/>
  <c r="K103" i="15"/>
  <c r="AI99" i="14"/>
  <c r="AN99" i="14" s="1"/>
  <c r="BG95" i="13"/>
  <c r="CB91" i="16"/>
  <c r="CG91" i="16" s="1"/>
  <c r="CE102" i="15"/>
  <c r="CJ102" i="15" s="1"/>
  <c r="DC98" i="14"/>
  <c r="DH98" i="14" s="1"/>
  <c r="K94" i="14"/>
  <c r="P94" i="14" s="1"/>
  <c r="AI90" i="13"/>
  <c r="AN90" i="13" s="1"/>
  <c r="CE89" i="14"/>
  <c r="AI92" i="15"/>
  <c r="AN92" i="15" s="1"/>
  <c r="DC95" i="15"/>
  <c r="BE98" i="16"/>
  <c r="BJ98" i="16" s="1"/>
  <c r="K94" i="13"/>
  <c r="P94" i="13" s="1"/>
  <c r="K103" i="14"/>
  <c r="P103" i="14" s="1"/>
  <c r="CB27" i="16"/>
  <c r="CG27" i="16" s="1"/>
  <c r="W80" i="10"/>
  <c r="CJ94" i="16"/>
  <c r="CJ95" i="16" s="1"/>
  <c r="CJ96" i="16" s="1"/>
  <c r="CJ97" i="16" s="1"/>
  <c r="CJ98" i="16" s="1"/>
  <c r="CJ99" i="16" s="1"/>
  <c r="CJ100" i="16" s="1"/>
  <c r="CJ101" i="16" s="1"/>
  <c r="CJ102" i="16" s="1"/>
  <c r="CJ103" i="16" s="1"/>
  <c r="Z160" i="16" s="1"/>
  <c r="DK94" i="13"/>
  <c r="DK95" i="13" s="1"/>
  <c r="DK96" i="13" s="1"/>
  <c r="DK97" i="13" s="1"/>
  <c r="DK98" i="13" s="1"/>
  <c r="DK99" i="13" s="1"/>
  <c r="DK100" i="13" s="1"/>
  <c r="DK101" i="13" s="1"/>
  <c r="DK102" i="13" s="1"/>
  <c r="DK103" i="13" s="1"/>
  <c r="AA160" i="13" s="1"/>
  <c r="K27" i="16"/>
  <c r="G51" i="22"/>
  <c r="G41" i="22"/>
  <c r="G48" i="22"/>
  <c r="G45" i="22"/>
  <c r="DC44" i="14"/>
  <c r="DH44" i="14" s="1"/>
  <c r="CE42" i="14"/>
  <c r="DC45" i="13"/>
  <c r="BG43" i="13"/>
  <c r="K42" i="16"/>
  <c r="P42" i="16" s="1"/>
  <c r="AI49" i="14"/>
  <c r="AN49" i="14" s="1"/>
  <c r="K41" i="14"/>
  <c r="BE41" i="16"/>
  <c r="BJ41" i="16" s="1"/>
  <c r="CE51" i="13"/>
  <c r="DC53" i="14"/>
  <c r="DC42" i="13"/>
  <c r="BG40" i="13"/>
  <c r="BL40" i="13" s="1"/>
  <c r="AI47" i="14"/>
  <c r="DC48" i="14"/>
  <c r="CY51" i="16"/>
  <c r="DD51" i="16" s="1"/>
  <c r="CY43" i="16"/>
  <c r="CB46" i="16"/>
  <c r="BE47" i="16"/>
  <c r="DC46" i="14"/>
  <c r="DC52" i="13"/>
  <c r="DH52" i="13" s="1"/>
  <c r="K52" i="16"/>
  <c r="K50" i="14"/>
  <c r="K42" i="14"/>
  <c r="P42" i="14" s="1"/>
  <c r="CY41" i="16"/>
  <c r="DD41" i="16" s="1"/>
  <c r="DC49" i="13"/>
  <c r="DH49" i="13" s="1"/>
  <c r="CE43" i="14"/>
  <c r="CJ43" i="14" s="1"/>
  <c r="DC51" i="13"/>
  <c r="DH51" i="13" s="1"/>
  <c r="BG51" i="13"/>
  <c r="BL51" i="13" s="1"/>
  <c r="K44" i="16"/>
  <c r="P44" i="16" s="1"/>
  <c r="AI49" i="13"/>
  <c r="AN49" i="13" s="1"/>
  <c r="CY48" i="16"/>
  <c r="DD48" i="16" s="1"/>
  <c r="CB51" i="16"/>
  <c r="CB43" i="16"/>
  <c r="CG43" i="16" s="1"/>
  <c r="BE39" i="16"/>
  <c r="CE46" i="14"/>
  <c r="CJ46" i="14" s="1"/>
  <c r="BG44" i="13"/>
  <c r="BL44" i="13" s="1"/>
  <c r="AH39" i="16"/>
  <c r="AM39" i="16" s="1"/>
  <c r="AI51" i="14"/>
  <c r="AI44" i="13"/>
  <c r="AN44" i="13" s="1"/>
  <c r="K46" i="13"/>
  <c r="AI41" i="15"/>
  <c r="AN41" i="15" s="1"/>
  <c r="AH42" i="16"/>
  <c r="AM42" i="16" s="1"/>
  <c r="AI43" i="13"/>
  <c r="AN43" i="13" s="1"/>
  <c r="AI40" i="14"/>
  <c r="AI51" i="13"/>
  <c r="AN51" i="13" s="1"/>
  <c r="BG50" i="14"/>
  <c r="K50" i="16"/>
  <c r="K46" i="14"/>
  <c r="AI46" i="13"/>
  <c r="AN46" i="13" s="1"/>
  <c r="K40" i="16"/>
  <c r="K47" i="13"/>
  <c r="BG48" i="13"/>
  <c r="BL48" i="13" s="1"/>
  <c r="BE51" i="16"/>
  <c r="BG53" i="14"/>
  <c r="BL53" i="14" s="1"/>
  <c r="AH51" i="16"/>
  <c r="AM51" i="16" s="1"/>
  <c r="K49" i="14"/>
  <c r="P49" i="14" s="1"/>
  <c r="BE49" i="16"/>
  <c r="BJ49" i="16" s="1"/>
  <c r="DC43" i="13"/>
  <c r="W99" i="10"/>
  <c r="AB99" i="10" s="1"/>
  <c r="W95" i="10"/>
  <c r="W105" i="10"/>
  <c r="G39" i="22"/>
  <c r="G49" i="22"/>
  <c r="G42" i="22"/>
  <c r="CY40" i="16"/>
  <c r="DD40" i="16" s="1"/>
  <c r="DC42" i="14"/>
  <c r="DH42" i="14" s="1"/>
  <c r="BG47" i="14"/>
  <c r="BL47" i="14" s="1"/>
  <c r="DC40" i="13"/>
  <c r="DH40" i="13" s="1"/>
  <c r="K53" i="16"/>
  <c r="AI48" i="14"/>
  <c r="K40" i="14"/>
  <c r="P40" i="14" s="1"/>
  <c r="CE44" i="13"/>
  <c r="CE47" i="14"/>
  <c r="CJ47" i="14" s="1"/>
  <c r="CE42" i="13"/>
  <c r="K48" i="16"/>
  <c r="K43" i="14"/>
  <c r="P43" i="14" s="1"/>
  <c r="BG46" i="14"/>
  <c r="BL46" i="14" s="1"/>
  <c r="CY49" i="16"/>
  <c r="DD49" i="16" s="1"/>
  <c r="CB52" i="16"/>
  <c r="CB44" i="16"/>
  <c r="CG44" i="16" s="1"/>
  <c r="BE40" i="16"/>
  <c r="BJ40" i="16" s="1"/>
  <c r="CE44" i="14"/>
  <c r="CJ44" i="14" s="1"/>
  <c r="DC47" i="13"/>
  <c r="DH47" i="13" s="1"/>
  <c r="K47" i="16"/>
  <c r="K53" i="14"/>
  <c r="P53" i="14" s="1"/>
  <c r="AI46" i="14"/>
  <c r="K39" i="14"/>
  <c r="P39" i="14" s="1"/>
  <c r="BE50" i="16"/>
  <c r="BJ50" i="16" s="1"/>
  <c r="DC50" i="14"/>
  <c r="DC44" i="13"/>
  <c r="DH44" i="13" s="1"/>
  <c r="BG48" i="14"/>
  <c r="BL48" i="14" s="1"/>
  <c r="DC46" i="13"/>
  <c r="AH48" i="16"/>
  <c r="AM48" i="16" s="1"/>
  <c r="AI41" i="13"/>
  <c r="AN41" i="13" s="1"/>
  <c r="CY46" i="16"/>
  <c r="DD46" i="16" s="1"/>
  <c r="CB49" i="16"/>
  <c r="CG49" i="16" s="1"/>
  <c r="CB41" i="16"/>
  <c r="CE40" i="14"/>
  <c r="CJ40" i="14" s="1"/>
  <c r="AH49" i="16"/>
  <c r="K39" i="16"/>
  <c r="P39" i="16" s="1"/>
  <c r="AI43" i="14"/>
  <c r="K52" i="13"/>
  <c r="K44" i="13"/>
  <c r="P44" i="13" s="1"/>
  <c r="AI39" i="14"/>
  <c r="AN39" i="14" s="1"/>
  <c r="AI39" i="13"/>
  <c r="CE41" i="13"/>
  <c r="CJ41" i="13" s="1"/>
  <c r="AH41" i="16"/>
  <c r="AM41" i="16" s="1"/>
  <c r="DC41" i="13"/>
  <c r="DH41" i="13" s="1"/>
  <c r="AI52" i="13"/>
  <c r="AN52" i="13" s="1"/>
  <c r="BG41" i="14"/>
  <c r="BL41" i="14" s="1"/>
  <c r="CE51" i="14"/>
  <c r="CJ51" i="14" s="1"/>
  <c r="K43" i="13"/>
  <c r="P43" i="13" s="1"/>
  <c r="DC52" i="14"/>
  <c r="DH52" i="14" s="1"/>
  <c r="AH50" i="16"/>
  <c r="AM50" i="16" s="1"/>
  <c r="BE42" i="16"/>
  <c r="BJ42" i="16" s="1"/>
  <c r="BG42" i="13"/>
  <c r="BL42" i="13" s="1"/>
  <c r="K48" i="14"/>
  <c r="CE45" i="13"/>
  <c r="CJ45" i="13" s="1"/>
  <c r="W98" i="10"/>
  <c r="AB98" i="10" s="1"/>
  <c r="W92" i="10"/>
  <c r="AB92" i="10" s="1"/>
  <c r="W103" i="10"/>
  <c r="AB103" i="10" s="1"/>
  <c r="W96" i="10"/>
  <c r="G46" i="22"/>
  <c r="G47" i="22"/>
  <c r="G43" i="22"/>
  <c r="G44" i="22"/>
  <c r="BE52" i="16"/>
  <c r="BJ52" i="16" s="1"/>
  <c r="DC40" i="14"/>
  <c r="DH40" i="14" s="1"/>
  <c r="BG44" i="14"/>
  <c r="CE52" i="13"/>
  <c r="CJ52" i="13" s="1"/>
  <c r="K49" i="16"/>
  <c r="AI45" i="14"/>
  <c r="AI48" i="13"/>
  <c r="AN48" i="13" s="1"/>
  <c r="DC39" i="14"/>
  <c r="DH39" i="14" s="1"/>
  <c r="BE53" i="16"/>
  <c r="BG52" i="14"/>
  <c r="BL52" i="14" s="1"/>
  <c r="BG50" i="13"/>
  <c r="BL50" i="13" s="1"/>
  <c r="AH44" i="16"/>
  <c r="AM44" i="16" s="1"/>
  <c r="AI53" i="13"/>
  <c r="AN53" i="13" s="1"/>
  <c r="DC39" i="13"/>
  <c r="DH39" i="13" s="1"/>
  <c r="CY47" i="16"/>
  <c r="DD47" i="16" s="1"/>
  <c r="CB50" i="16"/>
  <c r="CG50" i="16" s="1"/>
  <c r="CB42" i="16"/>
  <c r="BG43" i="14"/>
  <c r="BL43" i="14" s="1"/>
  <c r="CE49" i="13"/>
  <c r="CJ49" i="13" s="1"/>
  <c r="AH43" i="16"/>
  <c r="K52" i="14"/>
  <c r="K45" i="14"/>
  <c r="AI50" i="13"/>
  <c r="AN50" i="13" s="1"/>
  <c r="CE49" i="14"/>
  <c r="CJ49" i="14" s="1"/>
  <c r="CE39" i="13"/>
  <c r="DC45" i="14"/>
  <c r="BG45" i="14"/>
  <c r="BL45" i="14" s="1"/>
  <c r="CE48" i="13"/>
  <c r="CJ48" i="13" s="1"/>
  <c r="AH47" i="16"/>
  <c r="CY52" i="16"/>
  <c r="DD52" i="16" s="1"/>
  <c r="CY44" i="16"/>
  <c r="DD44" i="16" s="1"/>
  <c r="CB47" i="16"/>
  <c r="CB39" i="16"/>
  <c r="CG39" i="16" s="1"/>
  <c r="DC51" i="14"/>
  <c r="DH51" i="14" s="1"/>
  <c r="DC53" i="13"/>
  <c r="DH53" i="13" s="1"/>
  <c r="K46" i="16"/>
  <c r="AI42" i="14"/>
  <c r="AN42" i="14" s="1"/>
  <c r="K50" i="13"/>
  <c r="K42" i="13"/>
  <c r="CY42" i="16"/>
  <c r="DD42" i="16" s="1"/>
  <c r="K49" i="13"/>
  <c r="BG41" i="13"/>
  <c r="BL41" i="13" s="1"/>
  <c r="CE45" i="14"/>
  <c r="CJ45" i="14" s="1"/>
  <c r="CE40" i="13"/>
  <c r="CJ40" i="13" s="1"/>
  <c r="K51" i="13"/>
  <c r="CE53" i="13"/>
  <c r="CJ53" i="13" s="1"/>
  <c r="AI53" i="14"/>
  <c r="CE50" i="13"/>
  <c r="CJ50" i="13" s="1"/>
  <c r="DC48" i="13"/>
  <c r="K47" i="14"/>
  <c r="BE44" i="16"/>
  <c r="BJ44" i="16" s="1"/>
  <c r="CE41" i="14"/>
  <c r="AH46" i="16"/>
  <c r="AM46" i="16" s="1"/>
  <c r="AI50" i="14"/>
  <c r="DC47" i="14"/>
  <c r="DH47" i="14" s="1"/>
  <c r="BG39" i="13"/>
  <c r="AI41" i="14"/>
  <c r="DC49" i="14"/>
  <c r="DH49" i="14" s="1"/>
  <c r="AH52" i="16"/>
  <c r="W106" i="10"/>
  <c r="AB106" i="10" s="1"/>
  <c r="W93" i="10"/>
  <c r="AB93" i="10" s="1"/>
  <c r="W97" i="10"/>
  <c r="W104" i="10"/>
  <c r="AB104" i="10" s="1"/>
  <c r="G50" i="22"/>
  <c r="G38" i="22"/>
  <c r="G40" i="22"/>
  <c r="G52" i="22"/>
  <c r="BE43" i="16"/>
  <c r="BJ43" i="16" s="1"/>
  <c r="CE52" i="14"/>
  <c r="CJ52" i="14" s="1"/>
  <c r="DC50" i="13"/>
  <c r="DH50" i="13" s="1"/>
  <c r="CE47" i="13"/>
  <c r="CJ47" i="13" s="1"/>
  <c r="AH45" i="16"/>
  <c r="AM45" i="16" s="1"/>
  <c r="AI44" i="14"/>
  <c r="AN44" i="14" s="1"/>
  <c r="AI40" i="13"/>
  <c r="AN40" i="13" s="1"/>
  <c r="BG51" i="14"/>
  <c r="BL51" i="14" s="1"/>
  <c r="BE46" i="16"/>
  <c r="BJ46" i="16" s="1"/>
  <c r="BG49" i="14"/>
  <c r="BL49" i="14" s="1"/>
  <c r="BG45" i="13"/>
  <c r="BL45" i="13" s="1"/>
  <c r="K41" i="16"/>
  <c r="P41" i="16" s="1"/>
  <c r="AI45" i="13"/>
  <c r="AN45" i="13" s="1"/>
  <c r="CY53" i="16"/>
  <c r="DD53" i="16" s="1"/>
  <c r="CY45" i="16"/>
  <c r="DD45" i="16" s="1"/>
  <c r="CB48" i="16"/>
  <c r="CB40" i="16"/>
  <c r="CG40" i="16" s="1"/>
  <c r="BG40" i="14"/>
  <c r="BL40" i="14" s="1"/>
  <c r="BG52" i="13"/>
  <c r="BL52" i="13" s="1"/>
  <c r="K51" i="14"/>
  <c r="P51" i="14" s="1"/>
  <c r="K44" i="14"/>
  <c r="P44" i="14" s="1"/>
  <c r="AI42" i="13"/>
  <c r="AN42" i="13" s="1"/>
  <c r="CE39" i="14"/>
  <c r="CJ39" i="14" s="1"/>
  <c r="BE45" i="16"/>
  <c r="BJ45" i="16" s="1"/>
  <c r="CE53" i="14"/>
  <c r="BG42" i="14"/>
  <c r="BL42" i="14" s="1"/>
  <c r="BG53" i="13"/>
  <c r="K45" i="16"/>
  <c r="P45" i="16" s="1"/>
  <c r="AI42" i="15"/>
  <c r="AN42" i="15" s="1"/>
  <c r="CY50" i="16"/>
  <c r="DD50" i="16" s="1"/>
  <c r="CB53" i="16"/>
  <c r="CB45" i="16"/>
  <c r="CG45" i="16" s="1"/>
  <c r="BE48" i="16"/>
  <c r="CE48" i="14"/>
  <c r="CJ48" i="14" s="1"/>
  <c r="DC43" i="14"/>
  <c r="DH43" i="14" s="1"/>
  <c r="BG47" i="13"/>
  <c r="BL47" i="13" s="1"/>
  <c r="AH40" i="16"/>
  <c r="AM40" i="16" s="1"/>
  <c r="AI47" i="13"/>
  <c r="AN47" i="13" s="1"/>
  <c r="K48" i="13"/>
  <c r="K40" i="13"/>
  <c r="CE43" i="13"/>
  <c r="CJ43" i="13" s="1"/>
  <c r="K45" i="13"/>
  <c r="P45" i="13" s="1"/>
  <c r="K51" i="16"/>
  <c r="BG46" i="13"/>
  <c r="BL46" i="13" s="1"/>
  <c r="K43" i="16"/>
  <c r="K41" i="13"/>
  <c r="P41" i="13" s="1"/>
  <c r="BG49" i="13"/>
  <c r="BL49" i="13" s="1"/>
  <c r="AI52" i="14"/>
  <c r="AI40" i="15"/>
  <c r="AN40" i="15" s="1"/>
  <c r="CE46" i="13"/>
  <c r="CJ46" i="13" s="1"/>
  <c r="K53" i="13"/>
  <c r="P53" i="13" s="1"/>
  <c r="BG39" i="14"/>
  <c r="K39" i="13"/>
  <c r="P39" i="13" s="1"/>
  <c r="CE50" i="14"/>
  <c r="AH53" i="16"/>
  <c r="AM53" i="16" s="1"/>
  <c r="CY39" i="16"/>
  <c r="DC41" i="14"/>
  <c r="W101" i="10"/>
  <c r="W100" i="10"/>
  <c r="AB100" i="10" s="1"/>
  <c r="W102" i="10"/>
  <c r="AB102" i="10" s="1"/>
  <c r="W94" i="10"/>
  <c r="I22" i="23"/>
  <c r="CM94" i="14"/>
  <c r="CM95" i="14" s="1"/>
  <c r="CM96" i="14" s="1"/>
  <c r="CM97" i="14" s="1"/>
  <c r="CM98" i="14" s="1"/>
  <c r="CM99" i="14" s="1"/>
  <c r="CM100" i="14" s="1"/>
  <c r="CM101" i="14" s="1"/>
  <c r="CM102" i="14" s="1"/>
  <c r="CM103" i="14" s="1"/>
  <c r="Z160" i="14" s="1"/>
  <c r="S94" i="13"/>
  <c r="S95" i="13" s="1"/>
  <c r="S96" i="13" s="1"/>
  <c r="S97" i="13" s="1"/>
  <c r="S98" i="13" s="1"/>
  <c r="S99" i="13" s="1"/>
  <c r="S100" i="13" s="1"/>
  <c r="S101" i="13" s="1"/>
  <c r="S102" i="13" s="1"/>
  <c r="S103" i="13" s="1"/>
  <c r="W160" i="13" s="1"/>
  <c r="BO94" i="13"/>
  <c r="BO95" i="13" s="1"/>
  <c r="BO96" i="13" s="1"/>
  <c r="BO97" i="13" s="1"/>
  <c r="BO98" i="13" s="1"/>
  <c r="BO99" i="13" s="1"/>
  <c r="BO100" i="13" s="1"/>
  <c r="BO101" i="13" s="1"/>
  <c r="BO102" i="13" s="1"/>
  <c r="BO103" i="13" s="1"/>
  <c r="Y160" i="13" s="1"/>
  <c r="CM94" i="15"/>
  <c r="CM95" i="15" s="1"/>
  <c r="CM96" i="15" s="1"/>
  <c r="CM97" i="15" s="1"/>
  <c r="CM98" i="15" s="1"/>
  <c r="CM99" i="15" s="1"/>
  <c r="CM100" i="15" s="1"/>
  <c r="CM101" i="15" s="1"/>
  <c r="CM102" i="15" s="1"/>
  <c r="CM103" i="15" s="1"/>
  <c r="Z160" i="15" s="1"/>
  <c r="DG94" i="16"/>
  <c r="DG95" i="16" s="1"/>
  <c r="DG96" i="16" s="1"/>
  <c r="DG97" i="16" s="1"/>
  <c r="DG98" i="16" s="1"/>
  <c r="DG99" i="16" s="1"/>
  <c r="DG100" i="16" s="1"/>
  <c r="DG101" i="16" s="1"/>
  <c r="DG102" i="16" s="1"/>
  <c r="DG103" i="16" s="1"/>
  <c r="AA160" i="16" s="1"/>
  <c r="DK94" i="15"/>
  <c r="DK95" i="15" s="1"/>
  <c r="DK96" i="15" s="1"/>
  <c r="DK97" i="15" s="1"/>
  <c r="DK98" i="15" s="1"/>
  <c r="DK99" i="15" s="1"/>
  <c r="DK100" i="15" s="1"/>
  <c r="DK101" i="15" s="1"/>
  <c r="DK102" i="15" s="1"/>
  <c r="DK103" i="15" s="1"/>
  <c r="AA160" i="15" s="1"/>
  <c r="AQ94" i="15"/>
  <c r="AQ95" i="15" s="1"/>
  <c r="AQ96" i="15" s="1"/>
  <c r="AQ97" i="15" s="1"/>
  <c r="AQ98" i="15" s="1"/>
  <c r="AQ99" i="15" s="1"/>
  <c r="AQ100" i="15" s="1"/>
  <c r="AQ101" i="15" s="1"/>
  <c r="AQ102" i="15" s="1"/>
  <c r="AQ103" i="15" s="1"/>
  <c r="X160" i="15" s="1"/>
  <c r="S97" i="16"/>
  <c r="S98" i="16" s="1"/>
  <c r="S99" i="16" s="1"/>
  <c r="S100" i="16" s="1"/>
  <c r="S101" i="16" s="1"/>
  <c r="S102" i="16" s="1"/>
  <c r="S103" i="16" s="1"/>
  <c r="W160" i="16" s="1"/>
  <c r="AQ94" i="14"/>
  <c r="AQ95" i="14" s="1"/>
  <c r="AQ96" i="14" s="1"/>
  <c r="AQ97" i="14" s="1"/>
  <c r="AQ98" i="14" s="1"/>
  <c r="AQ99" i="14" s="1"/>
  <c r="AQ100" i="14" s="1"/>
  <c r="AQ101" i="14" s="1"/>
  <c r="AQ102" i="14" s="1"/>
  <c r="AQ103" i="14" s="1"/>
  <c r="X160" i="14" s="1"/>
  <c r="S94" i="14"/>
  <c r="S95" i="14" s="1"/>
  <c r="S96" i="14" s="1"/>
  <c r="S97" i="14" s="1"/>
  <c r="S98" i="14" s="1"/>
  <c r="S99" i="14" s="1"/>
  <c r="S100" i="14" s="1"/>
  <c r="S101" i="14" s="1"/>
  <c r="S102" i="14" s="1"/>
  <c r="S103" i="14" s="1"/>
  <c r="W160" i="14" s="1"/>
  <c r="S94" i="15"/>
  <c r="S95" i="15" s="1"/>
  <c r="S96" i="15" s="1"/>
  <c r="S97" i="15" s="1"/>
  <c r="S98" i="15" s="1"/>
  <c r="S99" i="15" s="1"/>
  <c r="S100" i="15" s="1"/>
  <c r="S101" i="15" s="1"/>
  <c r="S102" i="15" s="1"/>
  <c r="S103" i="15" s="1"/>
  <c r="W160" i="15" s="1"/>
  <c r="CM94" i="13"/>
  <c r="CM95" i="13" s="1"/>
  <c r="CM96" i="13" s="1"/>
  <c r="CM97" i="13" s="1"/>
  <c r="CM98" i="13" s="1"/>
  <c r="CM99" i="13" s="1"/>
  <c r="CM100" i="13" s="1"/>
  <c r="CM101" i="13" s="1"/>
  <c r="CM102" i="13" s="1"/>
  <c r="CM103" i="13" s="1"/>
  <c r="Z160" i="13" s="1"/>
  <c r="DK94" i="14"/>
  <c r="DK95" i="14" s="1"/>
  <c r="DK96" i="14" s="1"/>
  <c r="DK97" i="14" s="1"/>
  <c r="DK98" i="14" s="1"/>
  <c r="DK99" i="14" s="1"/>
  <c r="DK100" i="14" s="1"/>
  <c r="DK101" i="14" s="1"/>
  <c r="DK102" i="14" s="1"/>
  <c r="DK103" i="14" s="1"/>
  <c r="AA160" i="14" s="1"/>
  <c r="BM94" i="16"/>
  <c r="BM95" i="16" s="1"/>
  <c r="BM96" i="16" s="1"/>
  <c r="BM97" i="16" s="1"/>
  <c r="BM98" i="16" s="1"/>
  <c r="BM99" i="16" s="1"/>
  <c r="BM100" i="16" s="1"/>
  <c r="BM101" i="16" s="1"/>
  <c r="BM102" i="16" s="1"/>
  <c r="BM103" i="16" s="1"/>
  <c r="Y160" i="16" s="1"/>
  <c r="AE19" i="10"/>
  <c r="AE20" i="10" s="1"/>
  <c r="AE21" i="10" s="1"/>
  <c r="AE22" i="10" s="1"/>
  <c r="AE23" i="10" s="1"/>
  <c r="AE24" i="10" s="1"/>
  <c r="AE25" i="10" s="1"/>
  <c r="AE26" i="10" s="1"/>
  <c r="AE27" i="10" s="1"/>
  <c r="AE28" i="10" s="1"/>
  <c r="J6" i="11" s="1"/>
  <c r="AP94" i="16"/>
  <c r="AP95" i="16" s="1"/>
  <c r="AP96" i="16" s="1"/>
  <c r="AP97" i="16" s="1"/>
  <c r="AP98" i="16" s="1"/>
  <c r="AP99" i="16" s="1"/>
  <c r="AP100" i="16" s="1"/>
  <c r="AP101" i="16" s="1"/>
  <c r="AP102" i="16" s="1"/>
  <c r="AP103" i="16" s="1"/>
  <c r="X160" i="16" s="1"/>
  <c r="BO94" i="14"/>
  <c r="BO95" i="14" s="1"/>
  <c r="BO96" i="14" s="1"/>
  <c r="BO97" i="14" s="1"/>
  <c r="BO98" i="14" s="1"/>
  <c r="BO99" i="14" s="1"/>
  <c r="BO100" i="14" s="1"/>
  <c r="BO101" i="14" s="1"/>
  <c r="BO102" i="14" s="1"/>
  <c r="BO103" i="14" s="1"/>
  <c r="Y160" i="14" s="1"/>
  <c r="AQ94" i="13"/>
  <c r="AQ95" i="13" s="1"/>
  <c r="AQ96" i="13" s="1"/>
  <c r="AQ97" i="13" s="1"/>
  <c r="AQ98" i="13" s="1"/>
  <c r="AQ99" i="13" s="1"/>
  <c r="AQ100" i="13" s="1"/>
  <c r="AQ101" i="13" s="1"/>
  <c r="AQ102" i="13" s="1"/>
  <c r="AQ103" i="13" s="1"/>
  <c r="X160" i="13" s="1"/>
  <c r="BO94" i="15"/>
  <c r="BO95" i="15" s="1"/>
  <c r="BO96" i="15" s="1"/>
  <c r="BO97" i="15" s="1"/>
  <c r="BO98" i="15" s="1"/>
  <c r="BO99" i="15" s="1"/>
  <c r="BO100" i="15" s="1"/>
  <c r="BO101" i="15" s="1"/>
  <c r="BO102" i="15" s="1"/>
  <c r="BO103" i="15" s="1"/>
  <c r="Y160" i="15" s="1"/>
  <c r="BG27" i="13"/>
  <c r="BL27" i="13" s="1"/>
  <c r="AI27" i="14"/>
  <c r="AN27" i="14" s="1"/>
  <c r="CY27" i="16"/>
  <c r="DC27" i="14"/>
  <c r="X67" i="10"/>
  <c r="L26" i="16"/>
  <c r="Q26" i="16" s="1"/>
  <c r="BF18" i="16"/>
  <c r="BK18" i="16" s="1"/>
  <c r="CC20" i="16"/>
  <c r="CH20" i="16" s="1"/>
  <c r="L18" i="15"/>
  <c r="Q18" i="15" s="1"/>
  <c r="CZ19" i="16"/>
  <c r="DE19" i="16" s="1"/>
  <c r="L15" i="15"/>
  <c r="Q15" i="15" s="1"/>
  <c r="X69" i="10"/>
  <c r="L21" i="15"/>
  <c r="Q21" i="15" s="1"/>
  <c r="CC18" i="16"/>
  <c r="CH18" i="16" s="1"/>
  <c r="AI21" i="16"/>
  <c r="AN21" i="16" s="1"/>
  <c r="DD23" i="14"/>
  <c r="DI23" i="14" s="1"/>
  <c r="L26" i="13"/>
  <c r="Q26" i="13" s="1"/>
  <c r="CF16" i="13"/>
  <c r="CK16" i="13" s="1"/>
  <c r="CF26" i="14"/>
  <c r="CK26" i="14" s="1"/>
  <c r="L23" i="14"/>
  <c r="Q23" i="14" s="1"/>
  <c r="AJ16" i="15"/>
  <c r="AO16" i="15" s="1"/>
  <c r="L15" i="13"/>
  <c r="Q15" i="13" s="1"/>
  <c r="AJ19" i="14"/>
  <c r="AO19" i="14" s="1"/>
  <c r="L20" i="16"/>
  <c r="Q20" i="16" s="1"/>
  <c r="BH25" i="13"/>
  <c r="BM25" i="13" s="1"/>
  <c r="BH26" i="15"/>
  <c r="BM26" i="15" s="1"/>
  <c r="AJ17" i="14"/>
  <c r="AO17" i="14" s="1"/>
  <c r="BF26" i="16"/>
  <c r="BK26" i="16" s="1"/>
  <c r="DD18" i="14"/>
  <c r="DI18" i="14" s="1"/>
  <c r="BH14" i="13"/>
  <c r="BM14" i="13" s="1"/>
  <c r="AJ19" i="15"/>
  <c r="AO19" i="15" s="1"/>
  <c r="BE27" i="16"/>
  <c r="BJ27" i="16" s="1"/>
  <c r="DD13" i="14"/>
  <c r="DI13" i="14" s="1"/>
  <c r="BH17" i="13"/>
  <c r="BM17" i="13" s="1"/>
  <c r="BH24" i="15"/>
  <c r="BM24" i="15" s="1"/>
  <c r="CF14" i="13"/>
  <c r="CK14" i="13" s="1"/>
  <c r="CF13" i="14"/>
  <c r="CK13" i="14" s="1"/>
  <c r="BH15" i="13"/>
  <c r="BM15" i="13" s="1"/>
  <c r="BH17" i="15"/>
  <c r="BM17" i="15" s="1"/>
  <c r="BF25" i="16"/>
  <c r="BK25" i="16" s="1"/>
  <c r="CF21" i="14"/>
  <c r="CK21" i="14" s="1"/>
  <c r="DD15" i="14"/>
  <c r="DI15" i="14" s="1"/>
  <c r="AI26" i="16"/>
  <c r="AN26" i="16" s="1"/>
  <c r="BH23" i="14"/>
  <c r="BM23" i="14" s="1"/>
  <c r="DD22" i="15"/>
  <c r="DI22" i="15" s="1"/>
  <c r="DD17" i="15"/>
  <c r="DI17" i="15" s="1"/>
  <c r="DD21" i="15"/>
  <c r="DI21" i="15" s="1"/>
  <c r="CF18" i="15"/>
  <c r="CK18" i="15" s="1"/>
  <c r="L26" i="14"/>
  <c r="Q26" i="14" s="1"/>
  <c r="L19" i="16"/>
  <c r="Q19" i="16" s="1"/>
  <c r="AI20" i="16"/>
  <c r="AN20" i="16" s="1"/>
  <c r="AI13" i="16"/>
  <c r="AN13" i="16" s="1"/>
  <c r="AI17" i="16"/>
  <c r="AN17" i="16" s="1"/>
  <c r="X71" i="10"/>
  <c r="BH19" i="13"/>
  <c r="BM19" i="13" s="1"/>
  <c r="AJ20" i="14"/>
  <c r="AO20" i="14" s="1"/>
  <c r="AJ24" i="15"/>
  <c r="AO24" i="15" s="1"/>
  <c r="BH16" i="14"/>
  <c r="BM16" i="14" s="1"/>
  <c r="X72" i="10"/>
  <c r="CF23" i="14"/>
  <c r="CK23" i="14" s="1"/>
  <c r="CZ25" i="16"/>
  <c r="DE25" i="16" s="1"/>
  <c r="CZ15" i="16"/>
  <c r="DE15" i="16" s="1"/>
  <c r="BF19" i="16"/>
  <c r="BK19" i="16" s="1"/>
  <c r="L21" i="16"/>
  <c r="Q21" i="16" s="1"/>
  <c r="BF21" i="16"/>
  <c r="BK21" i="16" s="1"/>
  <c r="DD13" i="15"/>
  <c r="DI13" i="15" s="1"/>
  <c r="CZ16" i="16"/>
  <c r="DE16" i="16" s="1"/>
  <c r="L22" i="16"/>
  <c r="Q22" i="16" s="1"/>
  <c r="L26" i="15"/>
  <c r="Q26" i="15" s="1"/>
  <c r="AJ15" i="13"/>
  <c r="AO15" i="13" s="1"/>
  <c r="L23" i="13"/>
  <c r="Q23" i="13" s="1"/>
  <c r="CF24" i="13"/>
  <c r="CK24" i="13" s="1"/>
  <c r="DD16" i="15"/>
  <c r="DI16" i="15" s="1"/>
  <c r="X70" i="10"/>
  <c r="CC15" i="16"/>
  <c r="CH15" i="16" s="1"/>
  <c r="L13" i="16"/>
  <c r="Q13" i="16" s="1"/>
  <c r="CF16" i="14"/>
  <c r="CK16" i="14" s="1"/>
  <c r="BF13" i="16"/>
  <c r="BK13" i="16" s="1"/>
  <c r="CC21" i="16"/>
  <c r="CH21" i="16" s="1"/>
  <c r="BF14" i="16"/>
  <c r="BK14" i="16" s="1"/>
  <c r="DD21" i="14"/>
  <c r="DI21" i="14" s="1"/>
  <c r="AJ15" i="14"/>
  <c r="AO15" i="14" s="1"/>
  <c r="CC14" i="16"/>
  <c r="CH14" i="16" s="1"/>
  <c r="CF24" i="15"/>
  <c r="CK24" i="15" s="1"/>
  <c r="CZ13" i="16"/>
  <c r="DE13" i="16" s="1"/>
  <c r="BH21" i="15"/>
  <c r="BM21" i="15" s="1"/>
  <c r="X79" i="10"/>
  <c r="BH15" i="14"/>
  <c r="BM15" i="14" s="1"/>
  <c r="L19" i="14"/>
  <c r="Q19" i="14" s="1"/>
  <c r="AJ22" i="13"/>
  <c r="AO22" i="13" s="1"/>
  <c r="BH22" i="15"/>
  <c r="BM22" i="15" s="1"/>
  <c r="CZ17" i="16"/>
  <c r="DE17" i="16" s="1"/>
  <c r="X76" i="10"/>
  <c r="L14" i="13"/>
  <c r="Q14" i="13" s="1"/>
  <c r="L23" i="16"/>
  <c r="Q23" i="16" s="1"/>
  <c r="CF15" i="13"/>
  <c r="CK15" i="13" s="1"/>
  <c r="L24" i="14"/>
  <c r="Q24" i="14" s="1"/>
  <c r="CF21" i="13"/>
  <c r="CK21" i="13" s="1"/>
  <c r="AJ24" i="14"/>
  <c r="AO24" i="14" s="1"/>
  <c r="CF25" i="13"/>
  <c r="CK25" i="13" s="1"/>
  <c r="X75" i="10"/>
  <c r="X73" i="10"/>
  <c r="BH21" i="13"/>
  <c r="BM21" i="13" s="1"/>
  <c r="L16" i="16"/>
  <c r="Q16" i="16" s="1"/>
  <c r="L25" i="14"/>
  <c r="Q25" i="14" s="1"/>
  <c r="CF18" i="14"/>
  <c r="CK18" i="14" s="1"/>
  <c r="L18" i="13"/>
  <c r="Q18" i="13" s="1"/>
  <c r="BF17" i="16"/>
  <c r="BK17" i="16" s="1"/>
  <c r="L20" i="15"/>
  <c r="Q20" i="15" s="1"/>
  <c r="CC24" i="16"/>
  <c r="CH24" i="16" s="1"/>
  <c r="L24" i="16"/>
  <c r="Q24" i="16" s="1"/>
  <c r="CC26" i="16"/>
  <c r="CH26" i="16" s="1"/>
  <c r="AJ20" i="13"/>
  <c r="AO20" i="13" s="1"/>
  <c r="AJ17" i="15"/>
  <c r="AO17" i="15" s="1"/>
  <c r="BH24" i="14"/>
  <c r="BM24" i="14" s="1"/>
  <c r="AI14" i="16"/>
  <c r="AN14" i="16" s="1"/>
  <c r="L17" i="13"/>
  <c r="Q17" i="13" s="1"/>
  <c r="L14" i="16"/>
  <c r="Q14" i="16" s="1"/>
  <c r="CF22" i="14"/>
  <c r="CK22" i="14" s="1"/>
  <c r="CZ20" i="16"/>
  <c r="DE20" i="16" s="1"/>
  <c r="AJ13" i="15"/>
  <c r="AO13" i="15" s="1"/>
  <c r="L15" i="16"/>
  <c r="Q15" i="16" s="1"/>
  <c r="DD22" i="13"/>
  <c r="DI22" i="13" s="1"/>
  <c r="BH14" i="14"/>
  <c r="BM14" i="14" s="1"/>
  <c r="AJ18" i="15"/>
  <c r="AO18" i="15" s="1"/>
  <c r="AI16" i="16"/>
  <c r="AN16" i="16" s="1"/>
  <c r="DD19" i="14"/>
  <c r="DI19" i="14" s="1"/>
  <c r="CC25" i="16"/>
  <c r="CH25" i="16" s="1"/>
  <c r="L13" i="15"/>
  <c r="Q13" i="15" s="1"/>
  <c r="L17" i="16"/>
  <c r="Q17" i="16" s="1"/>
  <c r="DD23" i="13"/>
  <c r="DI23" i="13" s="1"/>
  <c r="CZ18" i="16"/>
  <c r="DE18" i="16" s="1"/>
  <c r="AJ25" i="13"/>
  <c r="AO25" i="13" s="1"/>
  <c r="L17" i="15"/>
  <c r="Q17" i="15" s="1"/>
  <c r="CF14" i="14"/>
  <c r="CK14" i="14" s="1"/>
  <c r="CC16" i="16"/>
  <c r="CH16" i="16" s="1"/>
  <c r="CF25" i="15"/>
  <c r="CK25" i="15" s="1"/>
  <c r="CF15" i="15"/>
  <c r="CK15" i="15" s="1"/>
  <c r="DD24" i="15"/>
  <c r="DI24" i="15" s="1"/>
  <c r="CF26" i="15"/>
  <c r="CK26" i="15" s="1"/>
  <c r="AE40" i="10"/>
  <c r="AE41" i="10" s="1"/>
  <c r="AE42" i="10" s="1"/>
  <c r="AE43" i="10" s="1"/>
  <c r="AE44" i="10" s="1"/>
  <c r="AE45" i="10" s="1"/>
  <c r="AE46" i="10" s="1"/>
  <c r="AE47" i="10" s="1"/>
  <c r="AE48" i="10" s="1"/>
  <c r="AE49" i="10" s="1"/>
  <c r="AE50" i="10" s="1"/>
  <c r="AE51" i="10" s="1"/>
  <c r="AE52" i="10" s="1"/>
  <c r="AE53" i="10" s="1"/>
  <c r="AE54" i="10" s="1"/>
  <c r="K6" i="11" s="1"/>
  <c r="AC73" i="10" l="1"/>
  <c r="F69" i="22" s="1"/>
  <c r="AC71" i="10"/>
  <c r="F67" i="22" s="1"/>
  <c r="L48" i="13"/>
  <c r="Q48" i="13" s="1"/>
  <c r="P48" i="13"/>
  <c r="CC53" i="16"/>
  <c r="CH53" i="16" s="1"/>
  <c r="CG53" i="16"/>
  <c r="L47" i="14"/>
  <c r="Q47" i="14" s="1"/>
  <c r="P47" i="14"/>
  <c r="DD45" i="14"/>
  <c r="DI45" i="14" s="1"/>
  <c r="DH45" i="14"/>
  <c r="CF44" i="13"/>
  <c r="CK44" i="13" s="1"/>
  <c r="CJ44" i="13"/>
  <c r="L46" i="14"/>
  <c r="Q46" i="14" s="1"/>
  <c r="P46" i="14"/>
  <c r="L46" i="13"/>
  <c r="Q46" i="13" s="1"/>
  <c r="P46" i="13"/>
  <c r="CC51" i="16"/>
  <c r="CH51" i="16" s="1"/>
  <c r="CG51" i="16"/>
  <c r="CZ43" i="16"/>
  <c r="DE43" i="16" s="1"/>
  <c r="DD43" i="16"/>
  <c r="CZ96" i="16"/>
  <c r="DE96" i="16" s="1"/>
  <c r="DD96" i="16"/>
  <c r="BH90" i="14"/>
  <c r="BM90" i="14" s="1"/>
  <c r="BL90" i="14"/>
  <c r="BH95" i="14"/>
  <c r="BM95" i="14" s="1"/>
  <c r="BL95" i="14"/>
  <c r="BH89" i="15"/>
  <c r="BM89" i="15" s="1"/>
  <c r="BL89" i="15"/>
  <c r="L89" i="13"/>
  <c r="Q89" i="13" s="1"/>
  <c r="P89" i="13"/>
  <c r="BF96" i="16"/>
  <c r="BK96" i="16" s="1"/>
  <c r="BJ96" i="16"/>
  <c r="BH93" i="14"/>
  <c r="BM93" i="14" s="1"/>
  <c r="BL93" i="14"/>
  <c r="L101" i="16"/>
  <c r="Q101" i="16" s="1"/>
  <c r="P101" i="16"/>
  <c r="DD96" i="13"/>
  <c r="DI96" i="13" s="1"/>
  <c r="DH96" i="13"/>
  <c r="DD99" i="15"/>
  <c r="DI99" i="15" s="1"/>
  <c r="DH99" i="15"/>
  <c r="BH103" i="13"/>
  <c r="BM103" i="13" s="1"/>
  <c r="BL103" i="13"/>
  <c r="L99" i="16"/>
  <c r="Q99" i="16" s="1"/>
  <c r="P99" i="16"/>
  <c r="DD18" i="13"/>
  <c r="DI18" i="13" s="1"/>
  <c r="DH18" i="13"/>
  <c r="CF17" i="13"/>
  <c r="CK17" i="13" s="1"/>
  <c r="CJ17" i="13"/>
  <c r="CF20" i="13"/>
  <c r="CK20" i="13" s="1"/>
  <c r="CJ20" i="13"/>
  <c r="DD14" i="14"/>
  <c r="DI14" i="14" s="1"/>
  <c r="DH14" i="14"/>
  <c r="CZ23" i="16"/>
  <c r="DE23" i="16" s="1"/>
  <c r="DD23" i="16"/>
  <c r="BH16" i="15"/>
  <c r="BM16" i="15" s="1"/>
  <c r="BL16" i="15"/>
  <c r="DD21" i="13"/>
  <c r="DI21" i="13" s="1"/>
  <c r="DH21" i="13"/>
  <c r="DD19" i="13"/>
  <c r="DI19" i="13" s="1"/>
  <c r="DH19" i="13"/>
  <c r="F72" i="22"/>
  <c r="AC76" i="10"/>
  <c r="F63" i="22"/>
  <c r="AC67" i="10"/>
  <c r="CF50" i="14"/>
  <c r="CK50" i="14" s="1"/>
  <c r="CJ50" i="14"/>
  <c r="AJ41" i="14"/>
  <c r="AO41" i="14" s="1"/>
  <c r="AN41" i="14"/>
  <c r="DD48" i="13"/>
  <c r="DI48" i="13" s="1"/>
  <c r="DH48" i="13"/>
  <c r="L49" i="13"/>
  <c r="Q49" i="13" s="1"/>
  <c r="P49" i="13"/>
  <c r="CF39" i="13"/>
  <c r="CK39" i="13" s="1"/>
  <c r="CJ39" i="13"/>
  <c r="CC42" i="16"/>
  <c r="CH42" i="16" s="1"/>
  <c r="CG42" i="16"/>
  <c r="BF53" i="16"/>
  <c r="BK53" i="16" s="1"/>
  <c r="BJ53" i="16"/>
  <c r="CC52" i="16"/>
  <c r="CH52" i="16" s="1"/>
  <c r="CG52" i="16"/>
  <c r="L50" i="16"/>
  <c r="Q50" i="16" s="1"/>
  <c r="P50" i="16"/>
  <c r="L41" i="14"/>
  <c r="Q41" i="14" s="1"/>
  <c r="P41" i="14"/>
  <c r="BF89" i="16"/>
  <c r="BK89" i="16" s="1"/>
  <c r="BJ89" i="16"/>
  <c r="L96" i="14"/>
  <c r="Q96" i="14" s="1"/>
  <c r="P96" i="14"/>
  <c r="DD90" i="15"/>
  <c r="DI90" i="15" s="1"/>
  <c r="DH90" i="15"/>
  <c r="BH99" i="13"/>
  <c r="BM99" i="13" s="1"/>
  <c r="BL99" i="13"/>
  <c r="BH23" i="13"/>
  <c r="BM23" i="13" s="1"/>
  <c r="BL23" i="13"/>
  <c r="L21" i="13"/>
  <c r="Q21" i="13" s="1"/>
  <c r="P21" i="13"/>
  <c r="CF22" i="13"/>
  <c r="CK22" i="13" s="1"/>
  <c r="CJ22" i="13"/>
  <c r="BH26" i="13"/>
  <c r="BM26" i="13" s="1"/>
  <c r="BL26" i="13"/>
  <c r="L25" i="13"/>
  <c r="Q25" i="13" s="1"/>
  <c r="P25" i="13"/>
  <c r="AI18" i="16"/>
  <c r="AN18" i="16" s="1"/>
  <c r="AM18" i="16"/>
  <c r="CZ24" i="16"/>
  <c r="DE24" i="16" s="1"/>
  <c r="DD24" i="16"/>
  <c r="BH23" i="15"/>
  <c r="BM23" i="15" s="1"/>
  <c r="BL23" i="15"/>
  <c r="DD16" i="13"/>
  <c r="DI16" i="13" s="1"/>
  <c r="DH16" i="13"/>
  <c r="F71" i="22"/>
  <c r="AC75" i="10"/>
  <c r="F65" i="22"/>
  <c r="AC69" i="10"/>
  <c r="DD27" i="14"/>
  <c r="DI27" i="14" s="1"/>
  <c r="DH27" i="14"/>
  <c r="L43" i="16"/>
  <c r="Q43" i="16" s="1"/>
  <c r="P43" i="16"/>
  <c r="BH39" i="13"/>
  <c r="BM39" i="13" s="1"/>
  <c r="BL39" i="13"/>
  <c r="CC47" i="16"/>
  <c r="CH47" i="16" s="1"/>
  <c r="CG47" i="16"/>
  <c r="L52" i="13"/>
  <c r="Q52" i="13" s="1"/>
  <c r="P52" i="13"/>
  <c r="AJ46" i="14"/>
  <c r="AO46" i="14" s="1"/>
  <c r="AN46" i="14"/>
  <c r="AJ48" i="14"/>
  <c r="AO48" i="14" s="1"/>
  <c r="AN48" i="14"/>
  <c r="BH50" i="14"/>
  <c r="BM50" i="14" s="1"/>
  <c r="BL50" i="14"/>
  <c r="AJ51" i="14"/>
  <c r="AO51" i="14" s="1"/>
  <c r="AN51" i="14"/>
  <c r="L50" i="14"/>
  <c r="Q50" i="14" s="1"/>
  <c r="P50" i="14"/>
  <c r="DD48" i="14"/>
  <c r="DI48" i="14" s="1"/>
  <c r="DH48" i="14"/>
  <c r="DD99" i="13"/>
  <c r="DI99" i="13" s="1"/>
  <c r="DH99" i="13"/>
  <c r="DD95" i="14"/>
  <c r="DI95" i="14" s="1"/>
  <c r="DH95" i="14"/>
  <c r="CC101" i="16"/>
  <c r="CH101" i="16" s="1"/>
  <c r="CG101" i="16"/>
  <c r="L102" i="16"/>
  <c r="Q102" i="16" s="1"/>
  <c r="P102" i="16"/>
  <c r="L89" i="16"/>
  <c r="Q89" i="16" s="1"/>
  <c r="P89" i="16"/>
  <c r="DD93" i="14"/>
  <c r="DI93" i="14" s="1"/>
  <c r="DH93" i="14"/>
  <c r="BF101" i="16"/>
  <c r="BK101" i="16" s="1"/>
  <c r="BJ101" i="16"/>
  <c r="AI22" i="16"/>
  <c r="AN22" i="16" s="1"/>
  <c r="AM22" i="16"/>
  <c r="AJ22" i="14"/>
  <c r="AO22" i="14" s="1"/>
  <c r="AN22" i="14"/>
  <c r="CF13" i="13"/>
  <c r="CK13" i="13" s="1"/>
  <c r="CJ13" i="13"/>
  <c r="BH21" i="14"/>
  <c r="BM21" i="14" s="1"/>
  <c r="BL21" i="14"/>
  <c r="BH25" i="14"/>
  <c r="BM25" i="14" s="1"/>
  <c r="BL25" i="14"/>
  <c r="DD26" i="14"/>
  <c r="DI26" i="14" s="1"/>
  <c r="DH26" i="14"/>
  <c r="CF20" i="14"/>
  <c r="CK20" i="14" s="1"/>
  <c r="CJ20" i="14"/>
  <c r="DD15" i="13"/>
  <c r="DI15" i="13" s="1"/>
  <c r="DH15" i="13"/>
  <c r="L18" i="16"/>
  <c r="Q18" i="16" s="1"/>
  <c r="P18" i="16"/>
  <c r="CF18" i="13"/>
  <c r="CK18" i="13" s="1"/>
  <c r="CJ18" i="13"/>
  <c r="AC72" i="10"/>
  <c r="F68" i="22" s="1"/>
  <c r="CZ27" i="16"/>
  <c r="DE27" i="16" s="1"/>
  <c r="DD27" i="16"/>
  <c r="BH39" i="14"/>
  <c r="BM39" i="14" s="1"/>
  <c r="BL39" i="14"/>
  <c r="AJ53" i="14"/>
  <c r="AO53" i="14" s="1"/>
  <c r="AN53" i="14"/>
  <c r="L42" i="13"/>
  <c r="Q42" i="13" s="1"/>
  <c r="P42" i="13"/>
  <c r="L48" i="14"/>
  <c r="Q48" i="14" s="1"/>
  <c r="P48" i="14"/>
  <c r="AJ43" i="14"/>
  <c r="AO43" i="14" s="1"/>
  <c r="AN43" i="14"/>
  <c r="L53" i="16"/>
  <c r="Q53" i="16" s="1"/>
  <c r="P53" i="16"/>
  <c r="BF51" i="16"/>
  <c r="BK51" i="16" s="1"/>
  <c r="BJ51" i="16"/>
  <c r="L52" i="16"/>
  <c r="Q52" i="16" s="1"/>
  <c r="P52" i="16"/>
  <c r="AJ47" i="14"/>
  <c r="AO47" i="14" s="1"/>
  <c r="AN47" i="14"/>
  <c r="BH90" i="13"/>
  <c r="BM90" i="13" s="1"/>
  <c r="BL90" i="13"/>
  <c r="L98" i="15"/>
  <c r="Q98" i="15" s="1"/>
  <c r="P98" i="15"/>
  <c r="L99" i="15"/>
  <c r="Q99" i="15" s="1"/>
  <c r="P99" i="15"/>
  <c r="L90" i="14"/>
  <c r="Q90" i="14" s="1"/>
  <c r="P90" i="14"/>
  <c r="AJ101" i="14"/>
  <c r="AO101" i="14" s="1"/>
  <c r="AN101" i="14"/>
  <c r="L96" i="15"/>
  <c r="Q96" i="15" s="1"/>
  <c r="P96" i="15"/>
  <c r="CZ89" i="16"/>
  <c r="DE89" i="16" s="1"/>
  <c r="DD89" i="16"/>
  <c r="AI92" i="16"/>
  <c r="AN92" i="16" s="1"/>
  <c r="AM92" i="16"/>
  <c r="CF102" i="13"/>
  <c r="CK102" i="13" s="1"/>
  <c r="CJ102" i="13"/>
  <c r="CC89" i="16"/>
  <c r="CH89" i="16" s="1"/>
  <c r="CG89" i="16"/>
  <c r="AI90" i="16"/>
  <c r="AN90" i="16" s="1"/>
  <c r="AM90" i="16"/>
  <c r="L90" i="16"/>
  <c r="Q90" i="16" s="1"/>
  <c r="P90" i="16"/>
  <c r="BH26" i="14"/>
  <c r="BM26" i="14" s="1"/>
  <c r="BL26" i="14"/>
  <c r="DD26" i="13"/>
  <c r="DI26" i="13" s="1"/>
  <c r="DH26" i="13"/>
  <c r="CC17" i="16"/>
  <c r="CH17" i="16" s="1"/>
  <c r="CG17" i="16"/>
  <c r="L21" i="14"/>
  <c r="Q21" i="14" s="1"/>
  <c r="P21" i="14"/>
  <c r="F66" i="22"/>
  <c r="AC70" i="10"/>
  <c r="L51" i="16"/>
  <c r="Q51" i="16" s="1"/>
  <c r="P51" i="16"/>
  <c r="BH53" i="13"/>
  <c r="BM53" i="13" s="1"/>
  <c r="BL53" i="13"/>
  <c r="AJ50" i="14"/>
  <c r="AO50" i="14" s="1"/>
  <c r="AN50" i="14"/>
  <c r="L50" i="13"/>
  <c r="Q50" i="13" s="1"/>
  <c r="P50" i="13"/>
  <c r="L45" i="14"/>
  <c r="Q45" i="14" s="1"/>
  <c r="P45" i="14"/>
  <c r="AJ45" i="14"/>
  <c r="AO45" i="14" s="1"/>
  <c r="AN45" i="14"/>
  <c r="DD46" i="13"/>
  <c r="DI46" i="13" s="1"/>
  <c r="DH46" i="13"/>
  <c r="L47" i="16"/>
  <c r="Q47" i="16" s="1"/>
  <c r="P47" i="16"/>
  <c r="AJ40" i="14"/>
  <c r="AO40" i="14" s="1"/>
  <c r="AN40" i="14"/>
  <c r="BH43" i="13"/>
  <c r="BM43" i="13" s="1"/>
  <c r="BL43" i="13"/>
  <c r="L27" i="16"/>
  <c r="Q27" i="16" s="1"/>
  <c r="P27" i="16"/>
  <c r="DD95" i="15"/>
  <c r="DI95" i="15" s="1"/>
  <c r="DH95" i="15"/>
  <c r="BH95" i="13"/>
  <c r="BM95" i="13" s="1"/>
  <c r="BL95" i="13"/>
  <c r="AI101" i="16"/>
  <c r="AN101" i="16" s="1"/>
  <c r="AM101" i="16"/>
  <c r="BH99" i="15"/>
  <c r="BM99" i="15" s="1"/>
  <c r="BL99" i="15"/>
  <c r="AJ102" i="15"/>
  <c r="AO102" i="15" s="1"/>
  <c r="AN102" i="15"/>
  <c r="CF89" i="13"/>
  <c r="CK89" i="13" s="1"/>
  <c r="CJ89" i="13"/>
  <c r="L101" i="13"/>
  <c r="Q101" i="13" s="1"/>
  <c r="P101" i="13"/>
  <c r="BF93" i="16"/>
  <c r="BK93" i="16" s="1"/>
  <c r="BJ93" i="16"/>
  <c r="AJ95" i="15"/>
  <c r="AO95" i="15" s="1"/>
  <c r="AN95" i="15"/>
  <c r="BH16" i="13"/>
  <c r="BM16" i="13" s="1"/>
  <c r="BL16" i="13"/>
  <c r="BF20" i="16"/>
  <c r="BK20" i="16" s="1"/>
  <c r="BJ20" i="16"/>
  <c r="L27" i="14"/>
  <c r="Q27" i="14" s="1"/>
  <c r="P27" i="14"/>
  <c r="CZ22" i="16"/>
  <c r="DE22" i="16" s="1"/>
  <c r="DD22" i="16"/>
  <c r="CF17" i="15"/>
  <c r="CK17" i="15" s="1"/>
  <c r="CJ17" i="15"/>
  <c r="L51" i="13"/>
  <c r="Q51" i="13" s="1"/>
  <c r="P51" i="13"/>
  <c r="AI47" i="16"/>
  <c r="AN47" i="16" s="1"/>
  <c r="AM47" i="16"/>
  <c r="L52" i="14"/>
  <c r="Q52" i="14" s="1"/>
  <c r="P52" i="14"/>
  <c r="L49" i="16"/>
  <c r="Q49" i="16" s="1"/>
  <c r="P49" i="16"/>
  <c r="AI49" i="16"/>
  <c r="AN49" i="16" s="1"/>
  <c r="AM49" i="16"/>
  <c r="L48" i="16"/>
  <c r="Q48" i="16" s="1"/>
  <c r="P48" i="16"/>
  <c r="L47" i="13"/>
  <c r="Q47" i="13" s="1"/>
  <c r="P47" i="13"/>
  <c r="DD46" i="14"/>
  <c r="DI46" i="14" s="1"/>
  <c r="DH46" i="14"/>
  <c r="DD42" i="13"/>
  <c r="DI42" i="13" s="1"/>
  <c r="DH42" i="13"/>
  <c r="DD45" i="13"/>
  <c r="DI45" i="13" s="1"/>
  <c r="DH45" i="13"/>
  <c r="DD92" i="13"/>
  <c r="DI92" i="13" s="1"/>
  <c r="DH92" i="13"/>
  <c r="CZ92" i="16"/>
  <c r="DE92" i="16" s="1"/>
  <c r="DD92" i="16"/>
  <c r="AJ90" i="15"/>
  <c r="AO90" i="15" s="1"/>
  <c r="AN90" i="15"/>
  <c r="BH98" i="15"/>
  <c r="BM98" i="15" s="1"/>
  <c r="BL98" i="15"/>
  <c r="AJ93" i="13"/>
  <c r="AO93" i="13" s="1"/>
  <c r="AN93" i="13"/>
  <c r="L95" i="16"/>
  <c r="Q95" i="16" s="1"/>
  <c r="P95" i="16"/>
  <c r="CZ21" i="16"/>
  <c r="DE21" i="16" s="1"/>
  <c r="DD21" i="16"/>
  <c r="AJ25" i="14"/>
  <c r="AO25" i="14" s="1"/>
  <c r="AN25" i="14"/>
  <c r="CC19" i="16"/>
  <c r="CH19" i="16" s="1"/>
  <c r="CG19" i="16"/>
  <c r="L22" i="15"/>
  <c r="Q22" i="15" s="1"/>
  <c r="P22" i="15"/>
  <c r="CC13" i="16"/>
  <c r="CH13" i="16" s="1"/>
  <c r="CG13" i="16"/>
  <c r="AJ27" i="13"/>
  <c r="AO27" i="13" s="1"/>
  <c r="AN27" i="13"/>
  <c r="L24" i="15"/>
  <c r="Q24" i="15" s="1"/>
  <c r="P24" i="15"/>
  <c r="AJ20" i="15"/>
  <c r="AO20" i="15" s="1"/>
  <c r="AN20" i="15"/>
  <c r="L24" i="13"/>
  <c r="Q24" i="13" s="1"/>
  <c r="P24" i="13"/>
  <c r="L22" i="14"/>
  <c r="Q22" i="14" s="1"/>
  <c r="P22" i="14"/>
  <c r="L23" i="15"/>
  <c r="Q23" i="15" s="1"/>
  <c r="P23" i="15"/>
  <c r="BH22" i="13"/>
  <c r="BM22" i="13" s="1"/>
  <c r="BL22" i="13"/>
  <c r="CF16" i="15"/>
  <c r="CK16" i="15" s="1"/>
  <c r="CJ16" i="15"/>
  <c r="DD41" i="14"/>
  <c r="DI41" i="14" s="1"/>
  <c r="DH41" i="14"/>
  <c r="BF48" i="16"/>
  <c r="BK48" i="16" s="1"/>
  <c r="BJ48" i="16"/>
  <c r="CF53" i="14"/>
  <c r="CK53" i="14" s="1"/>
  <c r="CJ53" i="14"/>
  <c r="CF41" i="14"/>
  <c r="CK41" i="14" s="1"/>
  <c r="CJ41" i="14"/>
  <c r="L46" i="16"/>
  <c r="Q46" i="16" s="1"/>
  <c r="P46" i="16"/>
  <c r="AI43" i="16"/>
  <c r="AN43" i="16" s="1"/>
  <c r="AM43" i="16"/>
  <c r="CF42" i="13"/>
  <c r="CK42" i="13" s="1"/>
  <c r="CJ42" i="13"/>
  <c r="DD43" i="13"/>
  <c r="DI43" i="13" s="1"/>
  <c r="DH43" i="13"/>
  <c r="L40" i="16"/>
  <c r="Q40" i="16" s="1"/>
  <c r="P40" i="16"/>
  <c r="BF39" i="16"/>
  <c r="BK39" i="16" s="1"/>
  <c r="BJ39" i="16"/>
  <c r="BF47" i="16"/>
  <c r="BK47" i="16" s="1"/>
  <c r="BJ47" i="16"/>
  <c r="DD53" i="14"/>
  <c r="DI53" i="14" s="1"/>
  <c r="DH53" i="14"/>
  <c r="CF42" i="14"/>
  <c r="CK42" i="14" s="1"/>
  <c r="CJ42" i="14"/>
  <c r="CF89" i="14"/>
  <c r="CK89" i="14" s="1"/>
  <c r="CJ89" i="14"/>
  <c r="L103" i="15"/>
  <c r="Q103" i="15" s="1"/>
  <c r="P103" i="15"/>
  <c r="CF96" i="13"/>
  <c r="CK96" i="13" s="1"/>
  <c r="CJ96" i="13"/>
  <c r="CZ95" i="16"/>
  <c r="DE95" i="16" s="1"/>
  <c r="DD95" i="16"/>
  <c r="L89" i="14"/>
  <c r="Q89" i="14" s="1"/>
  <c r="P89" i="14"/>
  <c r="AJ13" i="14"/>
  <c r="AO13" i="14" s="1"/>
  <c r="AN13" i="14"/>
  <c r="AJ22" i="15"/>
  <c r="AO22" i="15" s="1"/>
  <c r="AN22" i="15"/>
  <c r="L20" i="14"/>
  <c r="Q20" i="14" s="1"/>
  <c r="P20" i="14"/>
  <c r="DD13" i="13"/>
  <c r="DI13" i="13" s="1"/>
  <c r="DH13" i="13"/>
  <c r="L27" i="15"/>
  <c r="Q27" i="15" s="1"/>
  <c r="P27" i="15"/>
  <c r="L13" i="13"/>
  <c r="Q13" i="13" s="1"/>
  <c r="P13" i="13"/>
  <c r="F75" i="22"/>
  <c r="AC79" i="10"/>
  <c r="CZ39" i="16"/>
  <c r="DE39" i="16" s="1"/>
  <c r="DD39" i="16"/>
  <c r="AJ52" i="14"/>
  <c r="AO52" i="14" s="1"/>
  <c r="AN52" i="14"/>
  <c r="L40" i="13"/>
  <c r="Q40" i="13" s="1"/>
  <c r="P40" i="13"/>
  <c r="CC48" i="16"/>
  <c r="CH48" i="16" s="1"/>
  <c r="CG48" i="16"/>
  <c r="AI52" i="16"/>
  <c r="AN52" i="16" s="1"/>
  <c r="AM52" i="16"/>
  <c r="BH44" i="14"/>
  <c r="BM44" i="14" s="1"/>
  <c r="BL44" i="14"/>
  <c r="AJ39" i="13"/>
  <c r="AO39" i="13" s="1"/>
  <c r="AN39" i="13"/>
  <c r="CC41" i="16"/>
  <c r="CH41" i="16" s="1"/>
  <c r="CG41" i="16"/>
  <c r="DD50" i="14"/>
  <c r="DI50" i="14" s="1"/>
  <c r="DH50" i="14"/>
  <c r="CC46" i="16"/>
  <c r="CH46" i="16" s="1"/>
  <c r="CG46" i="16"/>
  <c r="CF51" i="13"/>
  <c r="CK51" i="13" s="1"/>
  <c r="CJ51" i="13"/>
  <c r="L92" i="16"/>
  <c r="Q92" i="16" s="1"/>
  <c r="P92" i="16"/>
  <c r="BF99" i="16"/>
  <c r="BK99" i="16" s="1"/>
  <c r="BJ99" i="16"/>
  <c r="DD102" i="15"/>
  <c r="DI102" i="15" s="1"/>
  <c r="DH102" i="15"/>
  <c r="CC93" i="16"/>
  <c r="CH93" i="16" s="1"/>
  <c r="CG93" i="16"/>
  <c r="AJ92" i="14"/>
  <c r="AO92" i="14" s="1"/>
  <c r="AN92" i="14"/>
  <c r="CF95" i="13"/>
  <c r="CK95" i="13" s="1"/>
  <c r="CJ95" i="13"/>
  <c r="DD90" i="14"/>
  <c r="DI90" i="14" s="1"/>
  <c r="DH90" i="14"/>
  <c r="AI89" i="16"/>
  <c r="AN89" i="16" s="1"/>
  <c r="AM89" i="16"/>
  <c r="DD96" i="14"/>
  <c r="DI96" i="14" s="1"/>
  <c r="DH96" i="14"/>
  <c r="DD89" i="14"/>
  <c r="DI89" i="14" s="1"/>
  <c r="DH89" i="14"/>
  <c r="DD93" i="13"/>
  <c r="DI93" i="13" s="1"/>
  <c r="DH93" i="13"/>
  <c r="L99" i="13"/>
  <c r="Q99" i="13" s="1"/>
  <c r="P99" i="13"/>
  <c r="CF102" i="14"/>
  <c r="CK102" i="14" s="1"/>
  <c r="CJ102" i="14"/>
  <c r="DD98" i="15"/>
  <c r="DI98" i="15" s="1"/>
  <c r="DH98" i="15"/>
  <c r="CF20" i="15"/>
  <c r="CK20" i="15" s="1"/>
  <c r="CJ20" i="15"/>
  <c r="BH18" i="13"/>
  <c r="BM18" i="13" s="1"/>
  <c r="BL18" i="13"/>
  <c r="BH20" i="13"/>
  <c r="BM20" i="13" s="1"/>
  <c r="BL20" i="13"/>
  <c r="AJ27" i="15"/>
  <c r="AO27" i="15" s="1"/>
  <c r="AN27" i="15"/>
  <c r="BH13" i="14"/>
  <c r="BM13" i="14" s="1"/>
  <c r="BL13" i="14"/>
  <c r="L25" i="16"/>
  <c r="Q25" i="16" s="1"/>
  <c r="P25" i="16"/>
  <c r="BF15" i="16"/>
  <c r="BK15" i="16" s="1"/>
  <c r="DD17" i="13"/>
  <c r="DI17" i="13" s="1"/>
  <c r="CC22" i="16"/>
  <c r="CH22" i="16" s="1"/>
  <c r="X66" i="10"/>
  <c r="AC66" i="10" s="1"/>
  <c r="CZ14" i="16"/>
  <c r="DE14" i="16" s="1"/>
  <c r="AJ18" i="14"/>
  <c r="AO18" i="14" s="1"/>
  <c r="AJ21" i="15"/>
  <c r="AO21" i="15" s="1"/>
  <c r="BH25" i="15"/>
  <c r="BM25" i="15" s="1"/>
  <c r="L14" i="15"/>
  <c r="Q14" i="15" s="1"/>
  <c r="CF15" i="14"/>
  <c r="CK15" i="14" s="1"/>
  <c r="L13" i="14"/>
  <c r="Q13" i="14" s="1"/>
  <c r="L18" i="14"/>
  <c r="Q18" i="14" s="1"/>
  <c r="DD25" i="14"/>
  <c r="DI25" i="14" s="1"/>
  <c r="BH19" i="14"/>
  <c r="BM19" i="14" s="1"/>
  <c r="L15" i="14"/>
  <c r="Q15" i="14" s="1"/>
  <c r="DD20" i="14"/>
  <c r="DI20" i="14" s="1"/>
  <c r="CF24" i="14"/>
  <c r="CK24" i="14" s="1"/>
  <c r="AJ16" i="14"/>
  <c r="AO16" i="14" s="1"/>
  <c r="DD23" i="15"/>
  <c r="DI23" i="15" s="1"/>
  <c r="CF19" i="15"/>
  <c r="CK19" i="15" s="1"/>
  <c r="CF21" i="15"/>
  <c r="CK21" i="15" s="1"/>
  <c r="CF17" i="14"/>
  <c r="CK17" i="14" s="1"/>
  <c r="CF19" i="14"/>
  <c r="CK19" i="14" s="1"/>
  <c r="AJ24" i="13"/>
  <c r="AO24" i="13" s="1"/>
  <c r="AJ16" i="13"/>
  <c r="AO16" i="13" s="1"/>
  <c r="AJ23" i="15"/>
  <c r="AO23" i="15" s="1"/>
  <c r="CF98" i="13"/>
  <c r="CK98" i="13" s="1"/>
  <c r="BH95" i="15"/>
  <c r="BM95" i="15" s="1"/>
  <c r="AJ94" i="13"/>
  <c r="AO94" i="13" s="1"/>
  <c r="AJ101" i="13"/>
  <c r="AO101" i="13" s="1"/>
  <c r="BF95" i="16"/>
  <c r="BK95" i="16" s="1"/>
  <c r="L91" i="15"/>
  <c r="Q91" i="15" s="1"/>
  <c r="BF97" i="16"/>
  <c r="BK97" i="16" s="1"/>
  <c r="DD98" i="13"/>
  <c r="DI98" i="13" s="1"/>
  <c r="F62" i="22"/>
  <c r="CF23" i="13"/>
  <c r="CK23" i="13" s="1"/>
  <c r="L16" i="14"/>
  <c r="Q16" i="14" s="1"/>
  <c r="AJ13" i="13"/>
  <c r="AO13" i="13" s="1"/>
  <c r="X68" i="10"/>
  <c r="AC68" i="10" s="1"/>
  <c r="AB68" i="10"/>
  <c r="AJ101" i="15"/>
  <c r="AO101" i="15" s="1"/>
  <c r="DD102" i="13"/>
  <c r="DI102" i="13" s="1"/>
  <c r="L97" i="13"/>
  <c r="Q97" i="13" s="1"/>
  <c r="CF93" i="15"/>
  <c r="CK93" i="15" s="1"/>
  <c r="X97" i="10"/>
  <c r="AC97" i="10" s="1"/>
  <c r="AB97" i="10"/>
  <c r="X78" i="10"/>
  <c r="AC78" i="10" s="1"/>
  <c r="AB78" i="10"/>
  <c r="X94" i="10"/>
  <c r="AC94" i="10" s="1"/>
  <c r="AB94" i="10"/>
  <c r="X105" i="10"/>
  <c r="AC105" i="10" s="1"/>
  <c r="AB105" i="10"/>
  <c r="AJ14" i="14"/>
  <c r="AO14" i="14" s="1"/>
  <c r="AJ21" i="13"/>
  <c r="AO21" i="13" s="1"/>
  <c r="BH99" i="14"/>
  <c r="BM99" i="14" s="1"/>
  <c r="AJ92" i="13"/>
  <c r="AO92" i="13" s="1"/>
  <c r="CC95" i="16"/>
  <c r="CH95" i="16" s="1"/>
  <c r="L98" i="16"/>
  <c r="Q98" i="16" s="1"/>
  <c r="CC102" i="16"/>
  <c r="CH102" i="16" s="1"/>
  <c r="AJ90" i="14"/>
  <c r="AO90" i="14" s="1"/>
  <c r="L96" i="13"/>
  <c r="Q96" i="13" s="1"/>
  <c r="BH91" i="15"/>
  <c r="BM91" i="15" s="1"/>
  <c r="X95" i="10"/>
  <c r="AC95" i="10" s="1"/>
  <c r="AB95" i="10"/>
  <c r="X80" i="10"/>
  <c r="AC80" i="10" s="1"/>
  <c r="AB80" i="10"/>
  <c r="X101" i="10"/>
  <c r="AC101" i="10" s="1"/>
  <c r="AB101" i="10"/>
  <c r="DD100" i="15"/>
  <c r="DI100" i="15" s="1"/>
  <c r="L96" i="16"/>
  <c r="Q96" i="16" s="1"/>
  <c r="AJ97" i="14"/>
  <c r="AO97" i="14" s="1"/>
  <c r="BH102" i="13"/>
  <c r="BM102" i="13" s="1"/>
  <c r="L94" i="16"/>
  <c r="Q94" i="16" s="1"/>
  <c r="X96" i="10"/>
  <c r="AC96" i="10" s="1"/>
  <c r="AB96" i="10"/>
  <c r="X77" i="10"/>
  <c r="AC77" i="10" s="1"/>
  <c r="AB77" i="10"/>
  <c r="BF16" i="16"/>
  <c r="BK16" i="16" s="1"/>
  <c r="AJ17" i="13"/>
  <c r="AO17" i="13" s="1"/>
  <c r="K45" i="15"/>
  <c r="CE45" i="15"/>
  <c r="CJ45" i="15" s="1"/>
  <c r="AI47" i="15"/>
  <c r="DC40" i="15"/>
  <c r="AI50" i="15"/>
  <c r="AN50" i="15" s="1"/>
  <c r="K48" i="15"/>
  <c r="P48" i="15" s="1"/>
  <c r="CE41" i="15"/>
  <c r="CE44" i="15"/>
  <c r="CJ44" i="15" s="1"/>
  <c r="BG44" i="15"/>
  <c r="BL44" i="15" s="1"/>
  <c r="K51" i="15"/>
  <c r="AI44" i="15"/>
  <c r="K44" i="15"/>
  <c r="K49" i="15"/>
  <c r="P49" i="15" s="1"/>
  <c r="DC49" i="15"/>
  <c r="DH49" i="15" s="1"/>
  <c r="BG14" i="15"/>
  <c r="BL14" i="15" s="1"/>
  <c r="K19" i="15"/>
  <c r="P19" i="15" s="1"/>
  <c r="BG13" i="15"/>
  <c r="BL13" i="15" s="1"/>
  <c r="CE23" i="15"/>
  <c r="CJ23" i="15" s="1"/>
  <c r="AI26" i="15"/>
  <c r="AN26" i="15" s="1"/>
  <c r="K25" i="15"/>
  <c r="BG27" i="15"/>
  <c r="BL27" i="15" s="1"/>
  <c r="AI25" i="15"/>
  <c r="AN25" i="15" s="1"/>
  <c r="DC14" i="15"/>
  <c r="DH14" i="15" s="1"/>
  <c r="CE22" i="15"/>
  <c r="CJ22" i="15" s="1"/>
  <c r="BG15" i="15"/>
  <c r="BL15" i="15" s="1"/>
  <c r="DC20" i="15"/>
  <c r="DC19" i="15"/>
  <c r="AI46" i="15"/>
  <c r="CE52" i="15"/>
  <c r="CE39" i="15"/>
  <c r="BG53" i="15"/>
  <c r="AI39" i="15"/>
  <c r="AN39" i="15" s="1"/>
  <c r="CE48" i="15"/>
  <c r="CJ48" i="15" s="1"/>
  <c r="DC50" i="15"/>
  <c r="DH50" i="15" s="1"/>
  <c r="BG49" i="15"/>
  <c r="BL49" i="15" s="1"/>
  <c r="K39" i="15"/>
  <c r="P39" i="15" s="1"/>
  <c r="BG39" i="15"/>
  <c r="CF95" i="15"/>
  <c r="CK95" i="15" s="1"/>
  <c r="L95" i="15"/>
  <c r="Q95" i="15" s="1"/>
  <c r="AI53" i="15"/>
  <c r="AN53" i="15" s="1"/>
  <c r="BG50" i="15"/>
  <c r="BL50" i="15" s="1"/>
  <c r="BG47" i="15"/>
  <c r="BL47" i="15" s="1"/>
  <c r="K53" i="15"/>
  <c r="P53" i="15" s="1"/>
  <c r="K43" i="15"/>
  <c r="DC45" i="15"/>
  <c r="DH45" i="15" s="1"/>
  <c r="K41" i="15"/>
  <c r="BG46" i="15"/>
  <c r="BL46" i="15" s="1"/>
  <c r="DC47" i="15"/>
  <c r="DH47" i="15" s="1"/>
  <c r="CE49" i="15"/>
  <c r="AI43" i="15"/>
  <c r="AN43" i="15" s="1"/>
  <c r="K50" i="15"/>
  <c r="BG48" i="15"/>
  <c r="BL48" i="15" s="1"/>
  <c r="CE42" i="15"/>
  <c r="CJ42" i="15" s="1"/>
  <c r="DC46" i="15"/>
  <c r="DH46" i="15" s="1"/>
  <c r="BG40" i="15"/>
  <c r="BL40" i="15" s="1"/>
  <c r="CE50" i="15"/>
  <c r="CJ50" i="15" s="1"/>
  <c r="CE46" i="15"/>
  <c r="CJ46" i="15" s="1"/>
  <c r="BG52" i="15"/>
  <c r="BL52" i="15" s="1"/>
  <c r="AI45" i="15"/>
  <c r="AN45" i="15" s="1"/>
  <c r="K46" i="15"/>
  <c r="P46" i="15" s="1"/>
  <c r="DC44" i="15"/>
  <c r="K47" i="15"/>
  <c r="BG43" i="15"/>
  <c r="BL43" i="15" s="1"/>
  <c r="K42" i="15"/>
  <c r="P42" i="15" s="1"/>
  <c r="DC52" i="15"/>
  <c r="DH52" i="15" s="1"/>
  <c r="CE51" i="15"/>
  <c r="CJ51" i="15" s="1"/>
  <c r="BG45" i="15"/>
  <c r="BL45" i="15" s="1"/>
  <c r="AI48" i="15"/>
  <c r="AN48" i="15" s="1"/>
  <c r="BG51" i="15"/>
  <c r="BL51" i="15" s="1"/>
  <c r="DC42" i="15"/>
  <c r="K40" i="15"/>
  <c r="P40" i="15" s="1"/>
  <c r="BG41" i="15"/>
  <c r="BL41" i="15" s="1"/>
  <c r="DC39" i="15"/>
  <c r="DH39" i="15" s="1"/>
  <c r="CE47" i="15"/>
  <c r="CJ47" i="15" s="1"/>
  <c r="AI49" i="15"/>
  <c r="CE40" i="15"/>
  <c r="CJ40" i="15" s="1"/>
  <c r="DC41" i="15"/>
  <c r="DH41" i="15" s="1"/>
  <c r="AI52" i="15"/>
  <c r="AN52" i="15" s="1"/>
  <c r="DC43" i="15"/>
  <c r="DC51" i="15"/>
  <c r="AI51" i="15"/>
  <c r="BG42" i="15"/>
  <c r="BL42" i="15" s="1"/>
  <c r="DC48" i="15"/>
  <c r="DH48" i="15" s="1"/>
  <c r="DC53" i="15"/>
  <c r="DH53" i="15" s="1"/>
  <c r="K52" i="15"/>
  <c r="P52" i="15" s="1"/>
  <c r="CE43" i="15"/>
  <c r="CJ43" i="15" s="1"/>
  <c r="CE53" i="15"/>
  <c r="CJ53" i="15" s="1"/>
  <c r="DC25" i="15"/>
  <c r="DC26" i="15"/>
  <c r="DH26" i="15" s="1"/>
  <c r="K16" i="15"/>
  <c r="BG18" i="15"/>
  <c r="BL18" i="15" s="1"/>
  <c r="AI15" i="15"/>
  <c r="AN15" i="15" s="1"/>
  <c r="BG19" i="15"/>
  <c r="BL19" i="15" s="1"/>
  <c r="AI14" i="15"/>
  <c r="AN14" i="15" s="1"/>
  <c r="DC15" i="15"/>
  <c r="CE14" i="15"/>
  <c r="CJ14" i="15" s="1"/>
  <c r="BG20" i="15"/>
  <c r="BL20" i="15" s="1"/>
  <c r="CE13" i="15"/>
  <c r="CJ13" i="15" s="1"/>
  <c r="DC18" i="15"/>
  <c r="DH18" i="15" s="1"/>
  <c r="AJ26" i="13"/>
  <c r="AO26" i="13" s="1"/>
  <c r="AJ23" i="13"/>
  <c r="AO23" i="13" s="1"/>
  <c r="CF93" i="13"/>
  <c r="CK93" i="13" s="1"/>
  <c r="DD24" i="13"/>
  <c r="DI24" i="13" s="1"/>
  <c r="L16" i="13"/>
  <c r="Q16" i="13" s="1"/>
  <c r="AJ23" i="14"/>
  <c r="AO23" i="14" s="1"/>
  <c r="L14" i="14"/>
  <c r="Q14" i="14" s="1"/>
  <c r="DD16" i="14"/>
  <c r="DI16" i="14" s="1"/>
  <c r="DD24" i="14"/>
  <c r="DI24" i="14" s="1"/>
  <c r="DD25" i="13"/>
  <c r="DI25" i="13" s="1"/>
  <c r="L20" i="13"/>
  <c r="Q20" i="13" s="1"/>
  <c r="AJ21" i="14"/>
  <c r="AO21" i="14" s="1"/>
  <c r="DD17" i="14"/>
  <c r="DI17" i="14" s="1"/>
  <c r="DD20" i="13"/>
  <c r="DI20" i="13" s="1"/>
  <c r="AJ26" i="14"/>
  <c r="AO26" i="14" s="1"/>
  <c r="DD22" i="14"/>
  <c r="DI22" i="14" s="1"/>
  <c r="CF25" i="14"/>
  <c r="CK25" i="14" s="1"/>
  <c r="CZ26" i="16"/>
  <c r="DE26" i="16" s="1"/>
  <c r="BF24" i="16"/>
  <c r="BK24" i="16" s="1"/>
  <c r="L17" i="14"/>
  <c r="Q17" i="14" s="1"/>
  <c r="L22" i="13"/>
  <c r="Q22" i="13" s="1"/>
  <c r="X74" i="10"/>
  <c r="L19" i="13"/>
  <c r="Q19" i="13" s="1"/>
  <c r="BH24" i="13"/>
  <c r="BM24" i="13" s="1"/>
  <c r="CC23" i="16"/>
  <c r="CH23" i="16" s="1"/>
  <c r="AI24" i="16"/>
  <c r="AN24" i="16" s="1"/>
  <c r="CF19" i="13"/>
  <c r="CK19" i="13" s="1"/>
  <c r="BH13" i="13"/>
  <c r="BM13" i="13" s="1"/>
  <c r="BH22" i="14"/>
  <c r="BM22" i="14" s="1"/>
  <c r="DD14" i="13"/>
  <c r="DI14" i="13" s="1"/>
  <c r="AI15" i="16"/>
  <c r="AN15" i="16" s="1"/>
  <c r="BH18" i="14"/>
  <c r="BM18" i="14" s="1"/>
  <c r="AJ18" i="13"/>
  <c r="AO18" i="13" s="1"/>
  <c r="BF22" i="16"/>
  <c r="BK22" i="16" s="1"/>
  <c r="AJ19" i="13"/>
  <c r="AO19" i="13" s="1"/>
  <c r="AI25" i="16"/>
  <c r="AN25" i="16" s="1"/>
  <c r="AJ14" i="13"/>
  <c r="AO14" i="13" s="1"/>
  <c r="AI19" i="16"/>
  <c r="AN19" i="16" s="1"/>
  <c r="BH20" i="15"/>
  <c r="BM20" i="15" s="1"/>
  <c r="BF23" i="16"/>
  <c r="BK23" i="16" s="1"/>
  <c r="AI23" i="16"/>
  <c r="AN23" i="16" s="1"/>
  <c r="BH20" i="14"/>
  <c r="BM20" i="14" s="1"/>
  <c r="BH17" i="14"/>
  <c r="BM17" i="14" s="1"/>
  <c r="CF26" i="13"/>
  <c r="CK26" i="13" s="1"/>
  <c r="L94" i="14"/>
  <c r="Q94" i="14" s="1"/>
  <c r="BF91" i="16"/>
  <c r="BK91" i="16" s="1"/>
  <c r="BH91" i="14"/>
  <c r="BM91" i="14" s="1"/>
  <c r="AJ97" i="15"/>
  <c r="AO97" i="15" s="1"/>
  <c r="CC96" i="16"/>
  <c r="CH96" i="16" s="1"/>
  <c r="BH97" i="14"/>
  <c r="BM97" i="14" s="1"/>
  <c r="CF91" i="15"/>
  <c r="CK91" i="15" s="1"/>
  <c r="L95" i="13"/>
  <c r="Q95" i="13" s="1"/>
  <c r="L100" i="16"/>
  <c r="Q100" i="16" s="1"/>
  <c r="DD100" i="13"/>
  <c r="DI100" i="13" s="1"/>
  <c r="L94" i="15"/>
  <c r="Q94" i="15" s="1"/>
  <c r="CF90" i="15"/>
  <c r="CK90" i="15" s="1"/>
  <c r="AI97" i="16"/>
  <c r="AN97" i="16" s="1"/>
  <c r="DD91" i="13"/>
  <c r="DI91" i="13" s="1"/>
  <c r="AJ97" i="13"/>
  <c r="AO97" i="13" s="1"/>
  <c r="AJ96" i="13"/>
  <c r="AO96" i="13" s="1"/>
  <c r="L99" i="14"/>
  <c r="Q99" i="14" s="1"/>
  <c r="AJ95" i="13"/>
  <c r="AO95" i="13" s="1"/>
  <c r="DD92" i="15"/>
  <c r="DI92" i="15" s="1"/>
  <c r="CF90" i="13"/>
  <c r="CK90" i="13" s="1"/>
  <c r="BH93" i="15"/>
  <c r="BM93" i="15" s="1"/>
  <c r="L89" i="15"/>
  <c r="Q89" i="15" s="1"/>
  <c r="DD91" i="15"/>
  <c r="DI91" i="15" s="1"/>
  <c r="AI94" i="16"/>
  <c r="AN94" i="16" s="1"/>
  <c r="CF92" i="15"/>
  <c r="CK92" i="15" s="1"/>
  <c r="BH89" i="13"/>
  <c r="BM89" i="13" s="1"/>
  <c r="L91" i="16"/>
  <c r="Q91" i="16" s="1"/>
  <c r="BF102" i="16"/>
  <c r="BK102" i="16" s="1"/>
  <c r="BH92" i="15"/>
  <c r="BM92" i="15" s="1"/>
  <c r="CF99" i="13"/>
  <c r="CK99" i="13" s="1"/>
  <c r="L93" i="13"/>
  <c r="Q93" i="13" s="1"/>
  <c r="BH101" i="14"/>
  <c r="BM101" i="14" s="1"/>
  <c r="L102" i="15"/>
  <c r="Q102" i="15" s="1"/>
  <c r="BH90" i="15"/>
  <c r="BM90" i="15" s="1"/>
  <c r="AJ96" i="15"/>
  <c r="AO96" i="15" s="1"/>
  <c r="BH100" i="14"/>
  <c r="BM100" i="14" s="1"/>
  <c r="CC97" i="16"/>
  <c r="CH97" i="16" s="1"/>
  <c r="DD91" i="14"/>
  <c r="DI91" i="14" s="1"/>
  <c r="DD101" i="13"/>
  <c r="DI101" i="13" s="1"/>
  <c r="AJ98" i="15"/>
  <c r="AO98" i="15" s="1"/>
  <c r="CF97" i="14"/>
  <c r="CK97" i="14" s="1"/>
  <c r="L92" i="15"/>
  <c r="Q92" i="15" s="1"/>
  <c r="CF94" i="13"/>
  <c r="CK94" i="13" s="1"/>
  <c r="DD97" i="15"/>
  <c r="DI97" i="15" s="1"/>
  <c r="CC98" i="16"/>
  <c r="CH98" i="16" s="1"/>
  <c r="CF98" i="14"/>
  <c r="CK98" i="14" s="1"/>
  <c r="CF100" i="14"/>
  <c r="CK100" i="14" s="1"/>
  <c r="AJ99" i="14"/>
  <c r="AO99" i="14" s="1"/>
  <c r="L90" i="15"/>
  <c r="Q90" i="15" s="1"/>
  <c r="L97" i="15"/>
  <c r="Q97" i="15" s="1"/>
  <c r="BH94" i="13"/>
  <c r="BM94" i="13" s="1"/>
  <c r="CF99" i="15"/>
  <c r="CK99" i="15" s="1"/>
  <c r="L90" i="13"/>
  <c r="Q90" i="13" s="1"/>
  <c r="AI98" i="16"/>
  <c r="AN98" i="16" s="1"/>
  <c r="CZ100" i="16"/>
  <c r="DE100" i="16" s="1"/>
  <c r="CF97" i="13"/>
  <c r="CK97" i="13" s="1"/>
  <c r="CC27" i="16"/>
  <c r="CH27" i="16" s="1"/>
  <c r="AJ100" i="13"/>
  <c r="AO100" i="13" s="1"/>
  <c r="L100" i="15"/>
  <c r="Q100" i="15" s="1"/>
  <c r="CZ90" i="16"/>
  <c r="DE90" i="16" s="1"/>
  <c r="CF96" i="15"/>
  <c r="CK96" i="15" s="1"/>
  <c r="BH92" i="13"/>
  <c r="BM92" i="13" s="1"/>
  <c r="CF97" i="15"/>
  <c r="CK97" i="15" s="1"/>
  <c r="CZ91" i="16"/>
  <c r="DE91" i="16" s="1"/>
  <c r="DD100" i="14"/>
  <c r="DI100" i="14" s="1"/>
  <c r="AJ94" i="14"/>
  <c r="AO94" i="14" s="1"/>
  <c r="BH98" i="14"/>
  <c r="BM98" i="14" s="1"/>
  <c r="AJ95" i="14"/>
  <c r="AO95" i="14" s="1"/>
  <c r="BH94" i="14"/>
  <c r="BM94" i="14" s="1"/>
  <c r="L93" i="14"/>
  <c r="Q93" i="14" s="1"/>
  <c r="CF90" i="14"/>
  <c r="CK90" i="14" s="1"/>
  <c r="AJ98" i="14"/>
  <c r="AO98" i="14" s="1"/>
  <c r="AJ96" i="14"/>
  <c r="AO96" i="14" s="1"/>
  <c r="CF101" i="14"/>
  <c r="CK101" i="14" s="1"/>
  <c r="BH103" i="14"/>
  <c r="BM103" i="14" s="1"/>
  <c r="DD95" i="13"/>
  <c r="DI95" i="13" s="1"/>
  <c r="AJ89" i="13"/>
  <c r="AO89" i="13" s="1"/>
  <c r="L102" i="13"/>
  <c r="Q102" i="13" s="1"/>
  <c r="CF101" i="13"/>
  <c r="CK101" i="13" s="1"/>
  <c r="AJ90" i="13"/>
  <c r="AO90" i="13" s="1"/>
  <c r="CC99" i="16"/>
  <c r="CH99" i="16" s="1"/>
  <c r="CF101" i="15"/>
  <c r="CK101" i="15" s="1"/>
  <c r="L91" i="13"/>
  <c r="Q91" i="13" s="1"/>
  <c r="BF90" i="16"/>
  <c r="BK90" i="16" s="1"/>
  <c r="AI96" i="16"/>
  <c r="AN96" i="16" s="1"/>
  <c r="L91" i="14"/>
  <c r="Q91" i="14" s="1"/>
  <c r="CC90" i="16"/>
  <c r="CH90" i="16" s="1"/>
  <c r="AJ100" i="15"/>
  <c r="AO100" i="15" s="1"/>
  <c r="L93" i="15"/>
  <c r="Q93" i="15" s="1"/>
  <c r="AI91" i="16"/>
  <c r="AN91" i="16" s="1"/>
  <c r="DD97" i="14"/>
  <c r="DI97" i="14" s="1"/>
  <c r="BH94" i="15"/>
  <c r="BM94" i="15" s="1"/>
  <c r="BF98" i="16"/>
  <c r="BK98" i="16" s="1"/>
  <c r="CZ93" i="16"/>
  <c r="DE93" i="16" s="1"/>
  <c r="CC91" i="16"/>
  <c r="CH91" i="16" s="1"/>
  <c r="AJ91" i="14"/>
  <c r="AO91" i="14" s="1"/>
  <c r="CF94" i="15"/>
  <c r="CK94" i="15" s="1"/>
  <c r="AJ98" i="13"/>
  <c r="AO98" i="13" s="1"/>
  <c r="AJ94" i="15"/>
  <c r="AO94" i="15" s="1"/>
  <c r="BH100" i="13"/>
  <c r="BM100" i="13" s="1"/>
  <c r="AJ92" i="15"/>
  <c r="AO92" i="15" s="1"/>
  <c r="AJ99" i="13"/>
  <c r="AO99" i="13" s="1"/>
  <c r="DD98" i="14"/>
  <c r="DI98" i="14" s="1"/>
  <c r="BF94" i="16"/>
  <c r="BK94" i="16" s="1"/>
  <c r="L101" i="14"/>
  <c r="Q101" i="14" s="1"/>
  <c r="AJ89" i="14"/>
  <c r="AO89" i="14" s="1"/>
  <c r="CF92" i="13"/>
  <c r="CK92" i="13" s="1"/>
  <c r="AJ99" i="15"/>
  <c r="AO99" i="15" s="1"/>
  <c r="DD96" i="15"/>
  <c r="DI96" i="15" s="1"/>
  <c r="DD92" i="14"/>
  <c r="DI92" i="14" s="1"/>
  <c r="DD93" i="15"/>
  <c r="DI93" i="15" s="1"/>
  <c r="BF92" i="16"/>
  <c r="BK92" i="16" s="1"/>
  <c r="CF99" i="14"/>
  <c r="CK99" i="14" s="1"/>
  <c r="L98" i="14"/>
  <c r="Q98" i="14" s="1"/>
  <c r="L102" i="14"/>
  <c r="Q102" i="14" s="1"/>
  <c r="CC100" i="16"/>
  <c r="CH100" i="16" s="1"/>
  <c r="L103" i="14"/>
  <c r="Q103" i="14" s="1"/>
  <c r="CF91" i="13"/>
  <c r="CK91" i="13" s="1"/>
  <c r="DD94" i="15"/>
  <c r="DI94" i="15" s="1"/>
  <c r="DD101" i="15"/>
  <c r="DI101" i="15" s="1"/>
  <c r="AJ93" i="14"/>
  <c r="AO93" i="14" s="1"/>
  <c r="L92" i="13"/>
  <c r="Q92" i="13" s="1"/>
  <c r="DD89" i="13"/>
  <c r="DI89" i="13" s="1"/>
  <c r="DD94" i="13"/>
  <c r="DI94" i="13" s="1"/>
  <c r="BH102" i="15"/>
  <c r="BM102" i="15" s="1"/>
  <c r="L98" i="13"/>
  <c r="Q98" i="13" s="1"/>
  <c r="DD94" i="14"/>
  <c r="DI94" i="14" s="1"/>
  <c r="L100" i="14"/>
  <c r="Q100" i="14" s="1"/>
  <c r="BF100" i="16"/>
  <c r="BK100" i="16" s="1"/>
  <c r="L100" i="13"/>
  <c r="Q100" i="13" s="1"/>
  <c r="BH100" i="15"/>
  <c r="BM100" i="15" s="1"/>
  <c r="AJ89" i="15"/>
  <c r="AO89" i="15" s="1"/>
  <c r="BH101" i="13"/>
  <c r="BM101" i="13" s="1"/>
  <c r="BH96" i="15"/>
  <c r="BM96" i="15" s="1"/>
  <c r="BH97" i="15"/>
  <c r="BM97" i="15" s="1"/>
  <c r="BH89" i="14"/>
  <c r="BM89" i="14" s="1"/>
  <c r="AJ102" i="14"/>
  <c r="AO102" i="14" s="1"/>
  <c r="BH98" i="13"/>
  <c r="BM98" i="13" s="1"/>
  <c r="DD102" i="14"/>
  <c r="DI102" i="14" s="1"/>
  <c r="BH91" i="13"/>
  <c r="BM91" i="13" s="1"/>
  <c r="AJ91" i="13"/>
  <c r="AO91" i="13" s="1"/>
  <c r="L97" i="14"/>
  <c r="Q97" i="14" s="1"/>
  <c r="AI100" i="16"/>
  <c r="AN100" i="16" s="1"/>
  <c r="BH92" i="14"/>
  <c r="BM92" i="14" s="1"/>
  <c r="CF95" i="14"/>
  <c r="CK95" i="14" s="1"/>
  <c r="BH102" i="14"/>
  <c r="BM102" i="14" s="1"/>
  <c r="CZ94" i="16"/>
  <c r="DE94" i="16" s="1"/>
  <c r="DD101" i="14"/>
  <c r="DI101" i="14" s="1"/>
  <c r="DD90" i="13"/>
  <c r="DI90" i="13" s="1"/>
  <c r="DD89" i="15"/>
  <c r="DI89" i="15" s="1"/>
  <c r="CF98" i="15"/>
  <c r="CK98" i="15" s="1"/>
  <c r="DD99" i="14"/>
  <c r="DI99" i="14" s="1"/>
  <c r="L92" i="14"/>
  <c r="Q92" i="14" s="1"/>
  <c r="CF96" i="14"/>
  <c r="CK96" i="14" s="1"/>
  <c r="CZ101" i="16"/>
  <c r="DE101" i="16" s="1"/>
  <c r="BH96" i="14"/>
  <c r="BM96" i="14" s="1"/>
  <c r="AI102" i="16"/>
  <c r="AN102" i="16" s="1"/>
  <c r="CZ98" i="16"/>
  <c r="DE98" i="16" s="1"/>
  <c r="AI93" i="16"/>
  <c r="AN93" i="16" s="1"/>
  <c r="AJ91" i="15"/>
  <c r="AO91" i="15" s="1"/>
  <c r="BH101" i="15"/>
  <c r="BM101" i="15" s="1"/>
  <c r="BH97" i="13"/>
  <c r="BM97" i="13" s="1"/>
  <c r="L97" i="16"/>
  <c r="Q97" i="16" s="1"/>
  <c r="AJ93" i="15"/>
  <c r="AO93" i="15" s="1"/>
  <c r="CZ102" i="16"/>
  <c r="DE102" i="16" s="1"/>
  <c r="CF93" i="14"/>
  <c r="CK93" i="14" s="1"/>
  <c r="CF102" i="15"/>
  <c r="CK102" i="15" s="1"/>
  <c r="CF94" i="14"/>
  <c r="CK94" i="14" s="1"/>
  <c r="CF92" i="14"/>
  <c r="CK92" i="14" s="1"/>
  <c r="L93" i="16"/>
  <c r="Q93" i="16" s="1"/>
  <c r="BH96" i="13"/>
  <c r="BM96" i="13" s="1"/>
  <c r="AI95" i="16"/>
  <c r="AN95" i="16" s="1"/>
  <c r="L101" i="15"/>
  <c r="Q101" i="15" s="1"/>
  <c r="BH93" i="13"/>
  <c r="BM93" i="13" s="1"/>
  <c r="CZ99" i="16"/>
  <c r="DE99" i="16" s="1"/>
  <c r="CC92" i="16"/>
  <c r="CH92" i="16" s="1"/>
  <c r="AI99" i="16"/>
  <c r="AN99" i="16" s="1"/>
  <c r="AJ102" i="13"/>
  <c r="AO102" i="13" s="1"/>
  <c r="L95" i="14"/>
  <c r="Q95" i="14" s="1"/>
  <c r="DD97" i="13"/>
  <c r="DI97" i="13" s="1"/>
  <c r="AJ100" i="14"/>
  <c r="AO100" i="14" s="1"/>
  <c r="L94" i="13"/>
  <c r="Q94" i="13" s="1"/>
  <c r="CZ97" i="16"/>
  <c r="DE97" i="16" s="1"/>
  <c r="CF100" i="15"/>
  <c r="CK100" i="15" s="1"/>
  <c r="CC94" i="16"/>
  <c r="CH94" i="16" s="1"/>
  <c r="CF100" i="13"/>
  <c r="CK100" i="13" s="1"/>
  <c r="CF91" i="14"/>
  <c r="CK91" i="14" s="1"/>
  <c r="AJ48" i="13"/>
  <c r="AO48" i="13" s="1"/>
  <c r="X98" i="10"/>
  <c r="AI50" i="16"/>
  <c r="AN50" i="16" s="1"/>
  <c r="L53" i="14"/>
  <c r="Q53" i="14" s="1"/>
  <c r="L42" i="14"/>
  <c r="Q42" i="14" s="1"/>
  <c r="CC103" i="16"/>
  <c r="CH103" i="16" s="1"/>
  <c r="CF103" i="15"/>
  <c r="CK103" i="15" s="1"/>
  <c r="BF52" i="16"/>
  <c r="BK52" i="16" s="1"/>
  <c r="AI44" i="16"/>
  <c r="AN44" i="16" s="1"/>
  <c r="DD51" i="13"/>
  <c r="DI51" i="13" s="1"/>
  <c r="AI45" i="16"/>
  <c r="AN45" i="16" s="1"/>
  <c r="L45" i="13"/>
  <c r="Q45" i="13" s="1"/>
  <c r="DD103" i="14"/>
  <c r="DI103" i="14" s="1"/>
  <c r="CZ42" i="16"/>
  <c r="DE42" i="16" s="1"/>
  <c r="BH46" i="14"/>
  <c r="BM46" i="14" s="1"/>
  <c r="L44" i="13"/>
  <c r="Q44" i="13" s="1"/>
  <c r="BF40" i="16"/>
  <c r="BK40" i="16" s="1"/>
  <c r="AI41" i="16"/>
  <c r="AN41" i="16" s="1"/>
  <c r="AJ47" i="13"/>
  <c r="AO47" i="13" s="1"/>
  <c r="BH43" i="14"/>
  <c r="BM43" i="14" s="1"/>
  <c r="CZ52" i="16"/>
  <c r="DE52" i="16" s="1"/>
  <c r="L103" i="13"/>
  <c r="Q103" i="13" s="1"/>
  <c r="X102" i="10"/>
  <c r="CZ103" i="16"/>
  <c r="DE103" i="16" s="1"/>
  <c r="CF103" i="13"/>
  <c r="CK103" i="13" s="1"/>
  <c r="CZ45" i="16"/>
  <c r="DE45" i="16" s="1"/>
  <c r="AJ51" i="13"/>
  <c r="AO51" i="13" s="1"/>
  <c r="BH48" i="13"/>
  <c r="BM48" i="13" s="1"/>
  <c r="L51" i="14"/>
  <c r="Q51" i="14" s="1"/>
  <c r="BH103" i="15"/>
  <c r="BM103" i="15" s="1"/>
  <c r="AJ44" i="14"/>
  <c r="AO44" i="14" s="1"/>
  <c r="DD42" i="14"/>
  <c r="DI42" i="14" s="1"/>
  <c r="BH46" i="13"/>
  <c r="BM46" i="13" s="1"/>
  <c r="L49" i="14"/>
  <c r="Q49" i="14" s="1"/>
  <c r="DD52" i="14"/>
  <c r="DI52" i="14" s="1"/>
  <c r="AI39" i="16"/>
  <c r="AN39" i="16" s="1"/>
  <c r="CC49" i="16"/>
  <c r="CH49" i="16" s="1"/>
  <c r="CF45" i="13"/>
  <c r="CK45" i="13" s="1"/>
  <c r="X99" i="10"/>
  <c r="L44" i="14"/>
  <c r="Q44" i="14" s="1"/>
  <c r="X100" i="10"/>
  <c r="L43" i="14"/>
  <c r="Q43" i="14" s="1"/>
  <c r="CF47" i="13"/>
  <c r="CK47" i="13" s="1"/>
  <c r="BH42" i="14"/>
  <c r="BM42" i="14" s="1"/>
  <c r="AJ52" i="13"/>
  <c r="AO52" i="13" s="1"/>
  <c r="DD49" i="13"/>
  <c r="DI49" i="13" s="1"/>
  <c r="CF48" i="14"/>
  <c r="CK48" i="14" s="1"/>
  <c r="BH40" i="13"/>
  <c r="BM40" i="13" s="1"/>
  <c r="CC39" i="16"/>
  <c r="CH39" i="16" s="1"/>
  <c r="BH49" i="13"/>
  <c r="BM49" i="13" s="1"/>
  <c r="CF49" i="14"/>
  <c r="CK49" i="14" s="1"/>
  <c r="AI46" i="16"/>
  <c r="AN46" i="16" s="1"/>
  <c r="CF27" i="14"/>
  <c r="CK27" i="14" s="1"/>
  <c r="CF47" i="14"/>
  <c r="CK47" i="14" s="1"/>
  <c r="AI48" i="16"/>
  <c r="AN48" i="16" s="1"/>
  <c r="CF41" i="13"/>
  <c r="CK41" i="13" s="1"/>
  <c r="BH42" i="13"/>
  <c r="BM42" i="13" s="1"/>
  <c r="DD39" i="13"/>
  <c r="DI39" i="13" s="1"/>
  <c r="AJ40" i="13"/>
  <c r="AO40" i="13" s="1"/>
  <c r="L41" i="16"/>
  <c r="Q41" i="16" s="1"/>
  <c r="BH40" i="14"/>
  <c r="BM40" i="14" s="1"/>
  <c r="BF45" i="16"/>
  <c r="BK45" i="16" s="1"/>
  <c r="L39" i="13"/>
  <c r="Q39" i="13" s="1"/>
  <c r="CZ51" i="16"/>
  <c r="DE51" i="16" s="1"/>
  <c r="CF43" i="14"/>
  <c r="CK43" i="14" s="1"/>
  <c r="AJ49" i="14"/>
  <c r="AO49" i="14" s="1"/>
  <c r="AJ46" i="13"/>
  <c r="AO46" i="13" s="1"/>
  <c r="L43" i="13"/>
  <c r="Q43" i="13" s="1"/>
  <c r="BH50" i="13"/>
  <c r="BM50" i="13" s="1"/>
  <c r="L49" i="15"/>
  <c r="Q49" i="15" s="1"/>
  <c r="CC44" i="16"/>
  <c r="CH44" i="16" s="1"/>
  <c r="BF50" i="16"/>
  <c r="BK50" i="16" s="1"/>
  <c r="CF40" i="14"/>
  <c r="CK40" i="14" s="1"/>
  <c r="CF51" i="14"/>
  <c r="CK51" i="14" s="1"/>
  <c r="CF50" i="13"/>
  <c r="CK50" i="13" s="1"/>
  <c r="X104" i="10"/>
  <c r="AJ49" i="13"/>
  <c r="AO49" i="13" s="1"/>
  <c r="BF43" i="16"/>
  <c r="BK43" i="16" s="1"/>
  <c r="CZ50" i="16"/>
  <c r="DE50" i="16" s="1"/>
  <c r="BF46" i="16"/>
  <c r="BK46" i="16" s="1"/>
  <c r="X103" i="10"/>
  <c r="CF43" i="13"/>
  <c r="CK43" i="13" s="1"/>
  <c r="AI42" i="16"/>
  <c r="AN42" i="16" s="1"/>
  <c r="AI51" i="16"/>
  <c r="AN51" i="16" s="1"/>
  <c r="DD40" i="13"/>
  <c r="DI40" i="13" s="1"/>
  <c r="BH51" i="14"/>
  <c r="BM51" i="14" s="1"/>
  <c r="CZ49" i="16"/>
  <c r="DE49" i="16" s="1"/>
  <c r="BH48" i="14"/>
  <c r="BM48" i="14" s="1"/>
  <c r="BH52" i="13"/>
  <c r="BM52" i="13" s="1"/>
  <c r="CF52" i="13"/>
  <c r="CK52" i="13" s="1"/>
  <c r="CZ47" i="16"/>
  <c r="DE47" i="16" s="1"/>
  <c r="BH45" i="14"/>
  <c r="BM45" i="14" s="1"/>
  <c r="CF45" i="14"/>
  <c r="CK45" i="14" s="1"/>
  <c r="X93" i="10"/>
  <c r="BH47" i="14"/>
  <c r="BM47" i="14" s="1"/>
  <c r="BF41" i="16"/>
  <c r="BK41" i="16" s="1"/>
  <c r="DD52" i="13"/>
  <c r="DI52" i="13" s="1"/>
  <c r="CZ48" i="16"/>
  <c r="DE48" i="16" s="1"/>
  <c r="AJ43" i="13"/>
  <c r="AO43" i="13" s="1"/>
  <c r="BF49" i="16"/>
  <c r="BK49" i="16" s="1"/>
  <c r="AJ42" i="13"/>
  <c r="AO42" i="13" s="1"/>
  <c r="DD43" i="14"/>
  <c r="DI43" i="14" s="1"/>
  <c r="AJ39" i="14"/>
  <c r="AO39" i="14" s="1"/>
  <c r="CZ41" i="16"/>
  <c r="DE41" i="16" s="1"/>
  <c r="L42" i="16"/>
  <c r="Q42" i="16" s="1"/>
  <c r="X106" i="10"/>
  <c r="CF48" i="13"/>
  <c r="CK48" i="13" s="1"/>
  <c r="BF44" i="16"/>
  <c r="BK44" i="16" s="1"/>
  <c r="CZ44" i="16"/>
  <c r="DE44" i="16" s="1"/>
  <c r="CZ40" i="16"/>
  <c r="DE40" i="16" s="1"/>
  <c r="DD44" i="13"/>
  <c r="DI44" i="13" s="1"/>
  <c r="L39" i="16"/>
  <c r="Q39" i="16" s="1"/>
  <c r="CF46" i="14"/>
  <c r="CK46" i="14" s="1"/>
  <c r="CC40" i="16"/>
  <c r="CH40" i="16" s="1"/>
  <c r="CF49" i="13"/>
  <c r="CK49" i="13" s="1"/>
  <c r="CF52" i="14"/>
  <c r="CK52" i="14" s="1"/>
  <c r="AJ45" i="13"/>
  <c r="AO45" i="13" s="1"/>
  <c r="BH41" i="14"/>
  <c r="BM41" i="14" s="1"/>
  <c r="X92" i="10"/>
  <c r="L40" i="14"/>
  <c r="Q40" i="14" s="1"/>
  <c r="CF44" i="14"/>
  <c r="CK44" i="14" s="1"/>
  <c r="AJ41" i="13"/>
  <c r="AO41" i="13" s="1"/>
  <c r="CC50" i="16"/>
  <c r="CH50" i="16" s="1"/>
  <c r="AJ42" i="14"/>
  <c r="AO42" i="14" s="1"/>
  <c r="DD51" i="14"/>
  <c r="DI51" i="14" s="1"/>
  <c r="BH49" i="14"/>
  <c r="BM49" i="14" s="1"/>
  <c r="BH53" i="14"/>
  <c r="BM53" i="14" s="1"/>
  <c r="DD44" i="14"/>
  <c r="DI44" i="14" s="1"/>
  <c r="AJ44" i="13"/>
  <c r="AO44" i="13" s="1"/>
  <c r="AJ50" i="13"/>
  <c r="AO50" i="13" s="1"/>
  <c r="CF40" i="13"/>
  <c r="CK40" i="13" s="1"/>
  <c r="BH51" i="13"/>
  <c r="BM51" i="13" s="1"/>
  <c r="DD49" i="14"/>
  <c r="DI49" i="14" s="1"/>
  <c r="L45" i="16"/>
  <c r="Q45" i="16" s="1"/>
  <c r="CC45" i="16"/>
  <c r="CH45" i="16" s="1"/>
  <c r="BH47" i="13"/>
  <c r="BM47" i="13" s="1"/>
  <c r="L41" i="13"/>
  <c r="Q41" i="13" s="1"/>
  <c r="DD47" i="14"/>
  <c r="DI47" i="14" s="1"/>
  <c r="L39" i="14"/>
  <c r="Q39" i="14" s="1"/>
  <c r="DD40" i="14"/>
  <c r="DI40" i="14" s="1"/>
  <c r="DD39" i="14"/>
  <c r="DI39" i="14" s="1"/>
  <c r="BH52" i="14"/>
  <c r="BM52" i="14" s="1"/>
  <c r="BH41" i="13"/>
  <c r="BM41" i="13" s="1"/>
  <c r="BF42" i="16"/>
  <c r="BK42" i="16" s="1"/>
  <c r="BH45" i="13"/>
  <c r="BM45" i="13" s="1"/>
  <c r="AI40" i="16"/>
  <c r="AN40" i="16" s="1"/>
  <c r="CF46" i="13"/>
  <c r="CK46" i="13" s="1"/>
  <c r="L44" i="16"/>
  <c r="Q44" i="16" s="1"/>
  <c r="CC43" i="16"/>
  <c r="CH43" i="16" s="1"/>
  <c r="BH44" i="13"/>
  <c r="BM44" i="13" s="1"/>
  <c r="DD50" i="13"/>
  <c r="DI50" i="13" s="1"/>
  <c r="CF39" i="14"/>
  <c r="CK39" i="14" s="1"/>
  <c r="DD47" i="13"/>
  <c r="DI47" i="13" s="1"/>
  <c r="CZ46" i="16"/>
  <c r="DE46" i="16" s="1"/>
  <c r="DD41" i="13"/>
  <c r="DI41" i="13" s="1"/>
  <c r="AI103" i="16"/>
  <c r="AN103" i="16" s="1"/>
  <c r="DD53" i="13"/>
  <c r="DI53" i="13" s="1"/>
  <c r="CF89" i="15"/>
  <c r="CK89" i="15" s="1"/>
  <c r="CF27" i="15"/>
  <c r="CK27" i="15" s="1"/>
  <c r="DD103" i="15"/>
  <c r="DI103" i="15" s="1"/>
  <c r="L103" i="16"/>
  <c r="Q103" i="16" s="1"/>
  <c r="CF53" i="13"/>
  <c r="CK53" i="13" s="1"/>
  <c r="AJ103" i="15"/>
  <c r="AO103" i="15" s="1"/>
  <c r="BF103" i="16"/>
  <c r="BK103" i="16" s="1"/>
  <c r="AJ103" i="13"/>
  <c r="AO103" i="13" s="1"/>
  <c r="CF103" i="14"/>
  <c r="CK103" i="14" s="1"/>
  <c r="DD103" i="13"/>
  <c r="DI103" i="13" s="1"/>
  <c r="AJ103" i="14"/>
  <c r="AO103" i="14" s="1"/>
  <c r="BH27" i="13"/>
  <c r="BM27" i="13" s="1"/>
  <c r="DD27" i="13"/>
  <c r="DI27" i="13" s="1"/>
  <c r="AJ53" i="13"/>
  <c r="AO53" i="13" s="1"/>
  <c r="L53" i="13"/>
  <c r="Q53" i="13" s="1"/>
  <c r="S16" i="2"/>
  <c r="L16" i="2"/>
  <c r="Z16" i="2"/>
  <c r="E16" i="2"/>
  <c r="AI27" i="16"/>
  <c r="AN27" i="16" s="1"/>
  <c r="DD27" i="15"/>
  <c r="DI27" i="15" s="1"/>
  <c r="CZ53" i="16"/>
  <c r="DE53" i="16" s="1"/>
  <c r="AI53" i="16"/>
  <c r="AN53" i="16" s="1"/>
  <c r="AJ27" i="14"/>
  <c r="AO27" i="14" s="1"/>
  <c r="L27" i="13"/>
  <c r="Q27" i="13" s="1"/>
  <c r="BH27" i="14"/>
  <c r="BM27" i="14" s="1"/>
  <c r="CF27" i="13"/>
  <c r="CK27" i="13" s="1"/>
  <c r="AJ42" i="15"/>
  <c r="AO42" i="15" s="1"/>
  <c r="AJ41" i="15"/>
  <c r="AO41" i="15" s="1"/>
  <c r="AJ40" i="15"/>
  <c r="AO40" i="15" s="1"/>
  <c r="BF27" i="16"/>
  <c r="BK27" i="16" s="1"/>
  <c r="AA15" i="3"/>
  <c r="V103" i="3"/>
  <c r="V15" i="3"/>
  <c r="R125" i="3"/>
  <c r="Q133" i="3"/>
  <c r="Q89" i="3"/>
  <c r="Q56" i="3"/>
  <c r="Q48" i="3"/>
  <c r="Q32" i="3"/>
  <c r="L104" i="3"/>
  <c r="L103" i="3"/>
  <c r="L57" i="3"/>
  <c r="L25" i="3"/>
  <c r="L15" i="3"/>
  <c r="G133" i="3"/>
  <c r="G104" i="3"/>
  <c r="G103" i="3"/>
  <c r="G84" i="3"/>
  <c r="G80" i="3"/>
  <c r="G57" i="3"/>
  <c r="G32" i="3"/>
  <c r="G25" i="3"/>
  <c r="AC92" i="10" l="1"/>
  <c r="G62" i="22" s="1"/>
  <c r="AC99" i="10"/>
  <c r="G69" i="22" s="1"/>
  <c r="AC102" i="10"/>
  <c r="G72" i="22" s="1"/>
  <c r="AC74" i="10"/>
  <c r="F70" i="22" s="1"/>
  <c r="AJ51" i="15"/>
  <c r="AO51" i="15" s="1"/>
  <c r="AN51" i="15"/>
  <c r="CF49" i="15"/>
  <c r="CK49" i="15" s="1"/>
  <c r="CJ49" i="15"/>
  <c r="L45" i="15"/>
  <c r="Q45" i="15" s="1"/>
  <c r="P45" i="15"/>
  <c r="G63" i="22"/>
  <c r="AC93" i="10"/>
  <c r="DD25" i="15"/>
  <c r="DI25" i="15" s="1"/>
  <c r="DH25" i="15"/>
  <c r="DD51" i="15"/>
  <c r="DI51" i="15" s="1"/>
  <c r="DH51" i="15"/>
  <c r="DD15" i="15"/>
  <c r="DI15" i="15" s="1"/>
  <c r="DH15" i="15"/>
  <c r="CF41" i="15"/>
  <c r="CK41" i="15" s="1"/>
  <c r="CJ41" i="15"/>
  <c r="AC104" i="10"/>
  <c r="G74" i="22" s="1"/>
  <c r="DD42" i="15"/>
  <c r="DI42" i="15" s="1"/>
  <c r="DH42" i="15"/>
  <c r="L47" i="15"/>
  <c r="Q47" i="15" s="1"/>
  <c r="P47" i="15"/>
  <c r="L41" i="15"/>
  <c r="Q41" i="15" s="1"/>
  <c r="P41" i="15"/>
  <c r="CF39" i="15"/>
  <c r="CK39" i="15" s="1"/>
  <c r="CJ39" i="15"/>
  <c r="DD44" i="15"/>
  <c r="DI44" i="15" s="1"/>
  <c r="DH44" i="15"/>
  <c r="BH39" i="15"/>
  <c r="BM39" i="15" s="1"/>
  <c r="BL39" i="15"/>
  <c r="CF52" i="15"/>
  <c r="CK52" i="15" s="1"/>
  <c r="CJ52" i="15"/>
  <c r="BH53" i="15"/>
  <c r="BM53" i="15" s="1"/>
  <c r="BL53" i="15"/>
  <c r="G76" i="22"/>
  <c r="AC106" i="10"/>
  <c r="G68" i="22"/>
  <c r="AC98" i="10"/>
  <c r="L43" i="15"/>
  <c r="Q43" i="15" s="1"/>
  <c r="P43" i="15"/>
  <c r="AJ46" i="15"/>
  <c r="AO46" i="15" s="1"/>
  <c r="AN46" i="15"/>
  <c r="L25" i="15"/>
  <c r="Q25" i="15" s="1"/>
  <c r="P25" i="15"/>
  <c r="L44" i="15"/>
  <c r="Q44" i="15" s="1"/>
  <c r="P44" i="15"/>
  <c r="DD40" i="15"/>
  <c r="DI40" i="15" s="1"/>
  <c r="DH40" i="15"/>
  <c r="G73" i="22"/>
  <c r="AC103" i="10"/>
  <c r="G70" i="22"/>
  <c r="AC100" i="10"/>
  <c r="AJ49" i="15"/>
  <c r="AO49" i="15" s="1"/>
  <c r="AN49" i="15"/>
  <c r="L50" i="15"/>
  <c r="Q50" i="15" s="1"/>
  <c r="P50" i="15"/>
  <c r="DD19" i="15"/>
  <c r="DI19" i="15" s="1"/>
  <c r="DH19" i="15"/>
  <c r="AJ44" i="15"/>
  <c r="AO44" i="15" s="1"/>
  <c r="AN44" i="15"/>
  <c r="AJ47" i="15"/>
  <c r="AO47" i="15" s="1"/>
  <c r="AN47" i="15"/>
  <c r="DD43" i="15"/>
  <c r="DI43" i="15" s="1"/>
  <c r="DH43" i="15"/>
  <c r="L16" i="15"/>
  <c r="Q16" i="15" s="1"/>
  <c r="P16" i="15"/>
  <c r="DD20" i="15"/>
  <c r="DI20" i="15" s="1"/>
  <c r="DH20" i="15"/>
  <c r="L51" i="15"/>
  <c r="Q51" i="15" s="1"/>
  <c r="P51" i="15"/>
  <c r="BH42" i="15"/>
  <c r="BM42" i="15" s="1"/>
  <c r="AJ43" i="15"/>
  <c r="AO43" i="15" s="1"/>
  <c r="BH19" i="15"/>
  <c r="BM19" i="15" s="1"/>
  <c r="AJ50" i="15"/>
  <c r="AO50" i="15" s="1"/>
  <c r="DD45" i="15"/>
  <c r="DI45" i="15" s="1"/>
  <c r="DD49" i="15"/>
  <c r="DI49" i="15" s="1"/>
  <c r="CF45" i="15"/>
  <c r="CK45" i="15" s="1"/>
  <c r="DD53" i="15"/>
  <c r="DI53" i="15" s="1"/>
  <c r="BH50" i="15"/>
  <c r="BM50" i="15" s="1"/>
  <c r="L48" i="15"/>
  <c r="Q48" i="15" s="1"/>
  <c r="DD50" i="15"/>
  <c r="DI50" i="15" s="1"/>
  <c r="CF14" i="15"/>
  <c r="CK14" i="15" s="1"/>
  <c r="CF23" i="15"/>
  <c r="CK23" i="15" s="1"/>
  <c r="CF42" i="15"/>
  <c r="CK42" i="15" s="1"/>
  <c r="CF40" i="15"/>
  <c r="CK40" i="15" s="1"/>
  <c r="BH41" i="15"/>
  <c r="BM41" i="15" s="1"/>
  <c r="AJ45" i="15"/>
  <c r="AO45" i="15" s="1"/>
  <c r="BH46" i="15"/>
  <c r="BM46" i="15" s="1"/>
  <c r="BH40" i="15"/>
  <c r="BM40" i="15" s="1"/>
  <c r="DD46" i="15"/>
  <c r="DI46" i="15" s="1"/>
  <c r="BH43" i="15"/>
  <c r="BM43" i="15" s="1"/>
  <c r="CF44" i="15"/>
  <c r="CK44" i="15" s="1"/>
  <c r="AJ39" i="15"/>
  <c r="AO39" i="15" s="1"/>
  <c r="BH45" i="15"/>
  <c r="BM45" i="15" s="1"/>
  <c r="L39" i="15"/>
  <c r="Q39" i="15" s="1"/>
  <c r="CF47" i="15"/>
  <c r="CK47" i="15" s="1"/>
  <c r="BH14" i="15"/>
  <c r="BM14" i="15" s="1"/>
  <c r="L19" i="15"/>
  <c r="Q19" i="15" s="1"/>
  <c r="DD26" i="15"/>
  <c r="DI26" i="15" s="1"/>
  <c r="CF22" i="15"/>
  <c r="CK22" i="15" s="1"/>
  <c r="CF13" i="15"/>
  <c r="CK13" i="15" s="1"/>
  <c r="AJ15" i="15"/>
  <c r="AO15" i="15" s="1"/>
  <c r="AJ25" i="15"/>
  <c r="AO25" i="15" s="1"/>
  <c r="L53" i="15"/>
  <c r="Q53" i="15" s="1"/>
  <c r="BH15" i="15"/>
  <c r="BM15" i="15" s="1"/>
  <c r="CF51" i="15"/>
  <c r="CK51" i="15" s="1"/>
  <c r="DD39" i="15"/>
  <c r="DI39" i="15" s="1"/>
  <c r="L52" i="15"/>
  <c r="Q52" i="15" s="1"/>
  <c r="BH51" i="15"/>
  <c r="BM51" i="15" s="1"/>
  <c r="DD41" i="15"/>
  <c r="DI41" i="15" s="1"/>
  <c r="BH47" i="15"/>
  <c r="BM47" i="15" s="1"/>
  <c r="BH52" i="15"/>
  <c r="BM52" i="15" s="1"/>
  <c r="DD47" i="15"/>
  <c r="DI47" i="15" s="1"/>
  <c r="AJ48" i="15"/>
  <c r="AO48" i="15" s="1"/>
  <c r="BH44" i="15"/>
  <c r="BM44" i="15" s="1"/>
  <c r="L42" i="15"/>
  <c r="Q42" i="15" s="1"/>
  <c r="L40" i="15"/>
  <c r="Q40" i="15" s="1"/>
  <c r="DD48" i="15"/>
  <c r="DI48" i="15" s="1"/>
  <c r="G67" i="22"/>
  <c r="CF48" i="15"/>
  <c r="CK48" i="15" s="1"/>
  <c r="CF50" i="15"/>
  <c r="CK50" i="15" s="1"/>
  <c r="CF53" i="15"/>
  <c r="CK53" i="15" s="1"/>
  <c r="AJ53" i="15"/>
  <c r="AO53" i="15" s="1"/>
  <c r="BH27" i="15"/>
  <c r="BM27" i="15" s="1"/>
  <c r="BH13" i="15"/>
  <c r="BM13" i="15" s="1"/>
  <c r="AJ26" i="15"/>
  <c r="AO26" i="15" s="1"/>
  <c r="G66" i="22"/>
  <c r="G71" i="22"/>
  <c r="G65" i="22"/>
  <c r="G64" i="22"/>
  <c r="F74" i="22"/>
  <c r="F73" i="22"/>
  <c r="F76" i="22"/>
  <c r="G75" i="22"/>
  <c r="F64" i="22"/>
  <c r="BH18" i="15"/>
  <c r="BM18" i="15" s="1"/>
  <c r="DD52" i="15"/>
  <c r="DI52" i="15" s="1"/>
  <c r="CF46" i="15"/>
  <c r="CK46" i="15" s="1"/>
  <c r="BH48" i="15"/>
  <c r="BM48" i="15" s="1"/>
  <c r="BH49" i="15"/>
  <c r="BM49" i="15" s="1"/>
  <c r="DD18" i="15"/>
  <c r="DI18" i="15" s="1"/>
  <c r="L46" i="15"/>
  <c r="Q46" i="15" s="1"/>
  <c r="AJ52" i="15"/>
  <c r="AO52" i="15" s="1"/>
  <c r="CF43" i="15"/>
  <c r="CK43" i="15" s="1"/>
  <c r="DD14" i="15"/>
  <c r="DI14" i="15" s="1"/>
  <c r="AJ14" i="15"/>
  <c r="AO14" i="15" s="1"/>
  <c r="X103" i="3"/>
  <c r="D16" i="9" l="1"/>
  <c r="L16" i="9" s="1"/>
  <c r="D24" i="9"/>
  <c r="L24" i="9" s="1"/>
  <c r="D17" i="9"/>
  <c r="L17" i="9" s="1"/>
  <c r="D25" i="9"/>
  <c r="L25" i="9" s="1"/>
  <c r="D18" i="9"/>
  <c r="L18" i="9" s="1"/>
  <c r="D26" i="9"/>
  <c r="L26" i="9" s="1"/>
  <c r="D19" i="9"/>
  <c r="L19" i="9" s="1"/>
  <c r="D15" i="9"/>
  <c r="L15" i="9" s="1"/>
  <c r="D23" i="9"/>
  <c r="L23" i="9" s="1"/>
  <c r="D27" i="9"/>
  <c r="L27" i="9" s="1"/>
  <c r="D28" i="9"/>
  <c r="L28" i="9" s="1"/>
  <c r="D21" i="9"/>
  <c r="L21" i="9" s="1"/>
  <c r="D13" i="9"/>
  <c r="L13" i="9" s="1"/>
  <c r="D22" i="9"/>
  <c r="L22" i="9" s="1"/>
  <c r="D14" i="9"/>
  <c r="L14" i="9" s="1"/>
  <c r="D20" i="9"/>
  <c r="L20" i="9" s="1"/>
  <c r="D93" i="9"/>
  <c r="L93" i="9" s="1"/>
  <c r="D101" i="9"/>
  <c r="L101" i="9" s="1"/>
  <c r="D96" i="9"/>
  <c r="L96" i="9" s="1"/>
  <c r="D94" i="9"/>
  <c r="L94" i="9" s="1"/>
  <c r="D102" i="9"/>
  <c r="L102" i="9" s="1"/>
  <c r="D95" i="9"/>
  <c r="L95" i="9" s="1"/>
  <c r="D103" i="9"/>
  <c r="L103" i="9" s="1"/>
  <c r="D92" i="9"/>
  <c r="L92" i="9" s="1"/>
  <c r="D100" i="9"/>
  <c r="L100" i="9" s="1"/>
  <c r="D104" i="9"/>
  <c r="L104" i="9" s="1"/>
  <c r="D97" i="9"/>
  <c r="L97" i="9" s="1"/>
  <c r="D99" i="9"/>
  <c r="L99" i="9" s="1"/>
  <c r="D105" i="9"/>
  <c r="L105" i="9" s="1"/>
  <c r="D91" i="9"/>
  <c r="L91" i="9" s="1"/>
  <c r="D106" i="9"/>
  <c r="L106" i="9" s="1"/>
  <c r="D98" i="9"/>
  <c r="L98" i="9" s="1"/>
  <c r="D42" i="9"/>
  <c r="L42" i="9" s="1"/>
  <c r="D50" i="9"/>
  <c r="L50" i="9" s="1"/>
  <c r="D45" i="9"/>
  <c r="L45" i="9" s="1"/>
  <c r="D43" i="9"/>
  <c r="L43" i="9" s="1"/>
  <c r="D51" i="9"/>
  <c r="L51" i="9" s="1"/>
  <c r="D44" i="9"/>
  <c r="L44" i="9" s="1"/>
  <c r="D52" i="9"/>
  <c r="L52" i="9" s="1"/>
  <c r="D41" i="9"/>
  <c r="L41" i="9" s="1"/>
  <c r="D49" i="9"/>
  <c r="L49" i="9" s="1"/>
  <c r="D53" i="9"/>
  <c r="L53" i="9" s="1"/>
  <c r="D47" i="9"/>
  <c r="L47" i="9" s="1"/>
  <c r="D48" i="9"/>
  <c r="L48" i="9" s="1"/>
  <c r="D46" i="9"/>
  <c r="L46" i="9" s="1"/>
  <c r="D54" i="9"/>
  <c r="L54" i="9" s="1"/>
  <c r="D39" i="9"/>
  <c r="L39" i="9" s="1"/>
  <c r="D40" i="9"/>
  <c r="L40" i="9" s="1"/>
  <c r="D119" i="9"/>
  <c r="L119" i="9" s="1"/>
  <c r="D127" i="9"/>
  <c r="L127" i="9" s="1"/>
  <c r="D130" i="9"/>
  <c r="L130" i="9" s="1"/>
  <c r="D120" i="9"/>
  <c r="L120" i="9" s="1"/>
  <c r="D128" i="9"/>
  <c r="L128" i="9" s="1"/>
  <c r="D122" i="9"/>
  <c r="L122" i="9" s="1"/>
  <c r="D121" i="9"/>
  <c r="L121" i="9" s="1"/>
  <c r="D129" i="9"/>
  <c r="L129" i="9" s="1"/>
  <c r="D118" i="9"/>
  <c r="L118" i="9" s="1"/>
  <c r="D126" i="9"/>
  <c r="L126" i="9" s="1"/>
  <c r="D117" i="9"/>
  <c r="L117" i="9" s="1"/>
  <c r="D132" i="9"/>
  <c r="L132" i="9" s="1"/>
  <c r="D123" i="9"/>
  <c r="L123" i="9" s="1"/>
  <c r="D124" i="9"/>
  <c r="L124" i="9" s="1"/>
  <c r="D125" i="9"/>
  <c r="L125" i="9" s="1"/>
  <c r="D131" i="9"/>
  <c r="L131" i="9" s="1"/>
  <c r="D68" i="9"/>
  <c r="L68" i="9" s="1"/>
  <c r="D76" i="9"/>
  <c r="L76" i="9" s="1"/>
  <c r="D69" i="9"/>
  <c r="L69" i="9" s="1"/>
  <c r="D77" i="9"/>
  <c r="L77" i="9" s="1"/>
  <c r="D79" i="9"/>
  <c r="L79" i="9" s="1"/>
  <c r="D70" i="9"/>
  <c r="L70" i="9" s="1"/>
  <c r="D78" i="9"/>
  <c r="L78" i="9" s="1"/>
  <c r="D71" i="9"/>
  <c r="L71" i="9" s="1"/>
  <c r="D67" i="9"/>
  <c r="L67" i="9" s="1"/>
  <c r="D75" i="9"/>
  <c r="L75" i="9" s="1"/>
  <c r="D66" i="9"/>
  <c r="L66" i="9" s="1"/>
  <c r="D73" i="9"/>
  <c r="L73" i="9" s="1"/>
  <c r="D74" i="9"/>
  <c r="L74" i="9" s="1"/>
  <c r="D80" i="9"/>
  <c r="L80" i="9" s="1"/>
  <c r="D65" i="9"/>
  <c r="L65" i="9" s="1"/>
  <c r="D72" i="9"/>
  <c r="L72" i="9" s="1"/>
  <c r="H71" i="1"/>
  <c r="G71" i="1"/>
  <c r="F71" i="1"/>
  <c r="E71" i="1"/>
  <c r="I71" i="1"/>
  <c r="AF10" i="2"/>
  <c r="Y10" i="2"/>
  <c r="F138" i="15" l="1"/>
  <c r="N138" i="15" s="1"/>
  <c r="CX138" i="14"/>
  <c r="DF138" i="14" s="1"/>
  <c r="F138" i="14"/>
  <c r="N138" i="14" s="1"/>
  <c r="BW138" i="16"/>
  <c r="CE138" i="16" s="1"/>
  <c r="AC138" i="16"/>
  <c r="AK138" i="16" s="1"/>
  <c r="F138" i="16"/>
  <c r="N138" i="16" s="1"/>
  <c r="BZ138" i="15"/>
  <c r="CH138" i="15" s="1"/>
  <c r="BZ138" i="14"/>
  <c r="CH138" i="14" s="1"/>
  <c r="AD138" i="14"/>
  <c r="AL138" i="14" s="1"/>
  <c r="CX138" i="13"/>
  <c r="DF138" i="13" s="1"/>
  <c r="AD138" i="15"/>
  <c r="AL138" i="15" s="1"/>
  <c r="BB138" i="14"/>
  <c r="BJ138" i="14" s="1"/>
  <c r="BZ138" i="13"/>
  <c r="CH138" i="13" s="1"/>
  <c r="F138" i="13"/>
  <c r="N138" i="13" s="1"/>
  <c r="CX138" i="15"/>
  <c r="DF138" i="15" s="1"/>
  <c r="BB138" i="15"/>
  <c r="BJ138" i="15" s="1"/>
  <c r="AD138" i="13"/>
  <c r="AL138" i="13" s="1"/>
  <c r="BB138" i="13"/>
  <c r="BJ138" i="13" s="1"/>
  <c r="CT138" i="16"/>
  <c r="DB138" i="16" s="1"/>
  <c r="AZ138" i="16"/>
  <c r="BH138" i="16" s="1"/>
  <c r="CT145" i="16"/>
  <c r="DB145" i="16" s="1"/>
  <c r="BW145" i="16"/>
  <c r="CE145" i="16" s="1"/>
  <c r="AC145" i="16"/>
  <c r="AK145" i="16" s="1"/>
  <c r="F145" i="16"/>
  <c r="N145" i="16" s="1"/>
  <c r="BZ145" i="15"/>
  <c r="CH145" i="15" s="1"/>
  <c r="AD145" i="15"/>
  <c r="AL145" i="15" s="1"/>
  <c r="AD145" i="14"/>
  <c r="AL145" i="14" s="1"/>
  <c r="AZ145" i="16"/>
  <c r="BH145" i="16" s="1"/>
  <c r="CX145" i="15"/>
  <c r="DF145" i="15" s="1"/>
  <c r="BB145" i="15"/>
  <c r="BJ145" i="15" s="1"/>
  <c r="BZ145" i="14"/>
  <c r="CH145" i="14" s="1"/>
  <c r="CX145" i="13"/>
  <c r="DF145" i="13" s="1"/>
  <c r="BZ145" i="13"/>
  <c r="CH145" i="13" s="1"/>
  <c r="F145" i="13"/>
  <c r="N145" i="13" s="1"/>
  <c r="CX145" i="14"/>
  <c r="DF145" i="14" s="1"/>
  <c r="BB145" i="14"/>
  <c r="BJ145" i="14" s="1"/>
  <c r="BB145" i="13"/>
  <c r="BJ145" i="13" s="1"/>
  <c r="F145" i="15"/>
  <c r="N145" i="15" s="1"/>
  <c r="F145" i="14"/>
  <c r="N145" i="14" s="1"/>
  <c r="AD145" i="13"/>
  <c r="AL145" i="13" s="1"/>
  <c r="AZ147" i="16"/>
  <c r="BH147" i="16" s="1"/>
  <c r="CX147" i="15"/>
  <c r="DF147" i="15" s="1"/>
  <c r="BB147" i="15"/>
  <c r="BJ147" i="15" s="1"/>
  <c r="AD147" i="14"/>
  <c r="AL147" i="14" s="1"/>
  <c r="F147" i="14"/>
  <c r="N147" i="14" s="1"/>
  <c r="CT147" i="16"/>
  <c r="DB147" i="16" s="1"/>
  <c r="BW147" i="16"/>
  <c r="CE147" i="16" s="1"/>
  <c r="AC147" i="16"/>
  <c r="AK147" i="16" s="1"/>
  <c r="F147" i="16"/>
  <c r="N147" i="16" s="1"/>
  <c r="BZ147" i="15"/>
  <c r="CH147" i="15" s="1"/>
  <c r="AD147" i="15"/>
  <c r="AL147" i="15" s="1"/>
  <c r="F147" i="15"/>
  <c r="N147" i="15" s="1"/>
  <c r="CX147" i="14"/>
  <c r="DF147" i="14" s="1"/>
  <c r="BZ147" i="14"/>
  <c r="CH147" i="14" s="1"/>
  <c r="BB147" i="14"/>
  <c r="BJ147" i="14" s="1"/>
  <c r="CX147" i="13"/>
  <c r="DF147" i="13" s="1"/>
  <c r="BB147" i="13"/>
  <c r="BJ147" i="13" s="1"/>
  <c r="F147" i="13"/>
  <c r="N147" i="13" s="1"/>
  <c r="AD147" i="13"/>
  <c r="AL147" i="13" s="1"/>
  <c r="BZ147" i="13"/>
  <c r="CH147" i="13" s="1"/>
  <c r="AZ143" i="16"/>
  <c r="BH143" i="16" s="1"/>
  <c r="CX143" i="15"/>
  <c r="DF143" i="15" s="1"/>
  <c r="BB143" i="15"/>
  <c r="BJ143" i="15" s="1"/>
  <c r="F143" i="15"/>
  <c r="N143" i="15" s="1"/>
  <c r="CT143" i="16"/>
  <c r="DB143" i="16" s="1"/>
  <c r="BW143" i="16"/>
  <c r="CE143" i="16" s="1"/>
  <c r="AC143" i="16"/>
  <c r="AK143" i="16" s="1"/>
  <c r="F143" i="16"/>
  <c r="N143" i="16" s="1"/>
  <c r="BZ143" i="15"/>
  <c r="CH143" i="15" s="1"/>
  <c r="AD143" i="15"/>
  <c r="AL143" i="15" s="1"/>
  <c r="BZ143" i="14"/>
  <c r="CH143" i="14" s="1"/>
  <c r="AD143" i="14"/>
  <c r="AL143" i="14" s="1"/>
  <c r="F143" i="14"/>
  <c r="N143" i="14" s="1"/>
  <c r="CX143" i="14"/>
  <c r="DF143" i="14" s="1"/>
  <c r="BB143" i="14"/>
  <c r="BJ143" i="14" s="1"/>
  <c r="BZ143" i="13"/>
  <c r="CH143" i="13" s="1"/>
  <c r="CX143" i="13"/>
  <c r="DF143" i="13" s="1"/>
  <c r="BB143" i="13"/>
  <c r="BJ143" i="13" s="1"/>
  <c r="F143" i="13"/>
  <c r="N143" i="13" s="1"/>
  <c r="AD143" i="13"/>
  <c r="AL143" i="13" s="1"/>
  <c r="F148" i="15"/>
  <c r="N148" i="15" s="1"/>
  <c r="CX148" i="14"/>
  <c r="DF148" i="14" s="1"/>
  <c r="F148" i="14"/>
  <c r="N148" i="14" s="1"/>
  <c r="BZ148" i="13"/>
  <c r="CH148" i="13" s="1"/>
  <c r="AZ148" i="16"/>
  <c r="BH148" i="16" s="1"/>
  <c r="CX148" i="15"/>
  <c r="DF148" i="15" s="1"/>
  <c r="BB148" i="15"/>
  <c r="BJ148" i="15" s="1"/>
  <c r="CX148" i="13"/>
  <c r="DF148" i="13" s="1"/>
  <c r="AD148" i="14"/>
  <c r="AL148" i="14" s="1"/>
  <c r="BB148" i="14"/>
  <c r="BJ148" i="14" s="1"/>
  <c r="CT148" i="16"/>
  <c r="DB148" i="16" s="1"/>
  <c r="F148" i="16"/>
  <c r="N148" i="16" s="1"/>
  <c r="BZ148" i="15"/>
  <c r="CH148" i="15" s="1"/>
  <c r="AD148" i="15"/>
  <c r="AL148" i="15" s="1"/>
  <c r="BZ148" i="14"/>
  <c r="CH148" i="14" s="1"/>
  <c r="AD148" i="13"/>
  <c r="AL148" i="13" s="1"/>
  <c r="BW148" i="16"/>
  <c r="CE148" i="16" s="1"/>
  <c r="AC148" i="16"/>
  <c r="AK148" i="16" s="1"/>
  <c r="F148" i="13"/>
  <c r="N148" i="13" s="1"/>
  <c r="BB148" i="13"/>
  <c r="BJ148" i="13" s="1"/>
  <c r="F146" i="15"/>
  <c r="N146" i="15" s="1"/>
  <c r="BZ146" i="14"/>
  <c r="CH146" i="14" s="1"/>
  <c r="CT146" i="16"/>
  <c r="DB146" i="16" s="1"/>
  <c r="BW146" i="16"/>
  <c r="CE146" i="16" s="1"/>
  <c r="AC146" i="16"/>
  <c r="AK146" i="16" s="1"/>
  <c r="F146" i="16"/>
  <c r="N146" i="16" s="1"/>
  <c r="BZ146" i="15"/>
  <c r="CH146" i="15" s="1"/>
  <c r="AD146" i="15"/>
  <c r="AL146" i="15" s="1"/>
  <c r="CX146" i="14"/>
  <c r="DF146" i="14" s="1"/>
  <c r="BB146" i="14"/>
  <c r="BJ146" i="14" s="1"/>
  <c r="CX146" i="13"/>
  <c r="DF146" i="13" s="1"/>
  <c r="F146" i="14"/>
  <c r="N146" i="14" s="1"/>
  <c r="AZ146" i="16"/>
  <c r="BH146" i="16" s="1"/>
  <c r="F146" i="13"/>
  <c r="N146" i="13" s="1"/>
  <c r="AD146" i="14"/>
  <c r="AL146" i="14" s="1"/>
  <c r="BZ146" i="13"/>
  <c r="CH146" i="13" s="1"/>
  <c r="AD146" i="13"/>
  <c r="AL146" i="13" s="1"/>
  <c r="BB146" i="13"/>
  <c r="BJ146" i="13" s="1"/>
  <c r="CX146" i="15"/>
  <c r="DF146" i="15" s="1"/>
  <c r="BB146" i="15"/>
  <c r="BJ146" i="15" s="1"/>
  <c r="AZ151" i="16"/>
  <c r="BH151" i="16" s="1"/>
  <c r="CX151" i="15"/>
  <c r="DF151" i="15" s="1"/>
  <c r="BB151" i="15"/>
  <c r="BJ151" i="15" s="1"/>
  <c r="F151" i="15"/>
  <c r="N151" i="15" s="1"/>
  <c r="BZ151" i="14"/>
  <c r="CH151" i="14" s="1"/>
  <c r="F151" i="14"/>
  <c r="N151" i="14" s="1"/>
  <c r="F151" i="16"/>
  <c r="N151" i="16" s="1"/>
  <c r="CX151" i="14"/>
  <c r="DF151" i="14" s="1"/>
  <c r="BB151" i="14"/>
  <c r="BJ151" i="14" s="1"/>
  <c r="BZ151" i="13"/>
  <c r="CH151" i="13" s="1"/>
  <c r="CT151" i="16"/>
  <c r="DB151" i="16" s="1"/>
  <c r="BW151" i="16"/>
  <c r="CE151" i="16" s="1"/>
  <c r="AC151" i="16"/>
  <c r="AK151" i="16" s="1"/>
  <c r="BZ151" i="15"/>
  <c r="CH151" i="15" s="1"/>
  <c r="AD151" i="15"/>
  <c r="AL151" i="15" s="1"/>
  <c r="BB151" i="13"/>
  <c r="BJ151" i="13" s="1"/>
  <c r="F151" i="13"/>
  <c r="N151" i="13" s="1"/>
  <c r="AD151" i="14"/>
  <c r="AL151" i="14" s="1"/>
  <c r="CX151" i="13"/>
  <c r="DF151" i="13" s="1"/>
  <c r="AD151" i="13"/>
  <c r="AL151" i="13" s="1"/>
  <c r="BZ144" i="14"/>
  <c r="CH144" i="14" s="1"/>
  <c r="AD144" i="14"/>
  <c r="AL144" i="14" s="1"/>
  <c r="F144" i="14"/>
  <c r="N144" i="14" s="1"/>
  <c r="AZ144" i="16"/>
  <c r="BH144" i="16" s="1"/>
  <c r="CX144" i="15"/>
  <c r="DF144" i="15" s="1"/>
  <c r="BB144" i="15"/>
  <c r="BJ144" i="15" s="1"/>
  <c r="F144" i="15"/>
  <c r="N144" i="15" s="1"/>
  <c r="CX144" i="14"/>
  <c r="DF144" i="14" s="1"/>
  <c r="BB144" i="14"/>
  <c r="BJ144" i="14" s="1"/>
  <c r="CX144" i="13"/>
  <c r="DF144" i="13" s="1"/>
  <c r="CT144" i="16"/>
  <c r="DB144" i="16" s="1"/>
  <c r="BW144" i="16"/>
  <c r="CE144" i="16" s="1"/>
  <c r="AD144" i="13"/>
  <c r="AL144" i="13" s="1"/>
  <c r="F144" i="16"/>
  <c r="N144" i="16" s="1"/>
  <c r="BZ144" i="15"/>
  <c r="CH144" i="15" s="1"/>
  <c r="AD144" i="15"/>
  <c r="AL144" i="15" s="1"/>
  <c r="BZ144" i="13"/>
  <c r="CH144" i="13" s="1"/>
  <c r="F144" i="13"/>
  <c r="N144" i="13" s="1"/>
  <c r="AC144" i="16"/>
  <c r="AK144" i="16" s="1"/>
  <c r="BB144" i="13"/>
  <c r="BJ144" i="13" s="1"/>
  <c r="CT139" i="16"/>
  <c r="DB139" i="16" s="1"/>
  <c r="AZ139" i="16"/>
  <c r="BH139" i="16" s="1"/>
  <c r="CX139" i="15"/>
  <c r="DF139" i="15" s="1"/>
  <c r="BB139" i="15"/>
  <c r="BJ139" i="15" s="1"/>
  <c r="BB139" i="14"/>
  <c r="BJ139" i="14" s="1"/>
  <c r="F139" i="15"/>
  <c r="N139" i="15" s="1"/>
  <c r="CX139" i="14"/>
  <c r="DF139" i="14" s="1"/>
  <c r="BW139" i="16"/>
  <c r="CE139" i="16" s="1"/>
  <c r="AC139" i="16"/>
  <c r="AK139" i="16" s="1"/>
  <c r="F139" i="16"/>
  <c r="N139" i="16" s="1"/>
  <c r="BZ139" i="15"/>
  <c r="CH139" i="15" s="1"/>
  <c r="BZ139" i="14"/>
  <c r="CH139" i="14" s="1"/>
  <c r="AD139" i="13"/>
  <c r="AL139" i="13" s="1"/>
  <c r="AD139" i="15"/>
  <c r="AL139" i="15" s="1"/>
  <c r="F139" i="14"/>
  <c r="N139" i="14" s="1"/>
  <c r="CX139" i="13"/>
  <c r="DF139" i="13" s="1"/>
  <c r="BZ139" i="13"/>
  <c r="CH139" i="13" s="1"/>
  <c r="BB139" i="13"/>
  <c r="BJ139" i="13" s="1"/>
  <c r="F139" i="13"/>
  <c r="N139" i="13" s="1"/>
  <c r="AD139" i="14"/>
  <c r="AL139" i="14" s="1"/>
  <c r="CT149" i="16"/>
  <c r="DB149" i="16" s="1"/>
  <c r="BW149" i="16"/>
  <c r="CE149" i="16" s="1"/>
  <c r="AC149" i="16"/>
  <c r="AK149" i="16" s="1"/>
  <c r="BZ149" i="15"/>
  <c r="CH149" i="15" s="1"/>
  <c r="AD149" i="15"/>
  <c r="AL149" i="15" s="1"/>
  <c r="AD149" i="14"/>
  <c r="AL149" i="14" s="1"/>
  <c r="BZ149" i="14"/>
  <c r="CH149" i="14" s="1"/>
  <c r="BB149" i="14"/>
  <c r="BJ149" i="14" s="1"/>
  <c r="BZ149" i="13"/>
  <c r="CH149" i="13" s="1"/>
  <c r="AZ149" i="16"/>
  <c r="BH149" i="16" s="1"/>
  <c r="CX149" i="15"/>
  <c r="DF149" i="15" s="1"/>
  <c r="BB149" i="15"/>
  <c r="BJ149" i="15" s="1"/>
  <c r="F149" i="15"/>
  <c r="N149" i="15" s="1"/>
  <c r="CX149" i="14"/>
  <c r="DF149" i="14" s="1"/>
  <c r="F149" i="14"/>
  <c r="N149" i="14" s="1"/>
  <c r="AD149" i="13"/>
  <c r="AL149" i="13" s="1"/>
  <c r="BB149" i="13"/>
  <c r="BJ149" i="13" s="1"/>
  <c r="F149" i="13"/>
  <c r="N149" i="13" s="1"/>
  <c r="F149" i="16"/>
  <c r="N149" i="16" s="1"/>
  <c r="CX149" i="13"/>
  <c r="DF149" i="13" s="1"/>
  <c r="CT140" i="16"/>
  <c r="DB140" i="16" s="1"/>
  <c r="AD140" i="15"/>
  <c r="AL140" i="15" s="1"/>
  <c r="BZ140" i="14"/>
  <c r="CH140" i="14" s="1"/>
  <c r="AZ140" i="16"/>
  <c r="BH140" i="16" s="1"/>
  <c r="CX140" i="15"/>
  <c r="DF140" i="15" s="1"/>
  <c r="BB140" i="15"/>
  <c r="BJ140" i="15" s="1"/>
  <c r="BB140" i="14"/>
  <c r="BJ140" i="14" s="1"/>
  <c r="AD140" i="14"/>
  <c r="AL140" i="14" s="1"/>
  <c r="CX140" i="13"/>
  <c r="DF140" i="13" s="1"/>
  <c r="F140" i="15"/>
  <c r="N140" i="15" s="1"/>
  <c r="CX140" i="14"/>
  <c r="DF140" i="14" s="1"/>
  <c r="F140" i="14"/>
  <c r="N140" i="14" s="1"/>
  <c r="BW140" i="16"/>
  <c r="CE140" i="16" s="1"/>
  <c r="AC140" i="16"/>
  <c r="AK140" i="16" s="1"/>
  <c r="F140" i="16"/>
  <c r="N140" i="16" s="1"/>
  <c r="BZ140" i="15"/>
  <c r="CH140" i="15" s="1"/>
  <c r="BZ140" i="13"/>
  <c r="CH140" i="13" s="1"/>
  <c r="AD140" i="13"/>
  <c r="AL140" i="13" s="1"/>
  <c r="F140" i="13"/>
  <c r="N140" i="13" s="1"/>
  <c r="BB140" i="13"/>
  <c r="BJ140" i="13" s="1"/>
  <c r="BZ142" i="14"/>
  <c r="CH142" i="14" s="1"/>
  <c r="F142" i="14"/>
  <c r="N142" i="14" s="1"/>
  <c r="CT142" i="16"/>
  <c r="DB142" i="16" s="1"/>
  <c r="BW142" i="16"/>
  <c r="CE142" i="16" s="1"/>
  <c r="AC142" i="16"/>
  <c r="AK142" i="16" s="1"/>
  <c r="F142" i="16"/>
  <c r="N142" i="16" s="1"/>
  <c r="BZ142" i="15"/>
  <c r="CH142" i="15" s="1"/>
  <c r="BB142" i="14"/>
  <c r="BJ142" i="14" s="1"/>
  <c r="AD142" i="14"/>
  <c r="AL142" i="14" s="1"/>
  <c r="CX142" i="13"/>
  <c r="DF142" i="13" s="1"/>
  <c r="AD142" i="15"/>
  <c r="AL142" i="15" s="1"/>
  <c r="F142" i="15"/>
  <c r="N142" i="15" s="1"/>
  <c r="CX142" i="14"/>
  <c r="DF142" i="14" s="1"/>
  <c r="CX142" i="15"/>
  <c r="DF142" i="15" s="1"/>
  <c r="BB142" i="15"/>
  <c r="BJ142" i="15" s="1"/>
  <c r="F142" i="13"/>
  <c r="N142" i="13" s="1"/>
  <c r="BB142" i="13"/>
  <c r="BJ142" i="13" s="1"/>
  <c r="AZ142" i="16"/>
  <c r="BH142" i="16" s="1"/>
  <c r="AD142" i="13"/>
  <c r="AL142" i="13" s="1"/>
  <c r="BZ142" i="13"/>
  <c r="CH142" i="13" s="1"/>
  <c r="AZ152" i="16"/>
  <c r="BH152" i="16" s="1"/>
  <c r="CX152" i="15"/>
  <c r="DF152" i="15" s="1"/>
  <c r="BB152" i="15"/>
  <c r="BJ152" i="15" s="1"/>
  <c r="AD152" i="14"/>
  <c r="AL152" i="14" s="1"/>
  <c r="CX152" i="13"/>
  <c r="DF152" i="13" s="1"/>
  <c r="F152" i="16"/>
  <c r="N152" i="16" s="1"/>
  <c r="F152" i="15"/>
  <c r="N152" i="15" s="1"/>
  <c r="CX152" i="14"/>
  <c r="DF152" i="14" s="1"/>
  <c r="BZ152" i="14"/>
  <c r="CH152" i="14" s="1"/>
  <c r="BZ152" i="15"/>
  <c r="CH152" i="15" s="1"/>
  <c r="AD152" i="15"/>
  <c r="AL152" i="15" s="1"/>
  <c r="F152" i="14"/>
  <c r="N152" i="14" s="1"/>
  <c r="BW152" i="16"/>
  <c r="CE152" i="16" s="1"/>
  <c r="AC152" i="16"/>
  <c r="AK152" i="16" s="1"/>
  <c r="AD152" i="13"/>
  <c r="AL152" i="13" s="1"/>
  <c r="BZ152" i="13"/>
  <c r="CH152" i="13" s="1"/>
  <c r="CT152" i="16"/>
  <c r="DB152" i="16" s="1"/>
  <c r="BB152" i="14"/>
  <c r="BJ152" i="14" s="1"/>
  <c r="F152" i="13"/>
  <c r="N152" i="13" s="1"/>
  <c r="BB152" i="13"/>
  <c r="BJ152" i="13" s="1"/>
  <c r="CT153" i="16"/>
  <c r="DB153" i="16" s="1"/>
  <c r="BW153" i="16"/>
  <c r="CE153" i="16" s="1"/>
  <c r="AC153" i="16"/>
  <c r="AK153" i="16" s="1"/>
  <c r="BZ153" i="15"/>
  <c r="CH153" i="15" s="1"/>
  <c r="AD153" i="15"/>
  <c r="AL153" i="15" s="1"/>
  <c r="F153" i="15"/>
  <c r="N153" i="15" s="1"/>
  <c r="CX153" i="14"/>
  <c r="DF153" i="14" s="1"/>
  <c r="BZ153" i="14"/>
  <c r="CH153" i="14" s="1"/>
  <c r="BB153" i="14"/>
  <c r="BJ153" i="14" s="1"/>
  <c r="F153" i="14"/>
  <c r="N153" i="14" s="1"/>
  <c r="BZ153" i="13"/>
  <c r="CH153" i="13" s="1"/>
  <c r="AZ153" i="16"/>
  <c r="BH153" i="16" s="1"/>
  <c r="CX153" i="15"/>
  <c r="DF153" i="15" s="1"/>
  <c r="BB153" i="15"/>
  <c r="BJ153" i="15" s="1"/>
  <c r="AD153" i="14"/>
  <c r="AL153" i="14" s="1"/>
  <c r="CX153" i="13"/>
  <c r="DF153" i="13" s="1"/>
  <c r="F153" i="16"/>
  <c r="N153" i="16" s="1"/>
  <c r="BB153" i="13"/>
  <c r="BJ153" i="13" s="1"/>
  <c r="AD153" i="13"/>
  <c r="AL153" i="13" s="1"/>
  <c r="F153" i="13"/>
  <c r="N153" i="13" s="1"/>
  <c r="F150" i="16"/>
  <c r="N150" i="16" s="1"/>
  <c r="CX150" i="14"/>
  <c r="DF150" i="14" s="1"/>
  <c r="CT150" i="16"/>
  <c r="DB150" i="16" s="1"/>
  <c r="BW150" i="16"/>
  <c r="CE150" i="16" s="1"/>
  <c r="AC150" i="16"/>
  <c r="AK150" i="16" s="1"/>
  <c r="BZ150" i="15"/>
  <c r="CH150" i="15" s="1"/>
  <c r="AD150" i="15"/>
  <c r="AL150" i="15" s="1"/>
  <c r="F150" i="14"/>
  <c r="N150" i="14" s="1"/>
  <c r="CX150" i="13"/>
  <c r="DF150" i="13" s="1"/>
  <c r="AD150" i="14"/>
  <c r="AL150" i="14" s="1"/>
  <c r="F150" i="15"/>
  <c r="N150" i="15" s="1"/>
  <c r="F150" i="13"/>
  <c r="N150" i="13" s="1"/>
  <c r="BB150" i="13"/>
  <c r="BJ150" i="13" s="1"/>
  <c r="BB150" i="14"/>
  <c r="BJ150" i="14" s="1"/>
  <c r="AD150" i="13"/>
  <c r="AL150" i="13" s="1"/>
  <c r="AZ150" i="16"/>
  <c r="BH150" i="16" s="1"/>
  <c r="CX150" i="15"/>
  <c r="DF150" i="15" s="1"/>
  <c r="BB150" i="15"/>
  <c r="BJ150" i="15" s="1"/>
  <c r="BZ150" i="14"/>
  <c r="CH150" i="14" s="1"/>
  <c r="BZ150" i="13"/>
  <c r="CH150" i="13" s="1"/>
  <c r="BW141" i="16"/>
  <c r="CE141" i="16" s="1"/>
  <c r="AC141" i="16"/>
  <c r="AK141" i="16" s="1"/>
  <c r="F141" i="16"/>
  <c r="N141" i="16" s="1"/>
  <c r="BZ141" i="15"/>
  <c r="CH141" i="15" s="1"/>
  <c r="F141" i="15"/>
  <c r="N141" i="15" s="1"/>
  <c r="CX141" i="14"/>
  <c r="DF141" i="14" s="1"/>
  <c r="CT141" i="16"/>
  <c r="DB141" i="16" s="1"/>
  <c r="AD141" i="15"/>
  <c r="AL141" i="15" s="1"/>
  <c r="F141" i="14"/>
  <c r="N141" i="14" s="1"/>
  <c r="AZ141" i="16"/>
  <c r="BH141" i="16" s="1"/>
  <c r="CX141" i="15"/>
  <c r="DF141" i="15" s="1"/>
  <c r="BB141" i="15"/>
  <c r="BJ141" i="15" s="1"/>
  <c r="BZ141" i="14"/>
  <c r="CH141" i="14" s="1"/>
  <c r="AD141" i="14"/>
  <c r="AL141" i="14" s="1"/>
  <c r="BB141" i="14"/>
  <c r="BJ141" i="14" s="1"/>
  <c r="BZ141" i="13"/>
  <c r="CH141" i="13" s="1"/>
  <c r="BB141" i="13"/>
  <c r="BJ141" i="13" s="1"/>
  <c r="F141" i="13"/>
  <c r="N141" i="13" s="1"/>
  <c r="CX141" i="13"/>
  <c r="DF141" i="13" s="1"/>
  <c r="AD141" i="13"/>
  <c r="AL141" i="13" s="1"/>
  <c r="Y39" i="2"/>
  <c r="Y57" i="2"/>
  <c r="AF39" i="2"/>
  <c r="AF57" i="2"/>
  <c r="R10" i="2"/>
  <c r="Q14" i="2"/>
  <c r="F12" i="8"/>
  <c r="E24" i="18" s="1"/>
  <c r="E12" i="8"/>
  <c r="I12" i="8"/>
  <c r="H24" i="18" s="1"/>
  <c r="G12" i="8"/>
  <c r="F24" i="18" s="1"/>
  <c r="H12" i="8"/>
  <c r="G24" i="18" s="1"/>
  <c r="AE91" i="10"/>
  <c r="AE92" i="10" s="1"/>
  <c r="AE93" i="10" s="1"/>
  <c r="AE94" i="10" s="1"/>
  <c r="AE95" i="10" s="1"/>
  <c r="AE96" i="10" s="1"/>
  <c r="AE97" i="10" s="1"/>
  <c r="AE98" i="10" s="1"/>
  <c r="AE99" i="10" s="1"/>
  <c r="AE100" i="10" s="1"/>
  <c r="AE101" i="10" s="1"/>
  <c r="AE102" i="10" s="1"/>
  <c r="AE103" i="10" s="1"/>
  <c r="AE104" i="10" s="1"/>
  <c r="AE105" i="10" s="1"/>
  <c r="AE106" i="10" s="1"/>
  <c r="Y63" i="2"/>
  <c r="U21" i="8" s="1"/>
  <c r="Y66" i="2"/>
  <c r="AF63" i="2"/>
  <c r="W21" i="8" s="1"/>
  <c r="AF66" i="2"/>
  <c r="Y14" i="2"/>
  <c r="U12" i="8" s="1"/>
  <c r="X14" i="2"/>
  <c r="T12" i="8" s="1"/>
  <c r="BC141" i="15" l="1"/>
  <c r="CA141" i="15"/>
  <c r="BC150" i="13"/>
  <c r="G150" i="16"/>
  <c r="G153" i="14"/>
  <c r="G152" i="13"/>
  <c r="BC152" i="15"/>
  <c r="G142" i="15"/>
  <c r="BX142" i="16"/>
  <c r="BX140" i="16"/>
  <c r="CU140" i="16"/>
  <c r="AE149" i="14"/>
  <c r="G139" i="14"/>
  <c r="CY139" i="15"/>
  <c r="BX144" i="16"/>
  <c r="BA144" i="16"/>
  <c r="AD151" i="16"/>
  <c r="CA151" i="14"/>
  <c r="G146" i="13"/>
  <c r="G146" i="16"/>
  <c r="CU148" i="16"/>
  <c r="AE143" i="13"/>
  <c r="G143" i="16"/>
  <c r="BC147" i="13"/>
  <c r="G147" i="16"/>
  <c r="G145" i="15"/>
  <c r="BC145" i="15"/>
  <c r="DK138" i="15"/>
  <c r="CY138" i="15"/>
  <c r="S138" i="14"/>
  <c r="G138" i="14"/>
  <c r="CY141" i="13"/>
  <c r="BC141" i="14"/>
  <c r="CY141" i="15"/>
  <c r="CU141" i="16"/>
  <c r="G141" i="16"/>
  <c r="CA150" i="13"/>
  <c r="BA150" i="16"/>
  <c r="G150" i="13"/>
  <c r="G150" i="14"/>
  <c r="BX150" i="16"/>
  <c r="G153" i="16"/>
  <c r="CY153" i="15"/>
  <c r="BC153" i="14"/>
  <c r="AE153" i="15"/>
  <c r="CU153" i="16"/>
  <c r="BC152" i="14"/>
  <c r="AD152" i="16"/>
  <c r="CA152" i="15"/>
  <c r="G152" i="16"/>
  <c r="CY152" i="15"/>
  <c r="AE142" i="13"/>
  <c r="BC142" i="15"/>
  <c r="AE142" i="15"/>
  <c r="CA142" i="15"/>
  <c r="CU142" i="16"/>
  <c r="BC140" i="13"/>
  <c r="CA140" i="15"/>
  <c r="G140" i="14"/>
  <c r="AE140" i="14"/>
  <c r="BA140" i="16"/>
  <c r="BC149" i="13"/>
  <c r="G149" i="15"/>
  <c r="CA149" i="13"/>
  <c r="AE149" i="15"/>
  <c r="CU149" i="16"/>
  <c r="BC139" i="13"/>
  <c r="AE139" i="15"/>
  <c r="G139" i="16"/>
  <c r="G139" i="15"/>
  <c r="BA139" i="16"/>
  <c r="AD144" i="16"/>
  <c r="CA144" i="15"/>
  <c r="CU144" i="16"/>
  <c r="G144" i="15"/>
  <c r="G144" i="14"/>
  <c r="AE151" i="13"/>
  <c r="BC151" i="13"/>
  <c r="BX151" i="16"/>
  <c r="CY151" i="14"/>
  <c r="G151" i="15"/>
  <c r="AE146" i="13"/>
  <c r="BA146" i="16"/>
  <c r="CY146" i="14"/>
  <c r="AD146" i="16"/>
  <c r="G146" i="15"/>
  <c r="AD148" i="16"/>
  <c r="AE148" i="15"/>
  <c r="BC148" i="14"/>
  <c r="CY148" i="15"/>
  <c r="CY148" i="14"/>
  <c r="G143" i="13"/>
  <c r="BC143" i="14"/>
  <c r="CA143" i="14"/>
  <c r="AD143" i="16"/>
  <c r="BC143" i="15"/>
  <c r="CA147" i="13"/>
  <c r="CY147" i="13"/>
  <c r="G147" i="15"/>
  <c r="AD147" i="16"/>
  <c r="AE147" i="14"/>
  <c r="BC145" i="13"/>
  <c r="CA145" i="13"/>
  <c r="CY145" i="15"/>
  <c r="CA145" i="15"/>
  <c r="CU145" i="16"/>
  <c r="BO138" i="13"/>
  <c r="BC138" i="13"/>
  <c r="S138" i="13"/>
  <c r="G138" i="13"/>
  <c r="DK138" i="13"/>
  <c r="CY138" i="13"/>
  <c r="S138" i="16"/>
  <c r="G138" i="16"/>
  <c r="DK138" i="14"/>
  <c r="CY138" i="14"/>
  <c r="AE141" i="13"/>
  <c r="AE141" i="15"/>
  <c r="CY150" i="15"/>
  <c r="AD150" i="16"/>
  <c r="BC153" i="15"/>
  <c r="BX153" i="16"/>
  <c r="AE152" i="13"/>
  <c r="G152" i="15"/>
  <c r="G142" i="13"/>
  <c r="BC142" i="14"/>
  <c r="CA140" i="13"/>
  <c r="CY140" i="15"/>
  <c r="CY149" i="14"/>
  <c r="BX149" i="16"/>
  <c r="CA139" i="15"/>
  <c r="AE144" i="15"/>
  <c r="BC151" i="14"/>
  <c r="BC146" i="13"/>
  <c r="CA146" i="14"/>
  <c r="BC148" i="15"/>
  <c r="CA143" i="13"/>
  <c r="CY147" i="14"/>
  <c r="BA147" i="16"/>
  <c r="AE145" i="15"/>
  <c r="CM138" i="15"/>
  <c r="CA138" i="15"/>
  <c r="AE141" i="14"/>
  <c r="AD141" i="16"/>
  <c r="G150" i="15"/>
  <c r="CU150" i="16"/>
  <c r="G153" i="13"/>
  <c r="CY153" i="13"/>
  <c r="BA153" i="16"/>
  <c r="CA153" i="14"/>
  <c r="CA153" i="15"/>
  <c r="CU152" i="16"/>
  <c r="BX152" i="16"/>
  <c r="CA152" i="14"/>
  <c r="CY152" i="13"/>
  <c r="BA152" i="16"/>
  <c r="BA142" i="16"/>
  <c r="CY142" i="15"/>
  <c r="CY142" i="13"/>
  <c r="G142" i="16"/>
  <c r="G142" i="14"/>
  <c r="G140" i="13"/>
  <c r="G140" i="16"/>
  <c r="CY140" i="14"/>
  <c r="BC140" i="14"/>
  <c r="CA140" i="14"/>
  <c r="CY149" i="13"/>
  <c r="AE149" i="13"/>
  <c r="BC149" i="15"/>
  <c r="BC149" i="14"/>
  <c r="CA149" i="15"/>
  <c r="CA139" i="13"/>
  <c r="AE139" i="13"/>
  <c r="AD139" i="16"/>
  <c r="BC139" i="14"/>
  <c r="CU139" i="16"/>
  <c r="G144" i="13"/>
  <c r="G144" i="16"/>
  <c r="CY144" i="13"/>
  <c r="BC144" i="15"/>
  <c r="AE144" i="14"/>
  <c r="CY151" i="13"/>
  <c r="AE151" i="15"/>
  <c r="CU151" i="16"/>
  <c r="G151" i="16"/>
  <c r="BC151" i="15"/>
  <c r="BC146" i="15"/>
  <c r="CA146" i="13"/>
  <c r="G146" i="14"/>
  <c r="AE146" i="15"/>
  <c r="BX146" i="16"/>
  <c r="BX148" i="16"/>
  <c r="CA148" i="15"/>
  <c r="AE148" i="14"/>
  <c r="BA148" i="16"/>
  <c r="G148" i="15"/>
  <c r="BC143" i="13"/>
  <c r="CY143" i="14"/>
  <c r="AE143" i="15"/>
  <c r="BX143" i="16"/>
  <c r="CY143" i="15"/>
  <c r="AE147" i="13"/>
  <c r="BC147" i="14"/>
  <c r="AE147" i="15"/>
  <c r="BX147" i="16"/>
  <c r="BC147" i="15"/>
  <c r="AE145" i="13"/>
  <c r="BC145" i="14"/>
  <c r="CY145" i="13"/>
  <c r="BA145" i="16"/>
  <c r="G145" i="16"/>
  <c r="AE138" i="13"/>
  <c r="AQ138" i="13"/>
  <c r="AQ139" i="13" s="1"/>
  <c r="CM138" i="13"/>
  <c r="CA138" i="13"/>
  <c r="AQ138" i="14"/>
  <c r="AE138" i="14"/>
  <c r="AP138" i="16"/>
  <c r="AD138" i="16"/>
  <c r="S138" i="15"/>
  <c r="G138" i="15"/>
  <c r="CA141" i="13"/>
  <c r="CY150" i="13"/>
  <c r="BC153" i="13"/>
  <c r="G153" i="15"/>
  <c r="AE152" i="15"/>
  <c r="CA142" i="13"/>
  <c r="CY140" i="13"/>
  <c r="G149" i="13"/>
  <c r="BA149" i="16"/>
  <c r="G139" i="13"/>
  <c r="CY139" i="14"/>
  <c r="BC144" i="13"/>
  <c r="CY144" i="14"/>
  <c r="G151" i="13"/>
  <c r="BA151" i="16"/>
  <c r="BC146" i="14"/>
  <c r="G148" i="13"/>
  <c r="CA148" i="14"/>
  <c r="G148" i="14"/>
  <c r="AE143" i="14"/>
  <c r="G143" i="15"/>
  <c r="G147" i="14"/>
  <c r="G145" i="13"/>
  <c r="BX145" i="16"/>
  <c r="DG138" i="16"/>
  <c r="CU138" i="16"/>
  <c r="AQ138" i="15"/>
  <c r="AE138" i="15"/>
  <c r="G141" i="13"/>
  <c r="BA141" i="16"/>
  <c r="CY141" i="14"/>
  <c r="CA150" i="14"/>
  <c r="AE150" i="13"/>
  <c r="AE150" i="15"/>
  <c r="BC141" i="13"/>
  <c r="CA141" i="14"/>
  <c r="G141" i="14"/>
  <c r="G141" i="15"/>
  <c r="BX141" i="16"/>
  <c r="BC150" i="15"/>
  <c r="BC150" i="14"/>
  <c r="AE150" i="14"/>
  <c r="CA150" i="15"/>
  <c r="CY150" i="14"/>
  <c r="AE153" i="13"/>
  <c r="AE153" i="14"/>
  <c r="CA153" i="13"/>
  <c r="CY153" i="14"/>
  <c r="AD153" i="16"/>
  <c r="BC152" i="13"/>
  <c r="CA152" i="13"/>
  <c r="G152" i="14"/>
  <c r="CY152" i="14"/>
  <c r="AE152" i="14"/>
  <c r="BC142" i="13"/>
  <c r="CY142" i="14"/>
  <c r="AE142" i="14"/>
  <c r="AD142" i="16"/>
  <c r="CA142" i="14"/>
  <c r="AE140" i="13"/>
  <c r="AD140" i="16"/>
  <c r="G140" i="15"/>
  <c r="BC140" i="15"/>
  <c r="AE140" i="15"/>
  <c r="G149" i="16"/>
  <c r="G149" i="14"/>
  <c r="CY149" i="15"/>
  <c r="CA149" i="14"/>
  <c r="AD149" i="16"/>
  <c r="AE139" i="14"/>
  <c r="CY139" i="13"/>
  <c r="CA139" i="14"/>
  <c r="BX139" i="16"/>
  <c r="BC139" i="15"/>
  <c r="CA144" i="13"/>
  <c r="AE144" i="13"/>
  <c r="BC144" i="14"/>
  <c r="CY144" i="15"/>
  <c r="CA144" i="14"/>
  <c r="AE151" i="14"/>
  <c r="CA151" i="15"/>
  <c r="CA151" i="13"/>
  <c r="G151" i="14"/>
  <c r="CY151" i="15"/>
  <c r="CY146" i="15"/>
  <c r="AE146" i="14"/>
  <c r="CY146" i="13"/>
  <c r="CA146" i="15"/>
  <c r="CU146" i="16"/>
  <c r="BC148" i="13"/>
  <c r="AE148" i="13"/>
  <c r="G148" i="16"/>
  <c r="CY148" i="13"/>
  <c r="CA148" i="13"/>
  <c r="CY143" i="13"/>
  <c r="G143" i="14"/>
  <c r="CA143" i="15"/>
  <c r="CU143" i="16"/>
  <c r="BA143" i="16"/>
  <c r="G147" i="13"/>
  <c r="CA147" i="14"/>
  <c r="CA147" i="15"/>
  <c r="CU147" i="16"/>
  <c r="CY147" i="15"/>
  <c r="G145" i="14"/>
  <c r="CY145" i="14"/>
  <c r="CA145" i="14"/>
  <c r="AE145" i="14"/>
  <c r="AD145" i="16"/>
  <c r="BM138" i="16"/>
  <c r="BM139" i="16" s="1"/>
  <c r="BM140" i="16" s="1"/>
  <c r="BA138" i="16"/>
  <c r="BO138" i="15"/>
  <c r="BC138" i="15"/>
  <c r="BO138" i="14"/>
  <c r="BC138" i="14"/>
  <c r="CM138" i="14"/>
  <c r="CA138" i="14"/>
  <c r="CJ138" i="16"/>
  <c r="BX138" i="16"/>
  <c r="R66" i="2"/>
  <c r="R39" i="2"/>
  <c r="R57" i="2"/>
  <c r="D24" i="18"/>
  <c r="M6" i="11"/>
  <c r="C43" i="9"/>
  <c r="C51" i="9"/>
  <c r="K51" i="9" s="1"/>
  <c r="C44" i="9"/>
  <c r="K44" i="9" s="1"/>
  <c r="C52" i="9"/>
  <c r="K52" i="9" s="1"/>
  <c r="C45" i="9"/>
  <c r="K45" i="9" s="1"/>
  <c r="C53" i="9"/>
  <c r="C46" i="9"/>
  <c r="K46" i="9" s="1"/>
  <c r="C42" i="9"/>
  <c r="K42" i="9" s="1"/>
  <c r="C50" i="9"/>
  <c r="K50" i="9" s="1"/>
  <c r="C54" i="9"/>
  <c r="K54" i="9" s="1"/>
  <c r="C40" i="9"/>
  <c r="K40" i="9" s="1"/>
  <c r="C41" i="9"/>
  <c r="K41" i="9" s="1"/>
  <c r="C48" i="9"/>
  <c r="C47" i="9"/>
  <c r="K47" i="9" s="1"/>
  <c r="C49" i="9"/>
  <c r="K49" i="9" s="1"/>
  <c r="C39" i="9"/>
  <c r="K39" i="9" s="1"/>
  <c r="C17" i="9"/>
  <c r="K17" i="9" s="1"/>
  <c r="C25" i="9"/>
  <c r="K25" i="9" s="1"/>
  <c r="C20" i="9"/>
  <c r="K20" i="9" s="1"/>
  <c r="C18" i="9"/>
  <c r="C26" i="9"/>
  <c r="K26" i="9" s="1"/>
  <c r="C28" i="9"/>
  <c r="C19" i="9"/>
  <c r="K19" i="9" s="1"/>
  <c r="C27" i="9"/>
  <c r="K27" i="9" s="1"/>
  <c r="C16" i="9"/>
  <c r="K16" i="9" s="1"/>
  <c r="C24" i="9"/>
  <c r="K24" i="9" s="1"/>
  <c r="C15" i="9"/>
  <c r="K15" i="9" s="1"/>
  <c r="C22" i="9"/>
  <c r="K22" i="9" s="1"/>
  <c r="C21" i="9"/>
  <c r="K21" i="9" s="1"/>
  <c r="C23" i="9"/>
  <c r="C14" i="9"/>
  <c r="K14" i="9" s="1"/>
  <c r="C13" i="9"/>
  <c r="C69" i="9"/>
  <c r="K69" i="9" s="1"/>
  <c r="C77" i="9"/>
  <c r="K77" i="9" s="1"/>
  <c r="C70" i="9"/>
  <c r="K70" i="9" s="1"/>
  <c r="C78" i="9"/>
  <c r="C80" i="9"/>
  <c r="K80" i="9" s="1"/>
  <c r="C71" i="9"/>
  <c r="K71" i="9" s="1"/>
  <c r="C79" i="9"/>
  <c r="K79" i="9" s="1"/>
  <c r="C68" i="9"/>
  <c r="C76" i="9"/>
  <c r="K76" i="9" s="1"/>
  <c r="C72" i="9"/>
  <c r="K72" i="9" s="1"/>
  <c r="C65" i="9"/>
  <c r="K65" i="9" s="1"/>
  <c r="C66" i="9"/>
  <c r="K66" i="9" s="1"/>
  <c r="C67" i="9"/>
  <c r="K67" i="9" s="1"/>
  <c r="C73" i="9"/>
  <c r="K73" i="9" s="1"/>
  <c r="C74" i="9"/>
  <c r="K74" i="9" s="1"/>
  <c r="C75" i="9"/>
  <c r="K75" i="9" s="1"/>
  <c r="C121" i="9"/>
  <c r="K121" i="9" s="1"/>
  <c r="C129" i="9"/>
  <c r="C122" i="9"/>
  <c r="K122" i="9" s="1"/>
  <c r="C130" i="9"/>
  <c r="K130" i="9" s="1"/>
  <c r="C123" i="9"/>
  <c r="K123" i="9" s="1"/>
  <c r="C131" i="9"/>
  <c r="K131" i="9" s="1"/>
  <c r="C132" i="9"/>
  <c r="K132" i="9" s="1"/>
  <c r="C120" i="9"/>
  <c r="K120" i="9" s="1"/>
  <c r="C128" i="9"/>
  <c r="K128" i="9" s="1"/>
  <c r="C124" i="9"/>
  <c r="C119" i="9"/>
  <c r="C126" i="9"/>
  <c r="K126" i="9" s="1"/>
  <c r="C125" i="9"/>
  <c r="K125" i="9" s="1"/>
  <c r="C118" i="9"/>
  <c r="K118" i="9" s="1"/>
  <c r="C127" i="9"/>
  <c r="K127" i="9" s="1"/>
  <c r="C117" i="9"/>
  <c r="K117" i="9" s="1"/>
  <c r="C95" i="9"/>
  <c r="K95" i="9" s="1"/>
  <c r="C103" i="9"/>
  <c r="K103" i="9" s="1"/>
  <c r="C106" i="9"/>
  <c r="K106" i="9" s="1"/>
  <c r="C96" i="9"/>
  <c r="K96" i="9" s="1"/>
  <c r="C104" i="9"/>
  <c r="K104" i="9" s="1"/>
  <c r="C98" i="9"/>
  <c r="K98" i="9" s="1"/>
  <c r="C97" i="9"/>
  <c r="C105" i="9"/>
  <c r="K105" i="9" s="1"/>
  <c r="C94" i="9"/>
  <c r="K94" i="9" s="1"/>
  <c r="C102" i="9"/>
  <c r="C100" i="9"/>
  <c r="K100" i="9" s="1"/>
  <c r="C101" i="9"/>
  <c r="K101" i="9" s="1"/>
  <c r="C93" i="9"/>
  <c r="K93" i="9" s="1"/>
  <c r="C99" i="9"/>
  <c r="K99" i="9" s="1"/>
  <c r="C91" i="9"/>
  <c r="K91" i="9" s="1"/>
  <c r="C92" i="9"/>
  <c r="S22" i="8"/>
  <c r="R22" i="8"/>
  <c r="I21" i="1"/>
  <c r="I16" i="8" l="1"/>
  <c r="I23" i="1"/>
  <c r="S139" i="14"/>
  <c r="S140" i="14" s="1"/>
  <c r="S141" i="14" s="1"/>
  <c r="S142" i="14" s="1"/>
  <c r="S143" i="14" s="1"/>
  <c r="S144" i="14" s="1"/>
  <c r="S145" i="14" s="1"/>
  <c r="S146" i="14" s="1"/>
  <c r="S147" i="14" s="1"/>
  <c r="S148" i="14" s="1"/>
  <c r="S149" i="14" s="1"/>
  <c r="S150" i="14" s="1"/>
  <c r="S151" i="14" s="1"/>
  <c r="S152" i="14" s="1"/>
  <c r="S153" i="14" s="1"/>
  <c r="AG161" i="14" s="1"/>
  <c r="BO139" i="13"/>
  <c r="BO140" i="13" s="1"/>
  <c r="D152" i="9"/>
  <c r="L152" i="9" s="1"/>
  <c r="K48" i="9"/>
  <c r="D147" i="9"/>
  <c r="L147" i="9" s="1"/>
  <c r="K43" i="9"/>
  <c r="D144" i="9"/>
  <c r="L144" i="9" s="1"/>
  <c r="K92" i="9"/>
  <c r="D146" i="9"/>
  <c r="L146" i="9" s="1"/>
  <c r="K68" i="9"/>
  <c r="D156" i="9"/>
  <c r="L156" i="9" s="1"/>
  <c r="K78" i="9"/>
  <c r="D143" i="9"/>
  <c r="L143" i="9" s="1"/>
  <c r="K13" i="9"/>
  <c r="D148" i="9"/>
  <c r="L148" i="9" s="1"/>
  <c r="K18" i="9"/>
  <c r="D154" i="9"/>
  <c r="L154" i="9" s="1"/>
  <c r="K102" i="9"/>
  <c r="D149" i="9"/>
  <c r="L149" i="9" s="1"/>
  <c r="K97" i="9"/>
  <c r="D145" i="9"/>
  <c r="L145" i="9" s="1"/>
  <c r="K119" i="9"/>
  <c r="D150" i="9"/>
  <c r="L150" i="9" s="1"/>
  <c r="K124" i="9"/>
  <c r="D155" i="9"/>
  <c r="L155" i="9" s="1"/>
  <c r="K129" i="9"/>
  <c r="D153" i="9"/>
  <c r="L153" i="9" s="1"/>
  <c r="K23" i="9"/>
  <c r="D158" i="9"/>
  <c r="L158" i="9" s="1"/>
  <c r="K28" i="9"/>
  <c r="D157" i="9"/>
  <c r="L157" i="9" s="1"/>
  <c r="K53" i="9"/>
  <c r="CJ139" i="16"/>
  <c r="CJ140" i="16" s="1"/>
  <c r="CJ141" i="16" s="1"/>
  <c r="CJ142" i="16" s="1"/>
  <c r="CJ143" i="16" s="1"/>
  <c r="CJ144" i="16" s="1"/>
  <c r="CJ145" i="16" s="1"/>
  <c r="CJ146" i="16" s="1"/>
  <c r="CJ147" i="16" s="1"/>
  <c r="CJ148" i="16" s="1"/>
  <c r="CJ149" i="16" s="1"/>
  <c r="CJ150" i="16" s="1"/>
  <c r="CJ151" i="16" s="1"/>
  <c r="CJ152" i="16" s="1"/>
  <c r="CJ153" i="16" s="1"/>
  <c r="AJ161" i="16" s="1"/>
  <c r="BO139" i="14"/>
  <c r="BO140" i="14" s="1"/>
  <c r="BO141" i="14" s="1"/>
  <c r="BO142" i="14" s="1"/>
  <c r="BO143" i="14" s="1"/>
  <c r="BO144" i="14" s="1"/>
  <c r="BO145" i="14" s="1"/>
  <c r="BO146" i="14" s="1"/>
  <c r="BO147" i="14" s="1"/>
  <c r="BO148" i="14" s="1"/>
  <c r="BO149" i="14" s="1"/>
  <c r="BO150" i="14" s="1"/>
  <c r="BO151" i="14" s="1"/>
  <c r="BO152" i="14" s="1"/>
  <c r="BO153" i="14" s="1"/>
  <c r="AI161" i="14" s="1"/>
  <c r="BM141" i="16"/>
  <c r="BM142" i="16" s="1"/>
  <c r="BM143" i="16" s="1"/>
  <c r="BM144" i="16" s="1"/>
  <c r="BM145" i="16" s="1"/>
  <c r="BM146" i="16" s="1"/>
  <c r="BM147" i="16" s="1"/>
  <c r="BM148" i="16" s="1"/>
  <c r="BM149" i="16" s="1"/>
  <c r="BM150" i="16" s="1"/>
  <c r="BM151" i="16" s="1"/>
  <c r="BM152" i="16" s="1"/>
  <c r="BM153" i="16" s="1"/>
  <c r="AI161" i="16" s="1"/>
  <c r="AQ139" i="15"/>
  <c r="AQ140" i="15" s="1"/>
  <c r="AQ141" i="15" s="1"/>
  <c r="AQ142" i="15" s="1"/>
  <c r="AQ143" i="15" s="1"/>
  <c r="AQ144" i="15" s="1"/>
  <c r="AQ145" i="15" s="1"/>
  <c r="AQ146" i="15" s="1"/>
  <c r="AQ147" i="15" s="1"/>
  <c r="AQ148" i="15" s="1"/>
  <c r="AQ149" i="15" s="1"/>
  <c r="AQ150" i="15" s="1"/>
  <c r="AQ151" i="15" s="1"/>
  <c r="AQ152" i="15" s="1"/>
  <c r="AQ153" i="15" s="1"/>
  <c r="AH161" i="15" s="1"/>
  <c r="S139" i="15"/>
  <c r="S140" i="15" s="1"/>
  <c r="S141" i="15" s="1"/>
  <c r="S142" i="15" s="1"/>
  <c r="S143" i="15" s="1"/>
  <c r="S144" i="15" s="1"/>
  <c r="S145" i="15" s="1"/>
  <c r="S146" i="15" s="1"/>
  <c r="S147" i="15" s="1"/>
  <c r="S148" i="15" s="1"/>
  <c r="S149" i="15" s="1"/>
  <c r="S150" i="15" s="1"/>
  <c r="S151" i="15" s="1"/>
  <c r="S152" i="15" s="1"/>
  <c r="S153" i="15" s="1"/>
  <c r="AG161" i="15" s="1"/>
  <c r="AQ139" i="14"/>
  <c r="AQ140" i="14" s="1"/>
  <c r="AQ141" i="14" s="1"/>
  <c r="AQ142" i="14" s="1"/>
  <c r="AQ143" i="14" s="1"/>
  <c r="AQ144" i="14" s="1"/>
  <c r="AQ145" i="14" s="1"/>
  <c r="AQ146" i="14" s="1"/>
  <c r="AQ147" i="14" s="1"/>
  <c r="AQ148" i="14" s="1"/>
  <c r="AQ149" i="14" s="1"/>
  <c r="AQ150" i="14" s="1"/>
  <c r="AQ151" i="14" s="1"/>
  <c r="AQ152" i="14" s="1"/>
  <c r="AQ153" i="14" s="1"/>
  <c r="AH161" i="14" s="1"/>
  <c r="CM139" i="15"/>
  <c r="CM140" i="15" s="1"/>
  <c r="CM141" i="15" s="1"/>
  <c r="CM142" i="15" s="1"/>
  <c r="CM143" i="15" s="1"/>
  <c r="CM144" i="15" s="1"/>
  <c r="CM145" i="15" s="1"/>
  <c r="CM146" i="15" s="1"/>
  <c r="CM147" i="15" s="1"/>
  <c r="CM148" i="15" s="1"/>
  <c r="CM149" i="15" s="1"/>
  <c r="CM150" i="15" s="1"/>
  <c r="CM151" i="15" s="1"/>
  <c r="CM152" i="15" s="1"/>
  <c r="CM153" i="15" s="1"/>
  <c r="AJ161" i="15" s="1"/>
  <c r="S139" i="16"/>
  <c r="S140" i="16" s="1"/>
  <c r="S141" i="16" s="1"/>
  <c r="S142" i="16" s="1"/>
  <c r="S143" i="16" s="1"/>
  <c r="S144" i="16" s="1"/>
  <c r="S145" i="16" s="1"/>
  <c r="S146" i="16" s="1"/>
  <c r="S147" i="16" s="1"/>
  <c r="S148" i="16" s="1"/>
  <c r="S149" i="16" s="1"/>
  <c r="S150" i="16" s="1"/>
  <c r="S151" i="16" s="1"/>
  <c r="S152" i="16" s="1"/>
  <c r="S153" i="16" s="1"/>
  <c r="AG161" i="16" s="1"/>
  <c r="S139" i="13"/>
  <c r="S140" i="13" s="1"/>
  <c r="S141" i="13" s="1"/>
  <c r="S142" i="13" s="1"/>
  <c r="S143" i="13" s="1"/>
  <c r="S144" i="13" s="1"/>
  <c r="S145" i="13" s="1"/>
  <c r="S146" i="13" s="1"/>
  <c r="S147" i="13" s="1"/>
  <c r="S148" i="13" s="1"/>
  <c r="S149" i="13" s="1"/>
  <c r="S150" i="13" s="1"/>
  <c r="S151" i="13" s="1"/>
  <c r="S152" i="13" s="1"/>
  <c r="S153" i="13" s="1"/>
  <c r="AG161" i="13" s="1"/>
  <c r="DK139" i="15"/>
  <c r="DK140" i="15" s="1"/>
  <c r="DK141" i="15" s="1"/>
  <c r="DK142" i="15" s="1"/>
  <c r="DK143" i="15" s="1"/>
  <c r="DK144" i="15" s="1"/>
  <c r="DK145" i="15" s="1"/>
  <c r="DK146" i="15" s="1"/>
  <c r="DK147" i="15" s="1"/>
  <c r="DK148" i="15" s="1"/>
  <c r="DK149" i="15" s="1"/>
  <c r="DK150" i="15" s="1"/>
  <c r="DK151" i="15" s="1"/>
  <c r="DK152" i="15" s="1"/>
  <c r="DK153" i="15" s="1"/>
  <c r="AK161" i="15" s="1"/>
  <c r="AQ140" i="13"/>
  <c r="AQ141" i="13" s="1"/>
  <c r="AQ142" i="13" s="1"/>
  <c r="AQ143" i="13" s="1"/>
  <c r="AQ144" i="13" s="1"/>
  <c r="AQ145" i="13" s="1"/>
  <c r="AQ146" i="13" s="1"/>
  <c r="AQ147" i="13" s="1"/>
  <c r="AQ148" i="13" s="1"/>
  <c r="AQ149" i="13" s="1"/>
  <c r="AQ150" i="13" s="1"/>
  <c r="AQ151" i="13" s="1"/>
  <c r="AQ152" i="13" s="1"/>
  <c r="AQ153" i="13" s="1"/>
  <c r="AH161" i="13" s="1"/>
  <c r="CM139" i="14"/>
  <c r="CM140" i="14" s="1"/>
  <c r="CM141" i="14" s="1"/>
  <c r="CM142" i="14" s="1"/>
  <c r="CM143" i="14" s="1"/>
  <c r="CM144" i="14" s="1"/>
  <c r="CM145" i="14" s="1"/>
  <c r="CM146" i="14" s="1"/>
  <c r="CM147" i="14" s="1"/>
  <c r="CM148" i="14" s="1"/>
  <c r="CM149" i="14" s="1"/>
  <c r="CM150" i="14" s="1"/>
  <c r="CM151" i="14" s="1"/>
  <c r="CM152" i="14" s="1"/>
  <c r="CM153" i="14" s="1"/>
  <c r="AJ161" i="14" s="1"/>
  <c r="BO139" i="15"/>
  <c r="BO140" i="15" s="1"/>
  <c r="BO141" i="15" s="1"/>
  <c r="BO142" i="15" s="1"/>
  <c r="BO143" i="15" s="1"/>
  <c r="BO144" i="15" s="1"/>
  <c r="BO145" i="15" s="1"/>
  <c r="BO146" i="15" s="1"/>
  <c r="BO147" i="15" s="1"/>
  <c r="BO148" i="15" s="1"/>
  <c r="BO149" i="15" s="1"/>
  <c r="BO150" i="15" s="1"/>
  <c r="BO151" i="15" s="1"/>
  <c r="BO152" i="15" s="1"/>
  <c r="BO153" i="15" s="1"/>
  <c r="AI161" i="15" s="1"/>
  <c r="DG139" i="16"/>
  <c r="DG140" i="16" s="1"/>
  <c r="DG141" i="16" s="1"/>
  <c r="DG142" i="16" s="1"/>
  <c r="DG143" i="16" s="1"/>
  <c r="DG144" i="16" s="1"/>
  <c r="DG145" i="16" s="1"/>
  <c r="DG146" i="16" s="1"/>
  <c r="DG147" i="16" s="1"/>
  <c r="DG148" i="16" s="1"/>
  <c r="DG149" i="16" s="1"/>
  <c r="DG150" i="16" s="1"/>
  <c r="DG151" i="16" s="1"/>
  <c r="DG152" i="16" s="1"/>
  <c r="DG153" i="16" s="1"/>
  <c r="AK161" i="16" s="1"/>
  <c r="AP139" i="16"/>
  <c r="AP140" i="16" s="1"/>
  <c r="AP141" i="16" s="1"/>
  <c r="AP142" i="16" s="1"/>
  <c r="AP143" i="16" s="1"/>
  <c r="AP144" i="16" s="1"/>
  <c r="AP145" i="16" s="1"/>
  <c r="AP146" i="16" s="1"/>
  <c r="AP147" i="16" s="1"/>
  <c r="AP148" i="16" s="1"/>
  <c r="AP149" i="16" s="1"/>
  <c r="AP150" i="16" s="1"/>
  <c r="AP151" i="16" s="1"/>
  <c r="AP152" i="16" s="1"/>
  <c r="AP153" i="16" s="1"/>
  <c r="AH161" i="16" s="1"/>
  <c r="CM139" i="13"/>
  <c r="CM140" i="13" s="1"/>
  <c r="CM141" i="13" s="1"/>
  <c r="CM142" i="13" s="1"/>
  <c r="CM143" i="13" s="1"/>
  <c r="CM144" i="13" s="1"/>
  <c r="CM145" i="13" s="1"/>
  <c r="CM146" i="13" s="1"/>
  <c r="CM147" i="13" s="1"/>
  <c r="CM148" i="13" s="1"/>
  <c r="CM149" i="13" s="1"/>
  <c r="CM150" i="13" s="1"/>
  <c r="CM151" i="13" s="1"/>
  <c r="CM152" i="13" s="1"/>
  <c r="CM153" i="13" s="1"/>
  <c r="AJ161" i="13" s="1"/>
  <c r="DK139" i="14"/>
  <c r="DK140" i="14" s="1"/>
  <c r="DK141" i="14" s="1"/>
  <c r="DK142" i="14" s="1"/>
  <c r="DK143" i="14" s="1"/>
  <c r="DK144" i="14" s="1"/>
  <c r="DK145" i="14" s="1"/>
  <c r="DK146" i="14" s="1"/>
  <c r="DK147" i="14" s="1"/>
  <c r="DK148" i="14" s="1"/>
  <c r="DK149" i="14" s="1"/>
  <c r="DK150" i="14" s="1"/>
  <c r="DK151" i="14" s="1"/>
  <c r="DK152" i="14" s="1"/>
  <c r="DK153" i="14" s="1"/>
  <c r="AK161" i="14" s="1"/>
  <c r="DK139" i="13"/>
  <c r="DK140" i="13" s="1"/>
  <c r="DK141" i="13" s="1"/>
  <c r="DK142" i="13" s="1"/>
  <c r="DK143" i="13" s="1"/>
  <c r="DK144" i="13" s="1"/>
  <c r="DK145" i="13" s="1"/>
  <c r="DK146" i="13" s="1"/>
  <c r="DK147" i="13" s="1"/>
  <c r="DK148" i="13" s="1"/>
  <c r="DK149" i="13" s="1"/>
  <c r="DK150" i="13" s="1"/>
  <c r="DK151" i="13" s="1"/>
  <c r="DK152" i="13" s="1"/>
  <c r="DK153" i="13" s="1"/>
  <c r="AK161" i="13" s="1"/>
  <c r="BO141" i="13"/>
  <c r="BO142" i="13" s="1"/>
  <c r="BO143" i="13" s="1"/>
  <c r="BO144" i="13" s="1"/>
  <c r="BO145" i="13" s="1"/>
  <c r="BO146" i="13" s="1"/>
  <c r="BO147" i="13" s="1"/>
  <c r="BO148" i="13" s="1"/>
  <c r="BO149" i="13" s="1"/>
  <c r="BO150" i="13" s="1"/>
  <c r="BO151" i="13" s="1"/>
  <c r="BO152" i="13" s="1"/>
  <c r="BO153" i="13" s="1"/>
  <c r="AI161" i="13" s="1"/>
  <c r="D151" i="9"/>
  <c r="L151" i="9" s="1"/>
  <c r="J8" i="17"/>
  <c r="J12" i="17"/>
  <c r="J16" i="17"/>
  <c r="J20" i="17"/>
  <c r="J10" i="17"/>
  <c r="J18" i="17"/>
  <c r="J11" i="17"/>
  <c r="J19" i="17"/>
  <c r="J9" i="17"/>
  <c r="J13" i="17"/>
  <c r="J17" i="17"/>
  <c r="J21" i="17"/>
  <c r="J14" i="17"/>
  <c r="J22" i="17"/>
  <c r="J15" i="17"/>
  <c r="J7" i="17"/>
  <c r="CY128" i="16"/>
  <c r="DD128" i="16" s="1"/>
  <c r="CY124" i="16"/>
  <c r="DD124" i="16" s="1"/>
  <c r="CY120" i="16"/>
  <c r="DD120" i="16" s="1"/>
  <c r="CY116" i="16"/>
  <c r="DD116" i="16" s="1"/>
  <c r="CB127" i="16"/>
  <c r="CG127" i="16" s="1"/>
  <c r="CB123" i="16"/>
  <c r="CG123" i="16" s="1"/>
  <c r="CB119" i="16"/>
  <c r="CG119" i="16" s="1"/>
  <c r="CB115" i="16"/>
  <c r="CG115" i="16" s="1"/>
  <c r="BE126" i="16"/>
  <c r="BJ126" i="16" s="1"/>
  <c r="BE122" i="16"/>
  <c r="BJ122" i="16" s="1"/>
  <c r="BE118" i="16"/>
  <c r="BJ118" i="16" s="1"/>
  <c r="BE114" i="16"/>
  <c r="BJ114" i="16" s="1"/>
  <c r="AH125" i="16"/>
  <c r="AM125" i="16" s="1"/>
  <c r="AH121" i="16"/>
  <c r="AM121" i="16" s="1"/>
  <c r="AH117" i="16"/>
  <c r="AM117" i="16" s="1"/>
  <c r="K128" i="16"/>
  <c r="P128" i="16" s="1"/>
  <c r="K124" i="16"/>
  <c r="P124" i="16" s="1"/>
  <c r="K120" i="16"/>
  <c r="P120" i="16" s="1"/>
  <c r="K116" i="16"/>
  <c r="P116" i="16" s="1"/>
  <c r="DC127" i="15"/>
  <c r="DH127" i="15" s="1"/>
  <c r="DC123" i="15"/>
  <c r="DH123" i="15" s="1"/>
  <c r="DC119" i="15"/>
  <c r="DH119" i="15" s="1"/>
  <c r="DC115" i="15"/>
  <c r="DH115" i="15" s="1"/>
  <c r="CE126" i="15"/>
  <c r="CJ126" i="15" s="1"/>
  <c r="CE122" i="15"/>
  <c r="CJ122" i="15" s="1"/>
  <c r="CE118" i="15"/>
  <c r="CJ118" i="15" s="1"/>
  <c r="CE114" i="15"/>
  <c r="CJ114" i="15" s="1"/>
  <c r="BG125" i="15"/>
  <c r="BL125" i="15" s="1"/>
  <c r="BG121" i="15"/>
  <c r="BL121" i="15" s="1"/>
  <c r="BG117" i="15"/>
  <c r="BL117" i="15" s="1"/>
  <c r="AI128" i="15"/>
  <c r="AN128" i="15" s="1"/>
  <c r="AI124" i="15"/>
  <c r="AN124" i="15" s="1"/>
  <c r="AI120" i="15"/>
  <c r="AN120" i="15" s="1"/>
  <c r="AI116" i="15"/>
  <c r="AN116" i="15" s="1"/>
  <c r="K127" i="15"/>
  <c r="P127" i="15" s="1"/>
  <c r="K123" i="15"/>
  <c r="P123" i="15" s="1"/>
  <c r="K119" i="15"/>
  <c r="P119" i="15" s="1"/>
  <c r="K115" i="15"/>
  <c r="P115" i="15" s="1"/>
  <c r="DC126" i="14"/>
  <c r="DH126" i="14" s="1"/>
  <c r="DC122" i="14"/>
  <c r="DH122" i="14" s="1"/>
  <c r="DC118" i="14"/>
  <c r="DH118" i="14" s="1"/>
  <c r="DC114" i="14"/>
  <c r="DH114" i="14" s="1"/>
  <c r="CE125" i="14"/>
  <c r="CJ125" i="14" s="1"/>
  <c r="CE121" i="14"/>
  <c r="CJ121" i="14" s="1"/>
  <c r="CE117" i="14"/>
  <c r="CJ117" i="14" s="1"/>
  <c r="BG128" i="14"/>
  <c r="BL128" i="14" s="1"/>
  <c r="BG124" i="14"/>
  <c r="BL124" i="14" s="1"/>
  <c r="BG120" i="14"/>
  <c r="BL120" i="14" s="1"/>
  <c r="BG116" i="14"/>
  <c r="BL116" i="14" s="1"/>
  <c r="AI127" i="14"/>
  <c r="AN127" i="14" s="1"/>
  <c r="AI123" i="14"/>
  <c r="AN123" i="14" s="1"/>
  <c r="AI119" i="14"/>
  <c r="AN119" i="14" s="1"/>
  <c r="AI115" i="14"/>
  <c r="AN115" i="14" s="1"/>
  <c r="K126" i="14"/>
  <c r="P126" i="14" s="1"/>
  <c r="K122" i="14"/>
  <c r="P122" i="14" s="1"/>
  <c r="K118" i="14"/>
  <c r="P118" i="14" s="1"/>
  <c r="K114" i="14"/>
  <c r="P114" i="14" s="1"/>
  <c r="DC125" i="13"/>
  <c r="DH125" i="13" s="1"/>
  <c r="DC121" i="13"/>
  <c r="DH121" i="13" s="1"/>
  <c r="DC117" i="13"/>
  <c r="DH117" i="13" s="1"/>
  <c r="CE128" i="13"/>
  <c r="CJ128" i="13" s="1"/>
  <c r="CE124" i="13"/>
  <c r="CJ124" i="13" s="1"/>
  <c r="CE120" i="13"/>
  <c r="CJ120" i="13" s="1"/>
  <c r="CE116" i="13"/>
  <c r="CJ116" i="13" s="1"/>
  <c r="BG127" i="13"/>
  <c r="BL127" i="13" s="1"/>
  <c r="BG123" i="13"/>
  <c r="BL123" i="13" s="1"/>
  <c r="BG119" i="13"/>
  <c r="BL119" i="13" s="1"/>
  <c r="BG115" i="13"/>
  <c r="BL115" i="13" s="1"/>
  <c r="AI126" i="13"/>
  <c r="AN126" i="13" s="1"/>
  <c r="AI122" i="13"/>
  <c r="AN122" i="13" s="1"/>
  <c r="AI118" i="13"/>
  <c r="AN118" i="13" s="1"/>
  <c r="AI114" i="13"/>
  <c r="AN114" i="13" s="1"/>
  <c r="K118" i="13"/>
  <c r="P118" i="13" s="1"/>
  <c r="K122" i="13"/>
  <c r="P122" i="13" s="1"/>
  <c r="K126" i="13"/>
  <c r="P126" i="13" s="1"/>
  <c r="CY126" i="16"/>
  <c r="DD126" i="16" s="1"/>
  <c r="CY122" i="16"/>
  <c r="DD122" i="16" s="1"/>
  <c r="CY118" i="16"/>
  <c r="DD118" i="16" s="1"/>
  <c r="CY114" i="16"/>
  <c r="DD114" i="16" s="1"/>
  <c r="CB125" i="16"/>
  <c r="CG125" i="16" s="1"/>
  <c r="CB121" i="16"/>
  <c r="CG121" i="16" s="1"/>
  <c r="CB117" i="16"/>
  <c r="CG117" i="16" s="1"/>
  <c r="BE128" i="16"/>
  <c r="BJ128" i="16" s="1"/>
  <c r="BE124" i="16"/>
  <c r="BJ124" i="16" s="1"/>
  <c r="BE120" i="16"/>
  <c r="BJ120" i="16" s="1"/>
  <c r="BE116" i="16"/>
  <c r="BJ116" i="16" s="1"/>
  <c r="AH127" i="16"/>
  <c r="AM127" i="16" s="1"/>
  <c r="AH123" i="16"/>
  <c r="AM123" i="16" s="1"/>
  <c r="AH119" i="16"/>
  <c r="AM119" i="16" s="1"/>
  <c r="AH115" i="16"/>
  <c r="AM115" i="16" s="1"/>
  <c r="K126" i="16"/>
  <c r="P126" i="16" s="1"/>
  <c r="K122" i="16"/>
  <c r="P122" i="16" s="1"/>
  <c r="K118" i="16"/>
  <c r="P118" i="16" s="1"/>
  <c r="K114" i="16"/>
  <c r="P114" i="16" s="1"/>
  <c r="DC125" i="15"/>
  <c r="DH125" i="15" s="1"/>
  <c r="DC121" i="15"/>
  <c r="DH121" i="15" s="1"/>
  <c r="DC117" i="15"/>
  <c r="DH117" i="15" s="1"/>
  <c r="CE128" i="15"/>
  <c r="CJ128" i="15" s="1"/>
  <c r="CE124" i="15"/>
  <c r="CJ124" i="15" s="1"/>
  <c r="CE120" i="15"/>
  <c r="CJ120" i="15" s="1"/>
  <c r="CE116" i="15"/>
  <c r="CJ116" i="15" s="1"/>
  <c r="BG127" i="15"/>
  <c r="BL127" i="15" s="1"/>
  <c r="BG123" i="15"/>
  <c r="BL123" i="15" s="1"/>
  <c r="BG119" i="15"/>
  <c r="BL119" i="15" s="1"/>
  <c r="BG115" i="15"/>
  <c r="BL115" i="15" s="1"/>
  <c r="AI126" i="15"/>
  <c r="AN126" i="15" s="1"/>
  <c r="AI122" i="15"/>
  <c r="AN122" i="15" s="1"/>
  <c r="AI118" i="15"/>
  <c r="AN118" i="15" s="1"/>
  <c r="AI114" i="15"/>
  <c r="AN114" i="15" s="1"/>
  <c r="K125" i="15"/>
  <c r="P125" i="15" s="1"/>
  <c r="K121" i="15"/>
  <c r="P121" i="15" s="1"/>
  <c r="K117" i="15"/>
  <c r="P117" i="15" s="1"/>
  <c r="DC128" i="14"/>
  <c r="DH128" i="14" s="1"/>
  <c r="DC124" i="14"/>
  <c r="DH124" i="14" s="1"/>
  <c r="DC120" i="14"/>
  <c r="DH120" i="14" s="1"/>
  <c r="DC116" i="14"/>
  <c r="DH116" i="14" s="1"/>
  <c r="CE127" i="14"/>
  <c r="CJ127" i="14" s="1"/>
  <c r="CE123" i="14"/>
  <c r="CJ123" i="14" s="1"/>
  <c r="CE119" i="14"/>
  <c r="CJ119" i="14" s="1"/>
  <c r="CE115" i="14"/>
  <c r="CJ115" i="14" s="1"/>
  <c r="BG126" i="14"/>
  <c r="BL126" i="14" s="1"/>
  <c r="BG122" i="14"/>
  <c r="BL122" i="14" s="1"/>
  <c r="BG118" i="14"/>
  <c r="BL118" i="14" s="1"/>
  <c r="BG114" i="14"/>
  <c r="BL114" i="14" s="1"/>
  <c r="AI125" i="14"/>
  <c r="AN125" i="14" s="1"/>
  <c r="AI121" i="14"/>
  <c r="AN121" i="14" s="1"/>
  <c r="AI117" i="14"/>
  <c r="AN117" i="14" s="1"/>
  <c r="K128" i="14"/>
  <c r="P128" i="14" s="1"/>
  <c r="K124" i="14"/>
  <c r="P124" i="14" s="1"/>
  <c r="K120" i="14"/>
  <c r="P120" i="14" s="1"/>
  <c r="K116" i="14"/>
  <c r="P116" i="14" s="1"/>
  <c r="DC127" i="13"/>
  <c r="DH127" i="13" s="1"/>
  <c r="DC123" i="13"/>
  <c r="DH123" i="13" s="1"/>
  <c r="DC119" i="13"/>
  <c r="DH119" i="13" s="1"/>
  <c r="DC115" i="13"/>
  <c r="DH115" i="13" s="1"/>
  <c r="CE126" i="13"/>
  <c r="CJ126" i="13" s="1"/>
  <c r="CE122" i="13"/>
  <c r="CJ122" i="13" s="1"/>
  <c r="CE118" i="13"/>
  <c r="CJ118" i="13" s="1"/>
  <c r="CE114" i="13"/>
  <c r="CJ114" i="13" s="1"/>
  <c r="BG125" i="13"/>
  <c r="BL125" i="13" s="1"/>
  <c r="BG121" i="13"/>
  <c r="BL121" i="13" s="1"/>
  <c r="BG117" i="13"/>
  <c r="BL117" i="13" s="1"/>
  <c r="AI128" i="13"/>
  <c r="AN128" i="13" s="1"/>
  <c r="AI124" i="13"/>
  <c r="AN124" i="13" s="1"/>
  <c r="AI120" i="13"/>
  <c r="AN120" i="13" s="1"/>
  <c r="AI116" i="13"/>
  <c r="AN116" i="13" s="1"/>
  <c r="K116" i="13"/>
  <c r="P116" i="13" s="1"/>
  <c r="K120" i="13"/>
  <c r="P120" i="13" s="1"/>
  <c r="K124" i="13"/>
  <c r="P124" i="13" s="1"/>
  <c r="K128" i="13"/>
  <c r="P128" i="13" s="1"/>
  <c r="CY125" i="16"/>
  <c r="DD125" i="16" s="1"/>
  <c r="CY121" i="16"/>
  <c r="DD121" i="16" s="1"/>
  <c r="CY127" i="16"/>
  <c r="DD127" i="16" s="1"/>
  <c r="CY115" i="16"/>
  <c r="DD115" i="16" s="1"/>
  <c r="CB122" i="16"/>
  <c r="CG122" i="16" s="1"/>
  <c r="CB114" i="16"/>
  <c r="CG114" i="16" s="1"/>
  <c r="BE121" i="16"/>
  <c r="BJ121" i="16" s="1"/>
  <c r="AH128" i="16"/>
  <c r="AM128" i="16" s="1"/>
  <c r="AH120" i="16"/>
  <c r="AM120" i="16" s="1"/>
  <c r="K127" i="16"/>
  <c r="P127" i="16" s="1"/>
  <c r="K119" i="16"/>
  <c r="P119" i="16" s="1"/>
  <c r="DC126" i="15"/>
  <c r="DH126" i="15" s="1"/>
  <c r="DC118" i="15"/>
  <c r="DH118" i="15" s="1"/>
  <c r="CE125" i="15"/>
  <c r="CJ125" i="15" s="1"/>
  <c r="CE117" i="15"/>
  <c r="CJ117" i="15" s="1"/>
  <c r="BG124" i="15"/>
  <c r="BL124" i="15" s="1"/>
  <c r="BG116" i="15"/>
  <c r="BL116" i="15" s="1"/>
  <c r="AI123" i="15"/>
  <c r="AN123" i="15" s="1"/>
  <c r="AI115" i="15"/>
  <c r="AN115" i="15" s="1"/>
  <c r="K122" i="15"/>
  <c r="P122" i="15" s="1"/>
  <c r="K114" i="15"/>
  <c r="P114" i="15" s="1"/>
  <c r="DC121" i="14"/>
  <c r="DH121" i="14" s="1"/>
  <c r="CE128" i="14"/>
  <c r="CJ128" i="14" s="1"/>
  <c r="CE120" i="14"/>
  <c r="CJ120" i="14" s="1"/>
  <c r="BG127" i="14"/>
  <c r="BL127" i="14" s="1"/>
  <c r="BG119" i="14"/>
  <c r="BL119" i="14" s="1"/>
  <c r="AI126" i="14"/>
  <c r="AN126" i="14" s="1"/>
  <c r="AI118" i="14"/>
  <c r="AN118" i="14" s="1"/>
  <c r="K125" i="14"/>
  <c r="P125" i="14" s="1"/>
  <c r="K117" i="14"/>
  <c r="P117" i="14" s="1"/>
  <c r="DC124" i="13"/>
  <c r="DH124" i="13" s="1"/>
  <c r="DC116" i="13"/>
  <c r="DH116" i="13" s="1"/>
  <c r="CE123" i="13"/>
  <c r="CJ123" i="13" s="1"/>
  <c r="CE115" i="13"/>
  <c r="CJ115" i="13" s="1"/>
  <c r="BG122" i="13"/>
  <c r="BL122" i="13" s="1"/>
  <c r="BG114" i="13"/>
  <c r="BL114" i="13" s="1"/>
  <c r="AI121" i="13"/>
  <c r="AN121" i="13" s="1"/>
  <c r="K115" i="13"/>
  <c r="P115" i="13" s="1"/>
  <c r="K123" i="13"/>
  <c r="P123" i="13" s="1"/>
  <c r="CY123" i="16"/>
  <c r="DD123" i="16" s="1"/>
  <c r="CB128" i="16"/>
  <c r="CG128" i="16" s="1"/>
  <c r="CB120" i="16"/>
  <c r="CG120" i="16" s="1"/>
  <c r="BE127" i="16"/>
  <c r="BJ127" i="16" s="1"/>
  <c r="BE119" i="16"/>
  <c r="BJ119" i="16" s="1"/>
  <c r="AH126" i="16"/>
  <c r="AM126" i="16" s="1"/>
  <c r="AH118" i="16"/>
  <c r="AM118" i="16" s="1"/>
  <c r="K125" i="16"/>
  <c r="P125" i="16" s="1"/>
  <c r="K117" i="16"/>
  <c r="P117" i="16" s="1"/>
  <c r="DC124" i="15"/>
  <c r="DH124" i="15" s="1"/>
  <c r="DC116" i="15"/>
  <c r="DH116" i="15" s="1"/>
  <c r="CE123" i="15"/>
  <c r="CJ123" i="15" s="1"/>
  <c r="CE115" i="15"/>
  <c r="CJ115" i="15" s="1"/>
  <c r="BG122" i="15"/>
  <c r="BL122" i="15" s="1"/>
  <c r="BG114" i="15"/>
  <c r="BL114" i="15" s="1"/>
  <c r="AI121" i="15"/>
  <c r="AN121" i="15" s="1"/>
  <c r="K128" i="15"/>
  <c r="P128" i="15" s="1"/>
  <c r="K120" i="15"/>
  <c r="P120" i="15" s="1"/>
  <c r="DC127" i="14"/>
  <c r="DH127" i="14" s="1"/>
  <c r="DC119" i="14"/>
  <c r="DH119" i="14" s="1"/>
  <c r="CE126" i="14"/>
  <c r="CJ126" i="14" s="1"/>
  <c r="CE118" i="14"/>
  <c r="CJ118" i="14" s="1"/>
  <c r="BG125" i="14"/>
  <c r="BL125" i="14" s="1"/>
  <c r="BG117" i="14"/>
  <c r="BL117" i="14" s="1"/>
  <c r="AI124" i="14"/>
  <c r="AN124" i="14" s="1"/>
  <c r="AI116" i="14"/>
  <c r="AN116" i="14" s="1"/>
  <c r="K123" i="14"/>
  <c r="P123" i="14" s="1"/>
  <c r="K115" i="14"/>
  <c r="P115" i="14" s="1"/>
  <c r="DC122" i="13"/>
  <c r="DH122" i="13" s="1"/>
  <c r="DC114" i="13"/>
  <c r="DH114" i="13" s="1"/>
  <c r="CE121" i="13"/>
  <c r="CJ121" i="13" s="1"/>
  <c r="BG128" i="13"/>
  <c r="BL128" i="13" s="1"/>
  <c r="BG120" i="13"/>
  <c r="BL120" i="13" s="1"/>
  <c r="AI127" i="13"/>
  <c r="AN127" i="13" s="1"/>
  <c r="AI119" i="13"/>
  <c r="AN119" i="13" s="1"/>
  <c r="K117" i="13"/>
  <c r="P117" i="13" s="1"/>
  <c r="K125" i="13"/>
  <c r="P125" i="13" s="1"/>
  <c r="CY119" i="16"/>
  <c r="DD119" i="16" s="1"/>
  <c r="CB126" i="16"/>
  <c r="CG126" i="16" s="1"/>
  <c r="CB118" i="16"/>
  <c r="CG118" i="16" s="1"/>
  <c r="CY117" i="16"/>
  <c r="DD117" i="16" s="1"/>
  <c r="BE123" i="16"/>
  <c r="BJ123" i="16" s="1"/>
  <c r="AH122" i="16"/>
  <c r="AM122" i="16" s="1"/>
  <c r="K121" i="16"/>
  <c r="P121" i="16" s="1"/>
  <c r="DC120" i="15"/>
  <c r="DH120" i="15" s="1"/>
  <c r="CE119" i="15"/>
  <c r="CJ119" i="15" s="1"/>
  <c r="BG118" i="15"/>
  <c r="BL118" i="15" s="1"/>
  <c r="AI117" i="15"/>
  <c r="AN117" i="15" s="1"/>
  <c r="K116" i="15"/>
  <c r="P116" i="15" s="1"/>
  <c r="DC115" i="14"/>
  <c r="DH115" i="14" s="1"/>
  <c r="CE114" i="14"/>
  <c r="CJ114" i="14" s="1"/>
  <c r="AI128" i="14"/>
  <c r="AN128" i="14" s="1"/>
  <c r="K127" i="14"/>
  <c r="P127" i="14" s="1"/>
  <c r="DC126" i="13"/>
  <c r="DH126" i="13" s="1"/>
  <c r="CE125" i="13"/>
  <c r="CJ125" i="13" s="1"/>
  <c r="BG124" i="13"/>
  <c r="BL124" i="13" s="1"/>
  <c r="AI123" i="13"/>
  <c r="AN123" i="13" s="1"/>
  <c r="K121" i="13"/>
  <c r="P121" i="13" s="1"/>
  <c r="AI125" i="15"/>
  <c r="AN125" i="15" s="1"/>
  <c r="CB124" i="16"/>
  <c r="CG124" i="16" s="1"/>
  <c r="BE117" i="16"/>
  <c r="BJ117" i="16" s="1"/>
  <c r="AH116" i="16"/>
  <c r="AM116" i="16" s="1"/>
  <c r="K115" i="16"/>
  <c r="P115" i="16" s="1"/>
  <c r="DC114" i="15"/>
  <c r="DH114" i="15" s="1"/>
  <c r="BG128" i="15"/>
  <c r="BL128" i="15" s="1"/>
  <c r="AI127" i="15"/>
  <c r="AN127" i="15" s="1"/>
  <c r="K126" i="15"/>
  <c r="P126" i="15" s="1"/>
  <c r="DC125" i="14"/>
  <c r="DH125" i="14" s="1"/>
  <c r="CE124" i="14"/>
  <c r="CJ124" i="14" s="1"/>
  <c r="BG123" i="14"/>
  <c r="BL123" i="14" s="1"/>
  <c r="AI122" i="14"/>
  <c r="AN122" i="14" s="1"/>
  <c r="K121" i="14"/>
  <c r="P121" i="14" s="1"/>
  <c r="DC120" i="13"/>
  <c r="DH120" i="13" s="1"/>
  <c r="CE119" i="13"/>
  <c r="CJ119" i="13" s="1"/>
  <c r="BG118" i="13"/>
  <c r="BL118" i="13" s="1"/>
  <c r="AI117" i="13"/>
  <c r="AN117" i="13" s="1"/>
  <c r="K127" i="13"/>
  <c r="P127" i="13" s="1"/>
  <c r="CB116" i="16"/>
  <c r="CG116" i="16" s="1"/>
  <c r="BE115" i="16"/>
  <c r="BJ115" i="16" s="1"/>
  <c r="AH114" i="16"/>
  <c r="AM114" i="16" s="1"/>
  <c r="DC128" i="15"/>
  <c r="DH128" i="15" s="1"/>
  <c r="CE127" i="15"/>
  <c r="CJ127" i="15" s="1"/>
  <c r="BG126" i="15"/>
  <c r="BL126" i="15" s="1"/>
  <c r="K124" i="15"/>
  <c r="P124" i="15" s="1"/>
  <c r="DC123" i="14"/>
  <c r="DH123" i="14" s="1"/>
  <c r="CE122" i="14"/>
  <c r="CJ122" i="14" s="1"/>
  <c r="BG121" i="14"/>
  <c r="BL121" i="14" s="1"/>
  <c r="AI120" i="14"/>
  <c r="AN120" i="14" s="1"/>
  <c r="K119" i="14"/>
  <c r="P119" i="14" s="1"/>
  <c r="DC118" i="13"/>
  <c r="DH118" i="13" s="1"/>
  <c r="CE117" i="13"/>
  <c r="CJ117" i="13" s="1"/>
  <c r="BG116" i="13"/>
  <c r="BL116" i="13" s="1"/>
  <c r="AI115" i="13"/>
  <c r="AN115" i="13" s="1"/>
  <c r="K114" i="13"/>
  <c r="P114" i="13" s="1"/>
  <c r="BE125" i="16"/>
  <c r="BJ125" i="16" s="1"/>
  <c r="AH124" i="16"/>
  <c r="AM124" i="16" s="1"/>
  <c r="K123" i="16"/>
  <c r="P123" i="16" s="1"/>
  <c r="DC122" i="15"/>
  <c r="DH122" i="15" s="1"/>
  <c r="CE121" i="15"/>
  <c r="CJ121" i="15" s="1"/>
  <c r="BG120" i="15"/>
  <c r="BL120" i="15" s="1"/>
  <c r="AI119" i="15"/>
  <c r="AN119" i="15" s="1"/>
  <c r="K118" i="15"/>
  <c r="P118" i="15" s="1"/>
  <c r="DC117" i="14"/>
  <c r="DH117" i="14" s="1"/>
  <c r="CE116" i="14"/>
  <c r="CJ116" i="14" s="1"/>
  <c r="BG115" i="14"/>
  <c r="BL115" i="14" s="1"/>
  <c r="AI114" i="14"/>
  <c r="AN114" i="14" s="1"/>
  <c r="DC128" i="13"/>
  <c r="DH128" i="13" s="1"/>
  <c r="CE127" i="13"/>
  <c r="CJ127" i="13" s="1"/>
  <c r="BG126" i="13"/>
  <c r="BL126" i="13" s="1"/>
  <c r="AI125" i="13"/>
  <c r="AN125" i="13" s="1"/>
  <c r="K119" i="13"/>
  <c r="P119" i="13" s="1"/>
  <c r="E44" i="22"/>
  <c r="H14" i="23" s="1"/>
  <c r="J14" i="23" s="1"/>
  <c r="E52" i="22"/>
  <c r="H22" i="23" s="1"/>
  <c r="J22" i="23" s="1"/>
  <c r="E40" i="22"/>
  <c r="H10" i="23" s="1"/>
  <c r="J10" i="23" s="1"/>
  <c r="E41" i="22"/>
  <c r="H11" i="23" s="1"/>
  <c r="J11" i="23" s="1"/>
  <c r="E50" i="22"/>
  <c r="H20" i="23" s="1"/>
  <c r="J20" i="23" s="1"/>
  <c r="E43" i="22"/>
  <c r="H13" i="23" s="1"/>
  <c r="J13" i="23" s="1"/>
  <c r="E45" i="22"/>
  <c r="H15" i="23" s="1"/>
  <c r="J15" i="23" s="1"/>
  <c r="E47" i="22"/>
  <c r="H17" i="23" s="1"/>
  <c r="J17" i="23" s="1"/>
  <c r="E49" i="22"/>
  <c r="H19" i="23" s="1"/>
  <c r="J19" i="23" s="1"/>
  <c r="E46" i="22"/>
  <c r="H16" i="23" s="1"/>
  <c r="J16" i="23" s="1"/>
  <c r="E39" i="22"/>
  <c r="H9" i="23" s="1"/>
  <c r="J9" i="23" s="1"/>
  <c r="E48" i="22"/>
  <c r="H18" i="23" s="1"/>
  <c r="J18" i="23" s="1"/>
  <c r="E38" i="22"/>
  <c r="H8" i="23" s="1"/>
  <c r="J8" i="23" s="1"/>
  <c r="E42" i="22"/>
  <c r="H12" i="23" s="1"/>
  <c r="J12" i="23" s="1"/>
  <c r="E51" i="22"/>
  <c r="H21" i="23" s="1"/>
  <c r="J21" i="23" s="1"/>
  <c r="R63" i="2"/>
  <c r="S21" i="8" s="1"/>
  <c r="K187" i="3"/>
  <c r="I67" i="1" s="1"/>
  <c r="I187" i="3"/>
  <c r="H67" i="1" s="1"/>
  <c r="R134" i="3"/>
  <c r="H187" i="3" s="1"/>
  <c r="G65" i="1" s="1"/>
  <c r="G67" i="1" s="1"/>
  <c r="K180" i="3"/>
  <c r="I59" i="1" s="1"/>
  <c r="I180" i="3"/>
  <c r="H59" i="1" s="1"/>
  <c r="H180" i="3"/>
  <c r="G59" i="1" s="1"/>
  <c r="G180" i="3"/>
  <c r="F59" i="1" s="1"/>
  <c r="F180" i="3"/>
  <c r="E59" i="1" s="1"/>
  <c r="K179" i="3"/>
  <c r="I58" i="1" s="1"/>
  <c r="I179" i="3"/>
  <c r="H58" i="1" s="1"/>
  <c r="G179" i="3"/>
  <c r="F58" i="1" s="1"/>
  <c r="F179" i="3"/>
  <c r="E58" i="1" s="1"/>
  <c r="K178" i="3"/>
  <c r="I178" i="3"/>
  <c r="K177" i="3"/>
  <c r="I56" i="1" s="1"/>
  <c r="I177" i="3"/>
  <c r="H56" i="1" s="1"/>
  <c r="H177" i="3"/>
  <c r="G56" i="1" s="1"/>
  <c r="G177" i="3"/>
  <c r="F56" i="1" s="1"/>
  <c r="F177" i="3"/>
  <c r="E56" i="1" s="1"/>
  <c r="K173" i="3"/>
  <c r="I52" i="1" s="1"/>
  <c r="I173" i="3"/>
  <c r="H52" i="1" s="1"/>
  <c r="H173" i="3"/>
  <c r="G52" i="1" s="1"/>
  <c r="G173" i="3"/>
  <c r="F52" i="1" s="1"/>
  <c r="F173" i="3"/>
  <c r="E52" i="1" s="1"/>
  <c r="R141" i="3"/>
  <c r="S140" i="3"/>
  <c r="S141" i="3" s="1"/>
  <c r="G187" i="3"/>
  <c r="F65" i="1" s="1"/>
  <c r="F67" i="1" s="1"/>
  <c r="H134" i="3"/>
  <c r="S133" i="3"/>
  <c r="I133" i="3"/>
  <c r="Q125" i="3"/>
  <c r="I125" i="3"/>
  <c r="G125" i="3"/>
  <c r="AC105" i="3"/>
  <c r="AB105" i="3"/>
  <c r="W105" i="3"/>
  <c r="R105" i="3"/>
  <c r="N104" i="3"/>
  <c r="I104" i="3"/>
  <c r="N103" i="3"/>
  <c r="I103" i="3"/>
  <c r="K176" i="3"/>
  <c r="S89" i="3"/>
  <c r="S105" i="3" s="1"/>
  <c r="Q105" i="3"/>
  <c r="H176" i="3" s="1"/>
  <c r="I80" i="3"/>
  <c r="AC74" i="3"/>
  <c r="AA74" i="3"/>
  <c r="V74" i="3"/>
  <c r="S74" i="3"/>
  <c r="Q74" i="3"/>
  <c r="G74" i="3"/>
  <c r="G81" i="3" s="1"/>
  <c r="AB71" i="3"/>
  <c r="W71" i="3"/>
  <c r="AC71" i="3"/>
  <c r="K174" i="3"/>
  <c r="I53" i="1" s="1"/>
  <c r="X71" i="3"/>
  <c r="V71" i="3"/>
  <c r="I174" i="3" s="1"/>
  <c r="H53" i="1" s="1"/>
  <c r="M71" i="3"/>
  <c r="L71" i="3"/>
  <c r="G174" i="3" s="1"/>
  <c r="F53" i="1" s="1"/>
  <c r="I57" i="3"/>
  <c r="I71" i="3" s="1"/>
  <c r="G71" i="3"/>
  <c r="F174" i="3" s="1"/>
  <c r="E53" i="1" s="1"/>
  <c r="S56" i="3"/>
  <c r="AB48" i="3"/>
  <c r="W48" i="3"/>
  <c r="M48" i="3"/>
  <c r="H48" i="3"/>
  <c r="AC48" i="3"/>
  <c r="X39" i="3"/>
  <c r="X48" i="3" s="1"/>
  <c r="R48" i="3"/>
  <c r="N39" i="3"/>
  <c r="I39" i="3"/>
  <c r="AB35" i="3"/>
  <c r="W35" i="3"/>
  <c r="S32" i="3"/>
  <c r="I32" i="3"/>
  <c r="R35" i="3"/>
  <c r="N25" i="3"/>
  <c r="I25" i="3"/>
  <c r="AC15" i="3"/>
  <c r="X15" i="3"/>
  <c r="N15" i="3"/>
  <c r="I15" i="3"/>
  <c r="F187" i="3" l="1"/>
  <c r="E65" i="1" s="1"/>
  <c r="E67" i="1" s="1"/>
  <c r="K186" i="3"/>
  <c r="I55" i="1"/>
  <c r="G55" i="1"/>
  <c r="N74" i="3"/>
  <c r="N81" i="3" s="1"/>
  <c r="M81" i="3"/>
  <c r="X74" i="3"/>
  <c r="X81" i="3" s="1"/>
  <c r="W81" i="3"/>
  <c r="W8" i="3" s="1"/>
  <c r="I74" i="3"/>
  <c r="H81" i="3"/>
  <c r="S81" i="3"/>
  <c r="L119" i="13"/>
  <c r="Q119" i="13" s="1"/>
  <c r="DD117" i="14"/>
  <c r="DI117" i="14" s="1"/>
  <c r="BF125" i="16"/>
  <c r="BK125" i="16" s="1"/>
  <c r="BH126" i="15"/>
  <c r="BM126" i="15" s="1"/>
  <c r="BH118" i="13"/>
  <c r="BM118" i="13" s="1"/>
  <c r="L126" i="15"/>
  <c r="Q126" i="15" s="1"/>
  <c r="AJ125" i="15"/>
  <c r="AO125" i="15" s="1"/>
  <c r="CF114" i="14"/>
  <c r="CK114" i="14" s="1"/>
  <c r="AI122" i="16"/>
  <c r="AN122" i="16" s="1"/>
  <c r="AJ119" i="13"/>
  <c r="AO119" i="13" s="1"/>
  <c r="L123" i="14"/>
  <c r="Q123" i="14" s="1"/>
  <c r="DD127" i="14"/>
  <c r="DI127" i="14" s="1"/>
  <c r="DD116" i="15"/>
  <c r="DI116" i="15" s="1"/>
  <c r="CC120" i="16"/>
  <c r="CH120" i="16" s="1"/>
  <c r="CF115" i="13"/>
  <c r="CK115" i="13" s="1"/>
  <c r="BH119" i="14"/>
  <c r="BM119" i="14" s="1"/>
  <c r="AJ123" i="15"/>
  <c r="AO123" i="15" s="1"/>
  <c r="L127" i="16"/>
  <c r="Q127" i="16" s="1"/>
  <c r="CZ121" i="16"/>
  <c r="DE121" i="16" s="1"/>
  <c r="AJ124" i="13"/>
  <c r="AO124" i="13" s="1"/>
  <c r="CF126" i="13"/>
  <c r="CK126" i="13" s="1"/>
  <c r="L128" i="14"/>
  <c r="Q128" i="14" s="1"/>
  <c r="CF115" i="14"/>
  <c r="CK115" i="14" s="1"/>
  <c r="L117" i="15"/>
  <c r="Q117" i="15" s="1"/>
  <c r="BH119" i="15"/>
  <c r="BM119" i="15" s="1"/>
  <c r="DD121" i="15"/>
  <c r="DI121" i="15" s="1"/>
  <c r="BF124" i="16"/>
  <c r="BK124" i="16" s="1"/>
  <c r="CZ126" i="16"/>
  <c r="DE126" i="16" s="1"/>
  <c r="BH115" i="13"/>
  <c r="BM115" i="13" s="1"/>
  <c r="DD117" i="13"/>
  <c r="DI117" i="13" s="1"/>
  <c r="AJ119" i="14"/>
  <c r="AO119" i="14" s="1"/>
  <c r="BH120" i="14"/>
  <c r="BM120" i="14" s="1"/>
  <c r="DD122" i="14"/>
  <c r="DI122" i="14" s="1"/>
  <c r="AJ124" i="15"/>
  <c r="AO124" i="15" s="1"/>
  <c r="CF126" i="15"/>
  <c r="CK126" i="15" s="1"/>
  <c r="L128" i="16"/>
  <c r="Q128" i="16" s="1"/>
  <c r="BF114" i="16"/>
  <c r="BK114" i="16" s="1"/>
  <c r="CC115" i="16"/>
  <c r="CH115" i="16" s="1"/>
  <c r="AJ125" i="13"/>
  <c r="AO125" i="13" s="1"/>
  <c r="L118" i="15"/>
  <c r="Q118" i="15" s="1"/>
  <c r="L114" i="13"/>
  <c r="Q114" i="13" s="1"/>
  <c r="CF127" i="15"/>
  <c r="CK127" i="15" s="1"/>
  <c r="CF119" i="13"/>
  <c r="CK119" i="13" s="1"/>
  <c r="AJ127" i="15"/>
  <c r="AO127" i="15" s="1"/>
  <c r="L121" i="13"/>
  <c r="Q121" i="13" s="1"/>
  <c r="CF119" i="15"/>
  <c r="CK119" i="15" s="1"/>
  <c r="CZ119" i="16"/>
  <c r="DE119" i="16" s="1"/>
  <c r="DD114" i="13"/>
  <c r="DI114" i="13" s="1"/>
  <c r="CF118" i="14"/>
  <c r="CK118" i="14" s="1"/>
  <c r="BH122" i="15"/>
  <c r="BM122" i="15" s="1"/>
  <c r="AI126" i="16"/>
  <c r="AN126" i="16" s="1"/>
  <c r="AJ121" i="13"/>
  <c r="AO121" i="13" s="1"/>
  <c r="L125" i="14"/>
  <c r="Q125" i="14" s="1"/>
  <c r="L114" i="15"/>
  <c r="Q114" i="15" s="1"/>
  <c r="BH116" i="15"/>
  <c r="BM116" i="15" s="1"/>
  <c r="AI120" i="16"/>
  <c r="AN120" i="16" s="1"/>
  <c r="CC122" i="16"/>
  <c r="CH122" i="16" s="1"/>
  <c r="CZ125" i="16"/>
  <c r="DE125" i="16" s="1"/>
  <c r="L116" i="13"/>
  <c r="Q116" i="13" s="1"/>
  <c r="AJ128" i="13"/>
  <c r="AO128" i="13" s="1"/>
  <c r="CF114" i="13"/>
  <c r="CK114" i="13" s="1"/>
  <c r="DD115" i="13"/>
  <c r="DI115" i="13" s="1"/>
  <c r="AJ117" i="14"/>
  <c r="AO117" i="14" s="1"/>
  <c r="BH118" i="14"/>
  <c r="BM118" i="14" s="1"/>
  <c r="CF119" i="14"/>
  <c r="CK119" i="14" s="1"/>
  <c r="DD120" i="14"/>
  <c r="DI120" i="14" s="1"/>
  <c r="L121" i="15"/>
  <c r="Q121" i="15" s="1"/>
  <c r="AJ122" i="15"/>
  <c r="AO122" i="15" s="1"/>
  <c r="BH123" i="15"/>
  <c r="BM123" i="15" s="1"/>
  <c r="CF124" i="15"/>
  <c r="CK124" i="15" s="1"/>
  <c r="DD125" i="15"/>
  <c r="DI125" i="15" s="1"/>
  <c r="L126" i="16"/>
  <c r="Q126" i="16" s="1"/>
  <c r="AI127" i="16"/>
  <c r="AN127" i="16" s="1"/>
  <c r="BF128" i="16"/>
  <c r="BK128" i="16" s="1"/>
  <c r="CZ114" i="16"/>
  <c r="DE114" i="16" s="1"/>
  <c r="L126" i="13"/>
  <c r="Q126" i="13" s="1"/>
  <c r="AJ118" i="13"/>
  <c r="AO118" i="13" s="1"/>
  <c r="BH119" i="13"/>
  <c r="BM119" i="13" s="1"/>
  <c r="CF120" i="13"/>
  <c r="CK120" i="13" s="1"/>
  <c r="DD121" i="13"/>
  <c r="DI121" i="13" s="1"/>
  <c r="L122" i="14"/>
  <c r="Q122" i="14" s="1"/>
  <c r="AJ123" i="14"/>
  <c r="AO123" i="14" s="1"/>
  <c r="BH124" i="14"/>
  <c r="BM124" i="14" s="1"/>
  <c r="CF125" i="14"/>
  <c r="CK125" i="14" s="1"/>
  <c r="DD126" i="14"/>
  <c r="DI126" i="14" s="1"/>
  <c r="L127" i="15"/>
  <c r="Q127" i="15" s="1"/>
  <c r="AJ128" i="15"/>
  <c r="AO128" i="15" s="1"/>
  <c r="CF114" i="15"/>
  <c r="CK114" i="15" s="1"/>
  <c r="DD115" i="15"/>
  <c r="DI115" i="15" s="1"/>
  <c r="L116" i="16"/>
  <c r="Q116" i="16" s="1"/>
  <c r="AI117" i="16"/>
  <c r="AN117" i="16" s="1"/>
  <c r="BF118" i="16"/>
  <c r="BK118" i="16" s="1"/>
  <c r="CC119" i="16"/>
  <c r="CH119" i="16" s="1"/>
  <c r="CZ120" i="16"/>
  <c r="DE120" i="16" s="1"/>
  <c r="BH126" i="13"/>
  <c r="BM126" i="13" s="1"/>
  <c r="BH115" i="14"/>
  <c r="BM115" i="14" s="1"/>
  <c r="AJ119" i="15"/>
  <c r="AO119" i="15" s="1"/>
  <c r="L123" i="16"/>
  <c r="Q123" i="16" s="1"/>
  <c r="AJ115" i="13"/>
  <c r="AO115" i="13" s="1"/>
  <c r="L119" i="14"/>
  <c r="Q119" i="14" s="1"/>
  <c r="DD123" i="14"/>
  <c r="DI123" i="14" s="1"/>
  <c r="DD128" i="15"/>
  <c r="DI128" i="15" s="1"/>
  <c r="L127" i="13"/>
  <c r="Q127" i="13" s="1"/>
  <c r="DD120" i="13"/>
  <c r="DI120" i="13" s="1"/>
  <c r="CF124" i="14"/>
  <c r="CK124" i="14" s="1"/>
  <c r="BH128" i="15"/>
  <c r="BM128" i="15" s="1"/>
  <c r="BF117" i="16"/>
  <c r="BK117" i="16" s="1"/>
  <c r="AJ123" i="13"/>
  <c r="AO123" i="13" s="1"/>
  <c r="L127" i="14"/>
  <c r="Q127" i="14" s="1"/>
  <c r="L116" i="15"/>
  <c r="Q116" i="15" s="1"/>
  <c r="DD120" i="15"/>
  <c r="DI120" i="15" s="1"/>
  <c r="CZ117" i="16"/>
  <c r="DE117" i="16" s="1"/>
  <c r="L125" i="13"/>
  <c r="Q125" i="13" s="1"/>
  <c r="BH120" i="13"/>
  <c r="BM120" i="13" s="1"/>
  <c r="DD122" i="13"/>
  <c r="DI122" i="13" s="1"/>
  <c r="AJ124" i="14"/>
  <c r="AO124" i="14" s="1"/>
  <c r="CF126" i="14"/>
  <c r="CK126" i="14" s="1"/>
  <c r="L128" i="15"/>
  <c r="Q128" i="15" s="1"/>
  <c r="CF115" i="15"/>
  <c r="CK115" i="15" s="1"/>
  <c r="L117" i="16"/>
  <c r="Q117" i="16" s="1"/>
  <c r="BF119" i="16"/>
  <c r="BK119" i="16" s="1"/>
  <c r="CZ123" i="16"/>
  <c r="DE123" i="16" s="1"/>
  <c r="BH114" i="13"/>
  <c r="BM114" i="13" s="1"/>
  <c r="DD116" i="13"/>
  <c r="DI116" i="13" s="1"/>
  <c r="AJ118" i="14"/>
  <c r="AO118" i="14" s="1"/>
  <c r="CF120" i="14"/>
  <c r="CK120" i="14" s="1"/>
  <c r="L122" i="15"/>
  <c r="Q122" i="15" s="1"/>
  <c r="BH124" i="15"/>
  <c r="BM124" i="15" s="1"/>
  <c r="DD126" i="15"/>
  <c r="DI126" i="15" s="1"/>
  <c r="AI128" i="16"/>
  <c r="AN128" i="16" s="1"/>
  <c r="CZ115" i="16"/>
  <c r="DE115" i="16" s="1"/>
  <c r="L128" i="13"/>
  <c r="Q128" i="13" s="1"/>
  <c r="AJ116" i="13"/>
  <c r="AO116" i="13" s="1"/>
  <c r="BH117" i="13"/>
  <c r="BM117" i="13" s="1"/>
  <c r="CF118" i="13"/>
  <c r="CK118" i="13" s="1"/>
  <c r="DD119" i="13"/>
  <c r="DI119" i="13" s="1"/>
  <c r="L120" i="14"/>
  <c r="Q120" i="14" s="1"/>
  <c r="AJ121" i="14"/>
  <c r="AO121" i="14" s="1"/>
  <c r="BH122" i="14"/>
  <c r="BM122" i="14" s="1"/>
  <c r="CF123" i="14"/>
  <c r="CK123" i="14" s="1"/>
  <c r="DD124" i="14"/>
  <c r="DI124" i="14" s="1"/>
  <c r="L125" i="15"/>
  <c r="Q125" i="15" s="1"/>
  <c r="AJ126" i="15"/>
  <c r="AO126" i="15" s="1"/>
  <c r="BH127" i="15"/>
  <c r="BM127" i="15" s="1"/>
  <c r="CF128" i="15"/>
  <c r="CK128" i="15" s="1"/>
  <c r="L114" i="16"/>
  <c r="Q114" i="16" s="1"/>
  <c r="AI115" i="16"/>
  <c r="AN115" i="16" s="1"/>
  <c r="BF116" i="16"/>
  <c r="BK116" i="16" s="1"/>
  <c r="CC117" i="16"/>
  <c r="CH117" i="16" s="1"/>
  <c r="CZ118" i="16"/>
  <c r="DE118" i="16" s="1"/>
  <c r="L122" i="13"/>
  <c r="Q122" i="13" s="1"/>
  <c r="AJ122" i="13"/>
  <c r="AO122" i="13" s="1"/>
  <c r="BH123" i="13"/>
  <c r="BM123" i="13" s="1"/>
  <c r="CF124" i="13"/>
  <c r="CK124" i="13" s="1"/>
  <c r="DD125" i="13"/>
  <c r="DI125" i="13" s="1"/>
  <c r="L126" i="14"/>
  <c r="Q126" i="14" s="1"/>
  <c r="AJ127" i="14"/>
  <c r="AO127" i="14" s="1"/>
  <c r="BH128" i="14"/>
  <c r="BM128" i="14" s="1"/>
  <c r="DD114" i="14"/>
  <c r="DI114" i="14" s="1"/>
  <c r="L115" i="15"/>
  <c r="Q115" i="15" s="1"/>
  <c r="AJ116" i="15"/>
  <c r="AO116" i="15" s="1"/>
  <c r="BH117" i="15"/>
  <c r="BM117" i="15" s="1"/>
  <c r="CF118" i="15"/>
  <c r="CK118" i="15" s="1"/>
  <c r="DD119" i="15"/>
  <c r="DI119" i="15" s="1"/>
  <c r="L120" i="16"/>
  <c r="Q120" i="16" s="1"/>
  <c r="AI121" i="16"/>
  <c r="AN121" i="16" s="1"/>
  <c r="BF122" i="16"/>
  <c r="BK122" i="16" s="1"/>
  <c r="CC123" i="16"/>
  <c r="CH123" i="16" s="1"/>
  <c r="CZ124" i="16"/>
  <c r="DE124" i="16" s="1"/>
  <c r="DD128" i="13"/>
  <c r="DI128" i="13" s="1"/>
  <c r="CF121" i="15"/>
  <c r="CK121" i="15" s="1"/>
  <c r="CF117" i="13"/>
  <c r="CK117" i="13" s="1"/>
  <c r="BH121" i="14"/>
  <c r="BM121" i="14" s="1"/>
  <c r="BF115" i="16"/>
  <c r="BK115" i="16" s="1"/>
  <c r="AJ122" i="14"/>
  <c r="AO122" i="14" s="1"/>
  <c r="L115" i="16"/>
  <c r="Q115" i="16" s="1"/>
  <c r="CF125" i="13"/>
  <c r="CK125" i="13" s="1"/>
  <c r="BH118" i="15"/>
  <c r="BM118" i="15" s="1"/>
  <c r="CC126" i="16"/>
  <c r="CH126" i="16" s="1"/>
  <c r="CF121" i="13"/>
  <c r="CK121" i="13" s="1"/>
  <c r="BH125" i="14"/>
  <c r="BM125" i="14" s="1"/>
  <c r="BH114" i="15"/>
  <c r="BM114" i="15" s="1"/>
  <c r="AI118" i="16"/>
  <c r="AN118" i="16" s="1"/>
  <c r="L115" i="13"/>
  <c r="Q115" i="13" s="1"/>
  <c r="L117" i="14"/>
  <c r="Q117" i="14" s="1"/>
  <c r="DD121" i="14"/>
  <c r="DI121" i="14" s="1"/>
  <c r="CF125" i="15"/>
  <c r="CK125" i="15" s="1"/>
  <c r="CC114" i="16"/>
  <c r="CH114" i="16" s="1"/>
  <c r="L120" i="13"/>
  <c r="Q120" i="13" s="1"/>
  <c r="BH125" i="13"/>
  <c r="BM125" i="13" s="1"/>
  <c r="DD127" i="13"/>
  <c r="DI127" i="13" s="1"/>
  <c r="BH114" i="14"/>
  <c r="BM114" i="14" s="1"/>
  <c r="DD116" i="14"/>
  <c r="DI116" i="14" s="1"/>
  <c r="AJ118" i="15"/>
  <c r="AO118" i="15" s="1"/>
  <c r="CF120" i="15"/>
  <c r="CK120" i="15" s="1"/>
  <c r="L122" i="16"/>
  <c r="Q122" i="16" s="1"/>
  <c r="AI123" i="16"/>
  <c r="AN123" i="16" s="1"/>
  <c r="CC125" i="16"/>
  <c r="CH125" i="16" s="1"/>
  <c r="AJ114" i="13"/>
  <c r="AO114" i="13" s="1"/>
  <c r="CF116" i="13"/>
  <c r="CK116" i="13" s="1"/>
  <c r="L118" i="14"/>
  <c r="Q118" i="14" s="1"/>
  <c r="CF121" i="14"/>
  <c r="CK121" i="14" s="1"/>
  <c r="L123" i="15"/>
  <c r="Q123" i="15" s="1"/>
  <c r="BH125" i="15"/>
  <c r="BM125" i="15" s="1"/>
  <c r="DD127" i="15"/>
  <c r="DI127" i="15" s="1"/>
  <c r="CZ116" i="16"/>
  <c r="DE116" i="16" s="1"/>
  <c r="AJ114" i="14"/>
  <c r="AO114" i="14" s="1"/>
  <c r="DD122" i="15"/>
  <c r="DI122" i="15" s="1"/>
  <c r="DD118" i="13"/>
  <c r="DI118" i="13" s="1"/>
  <c r="CF122" i="14"/>
  <c r="CK122" i="14" s="1"/>
  <c r="CC116" i="16"/>
  <c r="CH116" i="16" s="1"/>
  <c r="BH123" i="14"/>
  <c r="BM123" i="14" s="1"/>
  <c r="AI116" i="16"/>
  <c r="AN116" i="16" s="1"/>
  <c r="DD126" i="13"/>
  <c r="DI126" i="13" s="1"/>
  <c r="DD115" i="14"/>
  <c r="DI115" i="14" s="1"/>
  <c r="BF123" i="16"/>
  <c r="BK123" i="16" s="1"/>
  <c r="AJ127" i="13"/>
  <c r="AO127" i="13" s="1"/>
  <c r="AJ116" i="14"/>
  <c r="AO116" i="14" s="1"/>
  <c r="L120" i="15"/>
  <c r="Q120" i="15" s="1"/>
  <c r="DD124" i="15"/>
  <c r="DI124" i="15" s="1"/>
  <c r="CC128" i="16"/>
  <c r="CH128" i="16" s="1"/>
  <c r="CF123" i="13"/>
  <c r="CK123" i="13" s="1"/>
  <c r="BH127" i="14"/>
  <c r="BM127" i="14" s="1"/>
  <c r="DD118" i="15"/>
  <c r="DI118" i="15" s="1"/>
  <c r="L116" i="14"/>
  <c r="Q116" i="14" s="1"/>
  <c r="CF127" i="13"/>
  <c r="CK127" i="13" s="1"/>
  <c r="CF116" i="14"/>
  <c r="CK116" i="14" s="1"/>
  <c r="BH120" i="15"/>
  <c r="BM120" i="15" s="1"/>
  <c r="AI124" i="16"/>
  <c r="AN124" i="16" s="1"/>
  <c r="BH116" i="13"/>
  <c r="BM116" i="13" s="1"/>
  <c r="AJ120" i="14"/>
  <c r="AO120" i="14" s="1"/>
  <c r="L124" i="15"/>
  <c r="Q124" i="15" s="1"/>
  <c r="AI114" i="16"/>
  <c r="AN114" i="16" s="1"/>
  <c r="AJ117" i="13"/>
  <c r="AO117" i="13" s="1"/>
  <c r="L121" i="14"/>
  <c r="Q121" i="14" s="1"/>
  <c r="DD125" i="14"/>
  <c r="DI125" i="14" s="1"/>
  <c r="DD114" i="15"/>
  <c r="DI114" i="15" s="1"/>
  <c r="CC124" i="16"/>
  <c r="CH124" i="16" s="1"/>
  <c r="BH124" i="13"/>
  <c r="BM124" i="13" s="1"/>
  <c r="AJ128" i="14"/>
  <c r="AO128" i="14" s="1"/>
  <c r="AJ117" i="15"/>
  <c r="AO117" i="15" s="1"/>
  <c r="L121" i="16"/>
  <c r="Q121" i="16" s="1"/>
  <c r="CC118" i="16"/>
  <c r="CH118" i="16" s="1"/>
  <c r="L117" i="13"/>
  <c r="Q117" i="13" s="1"/>
  <c r="BH128" i="13"/>
  <c r="BM128" i="13" s="1"/>
  <c r="L115" i="14"/>
  <c r="Q115" i="14" s="1"/>
  <c r="BH117" i="14"/>
  <c r="BM117" i="14" s="1"/>
  <c r="DD119" i="14"/>
  <c r="DI119" i="14" s="1"/>
  <c r="AJ121" i="15"/>
  <c r="AO121" i="15" s="1"/>
  <c r="CF123" i="15"/>
  <c r="CK123" i="15" s="1"/>
  <c r="L125" i="16"/>
  <c r="Q125" i="16" s="1"/>
  <c r="BF127" i="16"/>
  <c r="BK127" i="16" s="1"/>
  <c r="L123" i="13"/>
  <c r="Q123" i="13" s="1"/>
  <c r="BH122" i="13"/>
  <c r="BM122" i="13" s="1"/>
  <c r="DD124" i="13"/>
  <c r="DI124" i="13" s="1"/>
  <c r="AJ126" i="14"/>
  <c r="AO126" i="14" s="1"/>
  <c r="CF128" i="14"/>
  <c r="CK128" i="14" s="1"/>
  <c r="AJ115" i="15"/>
  <c r="AO115" i="15" s="1"/>
  <c r="CF117" i="15"/>
  <c r="CK117" i="15" s="1"/>
  <c r="L119" i="16"/>
  <c r="Q119" i="16" s="1"/>
  <c r="BF121" i="16"/>
  <c r="BK121" i="16" s="1"/>
  <c r="CZ127" i="16"/>
  <c r="DE127" i="16" s="1"/>
  <c r="L124" i="13"/>
  <c r="Q124" i="13" s="1"/>
  <c r="AJ120" i="13"/>
  <c r="AO120" i="13" s="1"/>
  <c r="BH121" i="13"/>
  <c r="BM121" i="13" s="1"/>
  <c r="CF122" i="13"/>
  <c r="CK122" i="13" s="1"/>
  <c r="DD123" i="13"/>
  <c r="DI123" i="13" s="1"/>
  <c r="L124" i="14"/>
  <c r="Q124" i="14" s="1"/>
  <c r="AJ125" i="14"/>
  <c r="AO125" i="14" s="1"/>
  <c r="BH126" i="14"/>
  <c r="BM126" i="14" s="1"/>
  <c r="CF127" i="14"/>
  <c r="CK127" i="14" s="1"/>
  <c r="DD128" i="14"/>
  <c r="DI128" i="14" s="1"/>
  <c r="AJ114" i="15"/>
  <c r="AO114" i="15" s="1"/>
  <c r="BH115" i="15"/>
  <c r="BM115" i="15" s="1"/>
  <c r="CF116" i="15"/>
  <c r="CK116" i="15" s="1"/>
  <c r="DD117" i="15"/>
  <c r="DI117" i="15" s="1"/>
  <c r="L118" i="16"/>
  <c r="Q118" i="16" s="1"/>
  <c r="AI119" i="16"/>
  <c r="AN119" i="16" s="1"/>
  <c r="BF120" i="16"/>
  <c r="BK120" i="16" s="1"/>
  <c r="CC121" i="16"/>
  <c r="CH121" i="16" s="1"/>
  <c r="CZ122" i="16"/>
  <c r="DE122" i="16" s="1"/>
  <c r="L118" i="13"/>
  <c r="Q118" i="13" s="1"/>
  <c r="AJ126" i="13"/>
  <c r="AO126" i="13" s="1"/>
  <c r="BH127" i="13"/>
  <c r="BM127" i="13" s="1"/>
  <c r="CF128" i="13"/>
  <c r="CK128" i="13" s="1"/>
  <c r="L114" i="14"/>
  <c r="Q114" i="14" s="1"/>
  <c r="AJ115" i="14"/>
  <c r="AO115" i="14" s="1"/>
  <c r="BH116" i="14"/>
  <c r="BM116" i="14" s="1"/>
  <c r="CF117" i="14"/>
  <c r="CK117" i="14" s="1"/>
  <c r="DD118" i="14"/>
  <c r="DI118" i="14" s="1"/>
  <c r="L119" i="15"/>
  <c r="Q119" i="15" s="1"/>
  <c r="AJ120" i="15"/>
  <c r="AO120" i="15" s="1"/>
  <c r="BH121" i="15"/>
  <c r="BM121" i="15" s="1"/>
  <c r="CF122" i="15"/>
  <c r="CK122" i="15" s="1"/>
  <c r="DD123" i="15"/>
  <c r="DI123" i="15" s="1"/>
  <c r="L124" i="16"/>
  <c r="Q124" i="16" s="1"/>
  <c r="AI125" i="16"/>
  <c r="AN125" i="16" s="1"/>
  <c r="BF126" i="16"/>
  <c r="BK126" i="16" s="1"/>
  <c r="CC127" i="16"/>
  <c r="CH127" i="16" s="1"/>
  <c r="CZ128" i="16"/>
  <c r="DE128" i="16" s="1"/>
  <c r="H172" i="3"/>
  <c r="G51" i="1" s="1"/>
  <c r="AA48" i="3"/>
  <c r="K172" i="3" s="1"/>
  <c r="I51" i="1" s="1"/>
  <c r="G39" i="3"/>
  <c r="G48" i="3" s="1"/>
  <c r="V39" i="3"/>
  <c r="V48" i="3" s="1"/>
  <c r="I172" i="3" s="1"/>
  <c r="H51" i="1" s="1"/>
  <c r="L39" i="3"/>
  <c r="L48" i="3" s="1"/>
  <c r="G172" i="3" s="1"/>
  <c r="F51" i="1" s="1"/>
  <c r="Q140" i="3"/>
  <c r="Q141" i="3" s="1"/>
  <c r="H179" i="3" s="1"/>
  <c r="G58" i="1" s="1"/>
  <c r="L74" i="3"/>
  <c r="W44" i="10"/>
  <c r="AB44" i="10" s="1"/>
  <c r="W52" i="10"/>
  <c r="AB52" i="10" s="1"/>
  <c r="W54" i="10"/>
  <c r="AB54" i="10" s="1"/>
  <c r="W47" i="10"/>
  <c r="AB47" i="10" s="1"/>
  <c r="W45" i="10"/>
  <c r="AB45" i="10" s="1"/>
  <c r="W53" i="10"/>
  <c r="AB53" i="10" s="1"/>
  <c r="W46" i="10"/>
  <c r="AB46" i="10" s="1"/>
  <c r="W40" i="10"/>
  <c r="AB40" i="10" s="1"/>
  <c r="W48" i="10"/>
  <c r="AB48" i="10" s="1"/>
  <c r="W42" i="10"/>
  <c r="AB42" i="10" s="1"/>
  <c r="W50" i="10"/>
  <c r="AB50" i="10" s="1"/>
  <c r="W41" i="10"/>
  <c r="AB41" i="10" s="1"/>
  <c r="W49" i="10"/>
  <c r="AB49" i="10" s="1"/>
  <c r="W43" i="10"/>
  <c r="AB43" i="10" s="1"/>
  <c r="W51" i="10"/>
  <c r="AB51" i="10" s="1"/>
  <c r="G178" i="3"/>
  <c r="G184" i="3" s="1"/>
  <c r="H105" i="3"/>
  <c r="Q71" i="3"/>
  <c r="H174" i="3" s="1"/>
  <c r="G53" i="1" s="1"/>
  <c r="Q134" i="3"/>
  <c r="H178" i="3" s="1"/>
  <c r="G57" i="1" s="1"/>
  <c r="AA35" i="3"/>
  <c r="K171" i="3" s="1"/>
  <c r="I50" i="1" s="1"/>
  <c r="AB8" i="3"/>
  <c r="I184" i="3"/>
  <c r="H75" i="1" s="1"/>
  <c r="H57" i="1"/>
  <c r="K184" i="3"/>
  <c r="I75" i="1" s="1"/>
  <c r="I57" i="1"/>
  <c r="G35" i="3"/>
  <c r="F171" i="3" s="1"/>
  <c r="E50" i="1" s="1"/>
  <c r="S35" i="3"/>
  <c r="G105" i="3"/>
  <c r="F176" i="3" s="1"/>
  <c r="AA81" i="3"/>
  <c r="I81" i="3"/>
  <c r="AC81" i="3"/>
  <c r="M105" i="3"/>
  <c r="I64" i="1"/>
  <c r="I66" i="1" s="1"/>
  <c r="I68" i="1" s="1"/>
  <c r="Q35" i="3"/>
  <c r="H171" i="3" s="1"/>
  <c r="G50" i="1" s="1"/>
  <c r="L35" i="3"/>
  <c r="G171" i="3" s="1"/>
  <c r="F50" i="1" s="1"/>
  <c r="N48" i="3"/>
  <c r="S71" i="3"/>
  <c r="V81" i="3"/>
  <c r="R81" i="3"/>
  <c r="V105" i="3"/>
  <c r="N57" i="3"/>
  <c r="N71" i="3" s="1"/>
  <c r="X105" i="3"/>
  <c r="G134" i="3"/>
  <c r="F178" i="3" s="1"/>
  <c r="AC35" i="3"/>
  <c r="L105" i="3"/>
  <c r="G176" i="3" s="1"/>
  <c r="I35" i="3"/>
  <c r="X35" i="3"/>
  <c r="R71" i="3"/>
  <c r="Q81" i="3"/>
  <c r="N105" i="3"/>
  <c r="I134" i="3"/>
  <c r="V35" i="3"/>
  <c r="I171" i="3" s="1"/>
  <c r="S125" i="3"/>
  <c r="S134" i="3" s="1"/>
  <c r="N35" i="3"/>
  <c r="S48" i="3"/>
  <c r="I48" i="3"/>
  <c r="H71" i="3"/>
  <c r="F186" i="3" s="1"/>
  <c r="M35" i="3"/>
  <c r="I84" i="3"/>
  <c r="I105" i="3" s="1"/>
  <c r="G186" i="3" l="1"/>
  <c r="F64" i="1" s="1"/>
  <c r="F66" i="1" s="1"/>
  <c r="F68" i="1" s="1"/>
  <c r="H186" i="3"/>
  <c r="G64" i="1" s="1"/>
  <c r="G66" i="1" s="1"/>
  <c r="G68" i="1" s="1"/>
  <c r="I186" i="3"/>
  <c r="H64" i="1" s="1"/>
  <c r="H66" i="1" s="1"/>
  <c r="H68" i="1" s="1"/>
  <c r="H50" i="1"/>
  <c r="F55" i="1"/>
  <c r="E55" i="1"/>
  <c r="L81" i="3"/>
  <c r="G175" i="3" s="1"/>
  <c r="F172" i="3"/>
  <c r="E51" i="1" s="1"/>
  <c r="F61" i="1"/>
  <c r="F75" i="1" s="1"/>
  <c r="F28" i="8" s="1"/>
  <c r="H8" i="3"/>
  <c r="R8" i="3"/>
  <c r="X51" i="10"/>
  <c r="X53" i="10"/>
  <c r="X49" i="10"/>
  <c r="X50" i="10"/>
  <c r="X47" i="10"/>
  <c r="X43" i="10"/>
  <c r="X45" i="10"/>
  <c r="X54" i="10"/>
  <c r="X48" i="10"/>
  <c r="X52" i="10"/>
  <c r="X46" i="10"/>
  <c r="X41" i="10"/>
  <c r="X42" i="10"/>
  <c r="X40" i="10"/>
  <c r="X44" i="10"/>
  <c r="F57" i="1"/>
  <c r="H184" i="3"/>
  <c r="I176" i="3"/>
  <c r="H55" i="1" s="1"/>
  <c r="W10" i="3"/>
  <c r="M8" i="3"/>
  <c r="F184" i="3"/>
  <c r="E57" i="1"/>
  <c r="I175" i="3"/>
  <c r="F175" i="3"/>
  <c r="E54" i="1" s="1"/>
  <c r="H10" i="3"/>
  <c r="H175" i="3"/>
  <c r="R10" i="3"/>
  <c r="K175" i="3"/>
  <c r="AB10" i="3"/>
  <c r="AB9" i="3"/>
  <c r="W9" i="3"/>
  <c r="M9" i="3"/>
  <c r="R9" i="3"/>
  <c r="H9" i="3"/>
  <c r="E64" i="1"/>
  <c r="E66" i="1" s="1"/>
  <c r="E68" i="1" s="1"/>
  <c r="AC42" i="10" l="1"/>
  <c r="E64" i="22" s="1"/>
  <c r="Q10" i="23" s="1"/>
  <c r="AC47" i="10"/>
  <c r="E69" i="22" s="1"/>
  <c r="Q15" i="23" s="1"/>
  <c r="AC41" i="10"/>
  <c r="E63" i="22" s="1"/>
  <c r="Q9" i="23" s="1"/>
  <c r="AC50" i="10"/>
  <c r="E72" i="22" s="1"/>
  <c r="Q18" i="23" s="1"/>
  <c r="AC46" i="10"/>
  <c r="E68" i="22" s="1"/>
  <c r="Q14" i="23" s="1"/>
  <c r="AC49" i="10"/>
  <c r="E71" i="22" s="1"/>
  <c r="Q17" i="23" s="1"/>
  <c r="AC52" i="10"/>
  <c r="E74" i="22" s="1"/>
  <c r="Q20" i="23" s="1"/>
  <c r="AC53" i="10"/>
  <c r="E75" i="22" s="1"/>
  <c r="Q21" i="23" s="1"/>
  <c r="AC48" i="10"/>
  <c r="E70" i="22" s="1"/>
  <c r="Q16" i="23" s="1"/>
  <c r="AC51" i="10"/>
  <c r="E73" i="22" s="1"/>
  <c r="Q19" i="23" s="1"/>
  <c r="AC54" i="10"/>
  <c r="E76" i="22" s="1"/>
  <c r="Q22" i="23" s="1"/>
  <c r="AC44" i="10"/>
  <c r="E66" i="22" s="1"/>
  <c r="Q12" i="23" s="1"/>
  <c r="AC45" i="10"/>
  <c r="E67" i="22" s="1"/>
  <c r="Q13" i="23" s="1"/>
  <c r="AC40" i="10"/>
  <c r="E62" i="22" s="1"/>
  <c r="Q8" i="23" s="1"/>
  <c r="AC43" i="10"/>
  <c r="E65" i="22" s="1"/>
  <c r="Q11" i="23" s="1"/>
  <c r="H183" i="3"/>
  <c r="G60" i="1" s="1"/>
  <c r="G54" i="1"/>
  <c r="I181" i="3"/>
  <c r="H54" i="1"/>
  <c r="K183" i="3"/>
  <c r="I60" i="1" s="1"/>
  <c r="I54" i="1"/>
  <c r="G183" i="3"/>
  <c r="F60" i="1" s="1"/>
  <c r="F62" i="1" s="1"/>
  <c r="F54" i="1"/>
  <c r="M10" i="3"/>
  <c r="M11" i="3" s="1"/>
  <c r="F183" i="3"/>
  <c r="E60" i="1" s="1"/>
  <c r="E74" i="1" s="1"/>
  <c r="E27" i="8" s="1"/>
  <c r="K181" i="3"/>
  <c r="H181" i="3"/>
  <c r="I183" i="3"/>
  <c r="H60" i="1" s="1"/>
  <c r="G181" i="3"/>
  <c r="F181" i="3"/>
  <c r="G61" i="1"/>
  <c r="G75" i="1" s="1"/>
  <c r="G28" i="8" s="1"/>
  <c r="E61" i="1"/>
  <c r="E75" i="1" s="1"/>
  <c r="E28" i="8" s="1"/>
  <c r="W11" i="3"/>
  <c r="R11" i="3"/>
  <c r="H11" i="3"/>
  <c r="AB11" i="3"/>
  <c r="F74" i="1" l="1"/>
  <c r="F27" i="8" s="1"/>
  <c r="E62" i="1"/>
  <c r="G73" i="1"/>
  <c r="G26" i="8" s="1"/>
  <c r="H62" i="1"/>
  <c r="H74" i="1"/>
  <c r="H27" i="8" s="1"/>
  <c r="I62" i="1"/>
  <c r="I74" i="1"/>
  <c r="I27" i="8" s="1"/>
  <c r="G62" i="1"/>
  <c r="G74" i="1"/>
  <c r="G27" i="8" s="1"/>
  <c r="H16" i="8"/>
  <c r="G19" i="1"/>
  <c r="G14" i="8" s="1"/>
  <c r="F19" i="1"/>
  <c r="F14" i="8" s="1"/>
  <c r="E19" i="1"/>
  <c r="E14" i="8" s="1"/>
  <c r="E72" i="1"/>
  <c r="E25" i="8" s="1"/>
  <c r="H45" i="1"/>
  <c r="F76" i="1" l="1"/>
  <c r="F29" i="8" s="1"/>
  <c r="F72" i="1"/>
  <c r="F25" i="8" s="1"/>
  <c r="I45" i="1"/>
  <c r="I22" i="8" s="1"/>
  <c r="I80" i="1"/>
  <c r="I37" i="8" s="1"/>
  <c r="H80" i="1"/>
  <c r="H37" i="8" s="1"/>
  <c r="H82" i="1"/>
  <c r="H39" i="8" s="1"/>
  <c r="I76" i="1"/>
  <c r="H76" i="1"/>
  <c r="G76" i="1"/>
  <c r="G72" i="1"/>
  <c r="G25" i="8" s="1"/>
  <c r="I72" i="1"/>
  <c r="I25" i="8" s="1"/>
  <c r="E22" i="1"/>
  <c r="E17" i="8" s="1"/>
  <c r="E73" i="1"/>
  <c r="E26" i="8" s="1"/>
  <c r="F73" i="1"/>
  <c r="F26" i="8" s="1"/>
  <c r="H72" i="1"/>
  <c r="H25" i="8" s="1"/>
  <c r="F17" i="8"/>
  <c r="G22" i="1"/>
  <c r="G17" i="8" s="1"/>
  <c r="E42" i="1"/>
  <c r="E45" i="1" s="1"/>
  <c r="F42" i="1"/>
  <c r="F46" i="1" s="1"/>
  <c r="F23" i="8" s="1"/>
  <c r="E76" i="1"/>
  <c r="E20" i="1"/>
  <c r="E15" i="8" s="1"/>
  <c r="G42" i="1"/>
  <c r="G46" i="1" s="1"/>
  <c r="G23" i="8" s="1"/>
  <c r="G20" i="1"/>
  <c r="I19" i="1"/>
  <c r="I14" i="8" s="1"/>
  <c r="H19" i="1"/>
  <c r="H14" i="8" s="1"/>
  <c r="G21" i="1"/>
  <c r="G16" i="8" s="1"/>
  <c r="F21" i="1"/>
  <c r="H18" i="8"/>
  <c r="G28" i="18" s="1"/>
  <c r="I18" i="8"/>
  <c r="H28" i="18" s="1"/>
  <c r="E21" i="1"/>
  <c r="E16" i="8" s="1"/>
  <c r="F20" i="1"/>
  <c r="F15" i="8" s="1"/>
  <c r="F16" i="8" l="1"/>
  <c r="F23" i="1"/>
  <c r="E20" i="18"/>
  <c r="E46" i="1"/>
  <c r="E23" i="8" s="1"/>
  <c r="E22" i="8"/>
  <c r="F45" i="1"/>
  <c r="F22" i="8" s="1"/>
  <c r="G45" i="1"/>
  <c r="G22" i="8" s="1"/>
  <c r="G41" i="9"/>
  <c r="G39" i="9"/>
  <c r="G51" i="9"/>
  <c r="G47" i="9"/>
  <c r="G43" i="9"/>
  <c r="H147" i="9" s="1"/>
  <c r="G50" i="9"/>
  <c r="G46" i="9"/>
  <c r="G42" i="9"/>
  <c r="G48" i="9"/>
  <c r="H152" i="9" s="1"/>
  <c r="G49" i="9"/>
  <c r="G53" i="9"/>
  <c r="H157" i="9" s="1"/>
  <c r="G40" i="9"/>
  <c r="G45" i="9"/>
  <c r="G52" i="9"/>
  <c r="G44" i="9"/>
  <c r="G54" i="9"/>
  <c r="G29" i="8"/>
  <c r="F20" i="18"/>
  <c r="H29" i="8"/>
  <c r="G96" i="9" s="1"/>
  <c r="G20" i="18"/>
  <c r="I29" i="8"/>
  <c r="G131" i="9" s="1"/>
  <c r="H20" i="18"/>
  <c r="E29" i="8"/>
  <c r="D20" i="18"/>
  <c r="G15" i="8"/>
  <c r="H81" i="1"/>
  <c r="H22" i="8"/>
  <c r="E95" i="9"/>
  <c r="E103" i="9"/>
  <c r="E96" i="9"/>
  <c r="E104" i="9"/>
  <c r="E99" i="9"/>
  <c r="E97" i="9"/>
  <c r="F149" i="9" s="1"/>
  <c r="E105" i="9"/>
  <c r="E106" i="9"/>
  <c r="E94" i="9"/>
  <c r="E102" i="9"/>
  <c r="F154" i="9" s="1"/>
  <c r="E98" i="9"/>
  <c r="E92" i="9"/>
  <c r="F144" i="9" s="1"/>
  <c r="E100" i="9"/>
  <c r="E101" i="9"/>
  <c r="E91" i="9"/>
  <c r="E93" i="9"/>
  <c r="H43" i="1"/>
  <c r="H20" i="8" s="1"/>
  <c r="E121" i="9"/>
  <c r="E129" i="9"/>
  <c r="F155" i="9" s="1"/>
  <c r="E132" i="9"/>
  <c r="E125" i="9"/>
  <c r="E122" i="9"/>
  <c r="E130" i="9"/>
  <c r="E124" i="9"/>
  <c r="F150" i="9" s="1"/>
  <c r="E123" i="9"/>
  <c r="E131" i="9"/>
  <c r="E117" i="9"/>
  <c r="E120" i="9"/>
  <c r="E128" i="9"/>
  <c r="E119" i="9"/>
  <c r="F145" i="9" s="1"/>
  <c r="E127" i="9"/>
  <c r="E126" i="9"/>
  <c r="E118" i="9"/>
  <c r="I81" i="1"/>
  <c r="G44" i="1"/>
  <c r="G21" i="8" s="1"/>
  <c r="G82" i="1"/>
  <c r="F44" i="1"/>
  <c r="F82" i="1"/>
  <c r="I82" i="1"/>
  <c r="I39" i="8" s="1"/>
  <c r="G23" i="1"/>
  <c r="G18" i="8" s="1"/>
  <c r="F28" i="18" s="1"/>
  <c r="F18" i="8"/>
  <c r="E28" i="18" s="1"/>
  <c r="F89" i="1"/>
  <c r="F44" i="8" s="1"/>
  <c r="G89" i="1"/>
  <c r="G44" i="8" s="1"/>
  <c r="I47" i="1"/>
  <c r="I88" i="1"/>
  <c r="I43" i="8" s="1"/>
  <c r="I43" i="1"/>
  <c r="H88" i="1"/>
  <c r="H43" i="8" s="1"/>
  <c r="H47" i="1"/>
  <c r="E23" i="1"/>
  <c r="E18" i="8" s="1"/>
  <c r="D28" i="18" s="1"/>
  <c r="CW152" i="16" l="1"/>
  <c r="BZ152" i="16"/>
  <c r="AF152" i="16"/>
  <c r="CC152" i="15"/>
  <c r="AG152" i="15"/>
  <c r="AG152" i="13"/>
  <c r="I152" i="13"/>
  <c r="BC152" i="16"/>
  <c r="AG152" i="14"/>
  <c r="DA152" i="13"/>
  <c r="I152" i="16"/>
  <c r="DA152" i="14"/>
  <c r="CC152" i="14"/>
  <c r="BE152" i="13"/>
  <c r="DA152" i="15"/>
  <c r="BE152" i="15"/>
  <c r="I152" i="15"/>
  <c r="BE152" i="14"/>
  <c r="CC152" i="13"/>
  <c r="I152" i="14"/>
  <c r="E89" i="1"/>
  <c r="E44" i="8" s="1"/>
  <c r="F88" i="1"/>
  <c r="F43" i="8" s="1"/>
  <c r="E44" i="1"/>
  <c r="E21" i="8" s="1"/>
  <c r="E82" i="1"/>
  <c r="E33" i="8" s="1"/>
  <c r="E39" i="8" s="1"/>
  <c r="F47" i="1"/>
  <c r="E16" i="18" s="1"/>
  <c r="F43" i="1"/>
  <c r="F20" i="8" s="1"/>
  <c r="G47" i="1"/>
  <c r="F16" i="18" s="1"/>
  <c r="F81" i="1"/>
  <c r="F32" i="8" s="1"/>
  <c r="F38" i="8" s="1"/>
  <c r="E81" i="1"/>
  <c r="E32" i="8" s="1"/>
  <c r="E38" i="8" s="1"/>
  <c r="E43" i="1"/>
  <c r="E20" i="8" s="1"/>
  <c r="E88" i="1"/>
  <c r="E43" i="8" s="1"/>
  <c r="E47" i="1"/>
  <c r="D16" i="18" s="1"/>
  <c r="G43" i="1"/>
  <c r="G20" i="8" s="1"/>
  <c r="G81" i="1"/>
  <c r="G32" i="8" s="1"/>
  <c r="G38" i="8" s="1"/>
  <c r="G88" i="1"/>
  <c r="G43" i="8" s="1"/>
  <c r="K8" i="17"/>
  <c r="K12" i="17"/>
  <c r="K16" i="17"/>
  <c r="K20" i="17"/>
  <c r="K14" i="17"/>
  <c r="K22" i="17"/>
  <c r="K11" i="17"/>
  <c r="K19" i="17"/>
  <c r="K9" i="17"/>
  <c r="K13" i="17"/>
  <c r="K17" i="17"/>
  <c r="K21" i="17"/>
  <c r="K10" i="17"/>
  <c r="K18" i="17"/>
  <c r="K15" i="17"/>
  <c r="K7" i="17"/>
  <c r="H8" i="17"/>
  <c r="H12" i="17"/>
  <c r="H16" i="17"/>
  <c r="H20" i="17"/>
  <c r="H10" i="17"/>
  <c r="H18" i="17"/>
  <c r="H11" i="17"/>
  <c r="H19" i="17"/>
  <c r="H9" i="17"/>
  <c r="H13" i="17"/>
  <c r="H17" i="17"/>
  <c r="H21" i="17"/>
  <c r="H14" i="17"/>
  <c r="H22" i="17"/>
  <c r="H15" i="17"/>
  <c r="H7" i="17"/>
  <c r="G105" i="9"/>
  <c r="G98" i="9"/>
  <c r="G100" i="9"/>
  <c r="G104" i="9"/>
  <c r="G106" i="9"/>
  <c r="G27" i="9"/>
  <c r="G20" i="9"/>
  <c r="G23" i="9"/>
  <c r="H153" i="9" s="1"/>
  <c r="G24" i="9"/>
  <c r="G103" i="9"/>
  <c r="G121" i="9"/>
  <c r="G76" i="9"/>
  <c r="G65" i="9"/>
  <c r="G102" i="9"/>
  <c r="H154" i="9" s="1"/>
  <c r="DL74" i="16" s="1"/>
  <c r="G21" i="9"/>
  <c r="G93" i="9"/>
  <c r="G18" i="9"/>
  <c r="H148" i="9" s="1"/>
  <c r="G127" i="9"/>
  <c r="G122" i="9"/>
  <c r="G72" i="9"/>
  <c r="G118" i="9"/>
  <c r="G79" i="9"/>
  <c r="G101" i="9"/>
  <c r="G97" i="9"/>
  <c r="H149" i="9" s="1"/>
  <c r="AL69" i="16" s="1"/>
  <c r="G125" i="9"/>
  <c r="G14" i="9"/>
  <c r="G74" i="9"/>
  <c r="G75" i="9"/>
  <c r="G117" i="9"/>
  <c r="G22" i="9"/>
  <c r="G77" i="9"/>
  <c r="G123" i="9"/>
  <c r="G25" i="9"/>
  <c r="G69" i="9"/>
  <c r="G132" i="9"/>
  <c r="G70" i="9"/>
  <c r="G128" i="9"/>
  <c r="G126" i="9"/>
  <c r="G13" i="9"/>
  <c r="H143" i="9" s="1"/>
  <c r="DL63" i="16" s="1"/>
  <c r="G73" i="9"/>
  <c r="H151" i="9" s="1"/>
  <c r="G94" i="9"/>
  <c r="G92" i="9"/>
  <c r="H144" i="9" s="1"/>
  <c r="DL64" i="16" s="1"/>
  <c r="G129" i="9"/>
  <c r="G130" i="9"/>
  <c r="G16" i="9"/>
  <c r="G19" i="9"/>
  <c r="G68" i="9"/>
  <c r="H146" i="9" s="1"/>
  <c r="G71" i="9"/>
  <c r="G91" i="9"/>
  <c r="G99" i="9"/>
  <c r="G119" i="9"/>
  <c r="G124" i="9"/>
  <c r="G17" i="9"/>
  <c r="G26" i="9"/>
  <c r="G66" i="9"/>
  <c r="G78" i="9"/>
  <c r="H156" i="9" s="1"/>
  <c r="G95" i="9"/>
  <c r="G120" i="9"/>
  <c r="G15" i="9"/>
  <c r="G28" i="9"/>
  <c r="H158" i="9" s="1"/>
  <c r="G67" i="9"/>
  <c r="G80" i="9"/>
  <c r="I24" i="8"/>
  <c r="F130" i="9" s="1"/>
  <c r="H16" i="18"/>
  <c r="H24" i="8"/>
  <c r="F91" i="9" s="1"/>
  <c r="G16" i="18"/>
  <c r="F24" i="8"/>
  <c r="F33" i="8"/>
  <c r="F39" i="8" s="1"/>
  <c r="G33" i="8"/>
  <c r="G39" i="8" s="1"/>
  <c r="I32" i="8"/>
  <c r="I38" i="8" s="1"/>
  <c r="H32" i="8"/>
  <c r="H38" i="8" s="1"/>
  <c r="G87" i="1"/>
  <c r="G42" i="8" s="1"/>
  <c r="F87" i="1"/>
  <c r="F42" i="8" s="1"/>
  <c r="F21" i="8"/>
  <c r="E43" i="9"/>
  <c r="F147" i="9" s="1"/>
  <c r="E51" i="9"/>
  <c r="E46" i="9"/>
  <c r="E44" i="9"/>
  <c r="E52" i="9"/>
  <c r="E45" i="9"/>
  <c r="E53" i="9"/>
  <c r="F157" i="9" s="1"/>
  <c r="E54" i="9"/>
  <c r="E42" i="9"/>
  <c r="E50" i="9"/>
  <c r="E48" i="9"/>
  <c r="F152" i="9" s="1"/>
  <c r="E40" i="9"/>
  <c r="E49" i="9"/>
  <c r="E39" i="9"/>
  <c r="E47" i="9"/>
  <c r="E41" i="9"/>
  <c r="I86" i="1"/>
  <c r="I41" i="8" s="1"/>
  <c r="I20" i="8"/>
  <c r="I83" i="1"/>
  <c r="E69" i="9"/>
  <c r="E77" i="9"/>
  <c r="E73" i="9"/>
  <c r="F151" i="9" s="1"/>
  <c r="E70" i="9"/>
  <c r="E78" i="9"/>
  <c r="F156" i="9" s="1"/>
  <c r="E72" i="9"/>
  <c r="E71" i="9"/>
  <c r="E79" i="9"/>
  <c r="E68" i="9"/>
  <c r="F146" i="9" s="1"/>
  <c r="E76" i="9"/>
  <c r="E80" i="9"/>
  <c r="E66" i="9"/>
  <c r="E75" i="9"/>
  <c r="E65" i="9"/>
  <c r="E67" i="9"/>
  <c r="E74" i="9"/>
  <c r="F80" i="1"/>
  <c r="G80" i="1"/>
  <c r="H86" i="1"/>
  <c r="H41" i="8" s="1"/>
  <c r="H79" i="1"/>
  <c r="H83" i="1"/>
  <c r="I79" i="1"/>
  <c r="H90" i="1"/>
  <c r="H45" i="8" s="1"/>
  <c r="I90" i="1"/>
  <c r="I45" i="8" s="1"/>
  <c r="R12" i="8"/>
  <c r="K10" i="2"/>
  <c r="CW149" i="16" l="1"/>
  <c r="BZ149" i="16"/>
  <c r="AF149" i="16"/>
  <c r="CC149" i="15"/>
  <c r="AG149" i="15"/>
  <c r="CC149" i="14"/>
  <c r="BE149" i="14"/>
  <c r="CC149" i="13"/>
  <c r="BC149" i="16"/>
  <c r="DA149" i="14"/>
  <c r="I149" i="14"/>
  <c r="AG149" i="13"/>
  <c r="I149" i="13"/>
  <c r="I149" i="16"/>
  <c r="I149" i="15"/>
  <c r="DA149" i="13"/>
  <c r="DA149" i="15"/>
  <c r="BE149" i="15"/>
  <c r="BE149" i="13"/>
  <c r="AG149" i="14"/>
  <c r="BZ138" i="16"/>
  <c r="AF138" i="16"/>
  <c r="I138" i="16"/>
  <c r="CC138" i="15"/>
  <c r="BE138" i="13"/>
  <c r="CW138" i="16"/>
  <c r="BC138" i="16"/>
  <c r="BE138" i="14"/>
  <c r="CC138" i="13"/>
  <c r="AG138" i="15"/>
  <c r="I138" i="15"/>
  <c r="DA138" i="14"/>
  <c r="I138" i="14"/>
  <c r="AG138" i="13"/>
  <c r="I138" i="13"/>
  <c r="DA138" i="15"/>
  <c r="BE138" i="15"/>
  <c r="CC138" i="14"/>
  <c r="DA138" i="13"/>
  <c r="AG138" i="14"/>
  <c r="CW146" i="16"/>
  <c r="BZ146" i="16"/>
  <c r="AF146" i="16"/>
  <c r="I146" i="16"/>
  <c r="CC146" i="15"/>
  <c r="AG146" i="15"/>
  <c r="I146" i="14"/>
  <c r="BE146" i="13"/>
  <c r="BC146" i="16"/>
  <c r="AG146" i="14"/>
  <c r="I146" i="15"/>
  <c r="CC146" i="14"/>
  <c r="CC146" i="13"/>
  <c r="AG146" i="13"/>
  <c r="I146" i="13"/>
  <c r="DA146" i="15"/>
  <c r="DA146" i="14"/>
  <c r="DA146" i="13"/>
  <c r="BE146" i="15"/>
  <c r="BE146" i="14"/>
  <c r="BZ139" i="16"/>
  <c r="AF139" i="16"/>
  <c r="I139" i="16"/>
  <c r="CC139" i="15"/>
  <c r="CW139" i="16"/>
  <c r="CC139" i="14"/>
  <c r="AG139" i="14"/>
  <c r="I139" i="14"/>
  <c r="DA139" i="13"/>
  <c r="BC139" i="16"/>
  <c r="BE139" i="14"/>
  <c r="CC139" i="13"/>
  <c r="BE139" i="13"/>
  <c r="AG139" i="15"/>
  <c r="I139" i="15"/>
  <c r="DA139" i="14"/>
  <c r="DA139" i="15"/>
  <c r="BE139" i="15"/>
  <c r="I139" i="13"/>
  <c r="AG139" i="13"/>
  <c r="H150" i="9"/>
  <c r="CW145" i="16"/>
  <c r="BZ145" i="16"/>
  <c r="AF145" i="16"/>
  <c r="I145" i="16"/>
  <c r="CC145" i="15"/>
  <c r="AG145" i="15"/>
  <c r="AG145" i="14"/>
  <c r="BC145" i="16"/>
  <c r="CC145" i="14"/>
  <c r="CC145" i="13"/>
  <c r="AG145" i="13"/>
  <c r="I145" i="13"/>
  <c r="I145" i="15"/>
  <c r="DA145" i="14"/>
  <c r="BE145" i="14"/>
  <c r="I145" i="14"/>
  <c r="DA145" i="13"/>
  <c r="DA145" i="15"/>
  <c r="BE145" i="15"/>
  <c r="BE145" i="13"/>
  <c r="CW151" i="16"/>
  <c r="BZ151" i="16"/>
  <c r="AF151" i="16"/>
  <c r="CC151" i="15"/>
  <c r="AG151" i="15"/>
  <c r="AG151" i="14"/>
  <c r="DA151" i="13"/>
  <c r="BC151" i="16"/>
  <c r="CC151" i="14"/>
  <c r="I151" i="14"/>
  <c r="BE151" i="13"/>
  <c r="I151" i="16"/>
  <c r="I151" i="15"/>
  <c r="DA151" i="14"/>
  <c r="BE151" i="14"/>
  <c r="CC151" i="13"/>
  <c r="DA151" i="15"/>
  <c r="I151" i="13"/>
  <c r="BE151" i="15"/>
  <c r="AG151" i="13"/>
  <c r="CW144" i="16"/>
  <c r="BZ144" i="16"/>
  <c r="AF144" i="16"/>
  <c r="I144" i="16"/>
  <c r="CC144" i="15"/>
  <c r="AG144" i="15"/>
  <c r="CC144" i="14"/>
  <c r="AG144" i="14"/>
  <c r="I144" i="14"/>
  <c r="AG144" i="13"/>
  <c r="I144" i="13"/>
  <c r="BC144" i="16"/>
  <c r="I144" i="15"/>
  <c r="DA144" i="14"/>
  <c r="BE144" i="14"/>
  <c r="DA144" i="13"/>
  <c r="CC144" i="13"/>
  <c r="BE144" i="13"/>
  <c r="DA144" i="15"/>
  <c r="BE144" i="15"/>
  <c r="H145" i="9"/>
  <c r="AL65" i="16" s="1"/>
  <c r="BZ140" i="16"/>
  <c r="AF140" i="16"/>
  <c r="I140" i="16"/>
  <c r="CC140" i="15"/>
  <c r="CW140" i="16"/>
  <c r="CC140" i="14"/>
  <c r="AG140" i="13"/>
  <c r="I140" i="13"/>
  <c r="BC140" i="16"/>
  <c r="BE140" i="14"/>
  <c r="AG140" i="14"/>
  <c r="DA140" i="13"/>
  <c r="AG140" i="15"/>
  <c r="I140" i="15"/>
  <c r="DA140" i="14"/>
  <c r="I140" i="14"/>
  <c r="CC140" i="13"/>
  <c r="BE140" i="13"/>
  <c r="DA140" i="15"/>
  <c r="BE140" i="15"/>
  <c r="H155" i="9"/>
  <c r="AL75" i="16" s="1"/>
  <c r="CW150" i="16"/>
  <c r="BZ150" i="16"/>
  <c r="AF150" i="16"/>
  <c r="CC150" i="15"/>
  <c r="AG150" i="15"/>
  <c r="AG150" i="14"/>
  <c r="BE150" i="13"/>
  <c r="BC150" i="16"/>
  <c r="CC150" i="14"/>
  <c r="BE150" i="14"/>
  <c r="CC150" i="13"/>
  <c r="I150" i="16"/>
  <c r="I150" i="15"/>
  <c r="DA150" i="14"/>
  <c r="AG150" i="13"/>
  <c r="I150" i="13"/>
  <c r="DA150" i="15"/>
  <c r="BE150" i="15"/>
  <c r="I150" i="14"/>
  <c r="DA150" i="13"/>
  <c r="CW153" i="16"/>
  <c r="BZ153" i="16"/>
  <c r="AF153" i="16"/>
  <c r="CC153" i="15"/>
  <c r="AG153" i="15"/>
  <c r="I153" i="15"/>
  <c r="BE153" i="14"/>
  <c r="I153" i="14"/>
  <c r="CC153" i="13"/>
  <c r="BC153" i="16"/>
  <c r="I153" i="16"/>
  <c r="AG153" i="13"/>
  <c r="I153" i="13"/>
  <c r="AG153" i="14"/>
  <c r="DA153" i="13"/>
  <c r="DA153" i="15"/>
  <c r="BE153" i="15"/>
  <c r="DA153" i="14"/>
  <c r="CC153" i="14"/>
  <c r="BE153" i="13"/>
  <c r="CW143" i="16"/>
  <c r="BZ143" i="16"/>
  <c r="AF143" i="16"/>
  <c r="I143" i="16"/>
  <c r="CC143" i="15"/>
  <c r="AG143" i="15"/>
  <c r="DA143" i="14"/>
  <c r="BE143" i="14"/>
  <c r="DA143" i="13"/>
  <c r="CC143" i="13"/>
  <c r="BC143" i="16"/>
  <c r="I143" i="15"/>
  <c r="BE143" i="13"/>
  <c r="DA143" i="15"/>
  <c r="BE143" i="15"/>
  <c r="AG143" i="13"/>
  <c r="CC143" i="14"/>
  <c r="AG143" i="14"/>
  <c r="I143" i="13"/>
  <c r="I143" i="14"/>
  <c r="CW142" i="16"/>
  <c r="BZ142" i="16"/>
  <c r="AF142" i="16"/>
  <c r="I142" i="16"/>
  <c r="CC142" i="15"/>
  <c r="AG142" i="15"/>
  <c r="I142" i="15"/>
  <c r="DA142" i="14"/>
  <c r="CC142" i="13"/>
  <c r="BE142" i="13"/>
  <c r="BC142" i="16"/>
  <c r="CC142" i="14"/>
  <c r="I142" i="14"/>
  <c r="AG142" i="13"/>
  <c r="I142" i="13"/>
  <c r="DA142" i="15"/>
  <c r="BE142" i="15"/>
  <c r="DA142" i="13"/>
  <c r="AG142" i="14"/>
  <c r="BE142" i="14"/>
  <c r="CW141" i="16"/>
  <c r="BZ141" i="16"/>
  <c r="AF141" i="16"/>
  <c r="I141" i="16"/>
  <c r="CC141" i="15"/>
  <c r="I141" i="14"/>
  <c r="BC141" i="16"/>
  <c r="CC141" i="14"/>
  <c r="AG141" i="13"/>
  <c r="I141" i="13"/>
  <c r="AG141" i="15"/>
  <c r="BE141" i="14"/>
  <c r="AG141" i="14"/>
  <c r="DA141" i="13"/>
  <c r="I141" i="15"/>
  <c r="DA141" i="14"/>
  <c r="CC141" i="13"/>
  <c r="BE141" i="13"/>
  <c r="DA141" i="15"/>
  <c r="BE141" i="15"/>
  <c r="CW147" i="16"/>
  <c r="BZ147" i="16"/>
  <c r="AF147" i="16"/>
  <c r="I147" i="16"/>
  <c r="CC147" i="15"/>
  <c r="AG147" i="15"/>
  <c r="I147" i="15"/>
  <c r="DA147" i="13"/>
  <c r="BC147" i="16"/>
  <c r="AG147" i="14"/>
  <c r="BE147" i="13"/>
  <c r="I147" i="14"/>
  <c r="DA147" i="15"/>
  <c r="DA147" i="14"/>
  <c r="AG147" i="13"/>
  <c r="BE147" i="15"/>
  <c r="CC147" i="14"/>
  <c r="CC147" i="13"/>
  <c r="BE147" i="14"/>
  <c r="I147" i="13"/>
  <c r="CW148" i="16"/>
  <c r="BZ148" i="16"/>
  <c r="AF148" i="16"/>
  <c r="CC148" i="15"/>
  <c r="AG148" i="15"/>
  <c r="DA148" i="14"/>
  <c r="I148" i="14"/>
  <c r="CC148" i="13"/>
  <c r="AG148" i="13"/>
  <c r="I148" i="13"/>
  <c r="BC148" i="16"/>
  <c r="I148" i="15"/>
  <c r="DA148" i="13"/>
  <c r="I148" i="16"/>
  <c r="AG148" i="14"/>
  <c r="BE148" i="13"/>
  <c r="DA148" i="15"/>
  <c r="BE148" i="15"/>
  <c r="CC148" i="14"/>
  <c r="BE148" i="14"/>
  <c r="CZ151" i="15"/>
  <c r="DB151" i="15" s="1"/>
  <c r="DG151" i="15" s="1"/>
  <c r="CB151" i="15"/>
  <c r="CD151" i="15" s="1"/>
  <c r="CI151" i="15" s="1"/>
  <c r="H151" i="15"/>
  <c r="J151" i="15" s="1"/>
  <c r="O151" i="15" s="1"/>
  <c r="CB151" i="14"/>
  <c r="BD151" i="14"/>
  <c r="BF151" i="14" s="1"/>
  <c r="BK151" i="14" s="1"/>
  <c r="CB151" i="13"/>
  <c r="CD151" i="13" s="1"/>
  <c r="CI151" i="13" s="1"/>
  <c r="BB151" i="16"/>
  <c r="BD151" i="16" s="1"/>
  <c r="BI151" i="16" s="1"/>
  <c r="CZ151" i="13"/>
  <c r="H151" i="13"/>
  <c r="H151" i="16"/>
  <c r="J151" i="16" s="1"/>
  <c r="O151" i="16" s="1"/>
  <c r="AF151" i="15"/>
  <c r="AH151" i="15" s="1"/>
  <c r="AM151" i="15" s="1"/>
  <c r="CZ151" i="14"/>
  <c r="DB151" i="14" s="1"/>
  <c r="DG151" i="14" s="1"/>
  <c r="AF151" i="13"/>
  <c r="AH151" i="13" s="1"/>
  <c r="AM151" i="13" s="1"/>
  <c r="BD151" i="15"/>
  <c r="AF151" i="14"/>
  <c r="H151" i="14"/>
  <c r="J151" i="14" s="1"/>
  <c r="O151" i="14" s="1"/>
  <c r="BD151" i="13"/>
  <c r="BF151" i="13" s="1"/>
  <c r="BK151" i="13" s="1"/>
  <c r="CV151" i="16"/>
  <c r="AE151" i="16"/>
  <c r="BY151" i="16"/>
  <c r="CA151" i="16" s="1"/>
  <c r="CF151" i="16" s="1"/>
  <c r="G79" i="1"/>
  <c r="G30" i="8" s="1"/>
  <c r="G36" i="8" s="1"/>
  <c r="F90" i="1"/>
  <c r="F45" i="8" s="1"/>
  <c r="F86" i="1"/>
  <c r="F41" i="8" s="1"/>
  <c r="G86" i="1"/>
  <c r="G41" i="8" s="1"/>
  <c r="F83" i="1"/>
  <c r="F34" i="8" s="1"/>
  <c r="F40" i="8" s="1"/>
  <c r="E87" i="1"/>
  <c r="E42" i="8" s="1"/>
  <c r="E80" i="1"/>
  <c r="E31" i="8" s="1"/>
  <c r="E37" i="8" s="1"/>
  <c r="G24" i="8"/>
  <c r="F70" i="9" s="1"/>
  <c r="H70" i="9" s="1"/>
  <c r="F79" i="1"/>
  <c r="F30" i="8" s="1"/>
  <c r="F36" i="8" s="1"/>
  <c r="G83" i="1"/>
  <c r="G34" i="8" s="1"/>
  <c r="G40" i="8" s="1"/>
  <c r="K39" i="2"/>
  <c r="K57" i="2"/>
  <c r="G90" i="1"/>
  <c r="G45" i="8" s="1"/>
  <c r="E24" i="8"/>
  <c r="F18" i="9" s="1"/>
  <c r="E83" i="1"/>
  <c r="E34" i="8" s="1"/>
  <c r="E40" i="8" s="1"/>
  <c r="E79" i="1"/>
  <c r="E30" i="8" s="1"/>
  <c r="E36" i="8" s="1"/>
  <c r="E86" i="1"/>
  <c r="E41" i="8" s="1"/>
  <c r="E90" i="1"/>
  <c r="E45" i="8" s="1"/>
  <c r="L74" i="13"/>
  <c r="AL64" i="13"/>
  <c r="L74" i="14"/>
  <c r="AL64" i="15"/>
  <c r="AL63" i="15"/>
  <c r="AL64" i="16"/>
  <c r="AL63" i="14"/>
  <c r="AL64" i="14"/>
  <c r="AL74" i="13"/>
  <c r="AL74" i="16"/>
  <c r="BL63" i="14"/>
  <c r="L64" i="13"/>
  <c r="AL74" i="14"/>
  <c r="L63" i="13"/>
  <c r="AL63" i="16"/>
  <c r="BL69" i="15"/>
  <c r="AL69" i="14"/>
  <c r="BL64" i="13"/>
  <c r="BL64" i="14"/>
  <c r="L64" i="14"/>
  <c r="BL64" i="15"/>
  <c r="BL64" i="16"/>
  <c r="L69" i="15"/>
  <c r="CL69" i="15"/>
  <c r="BL69" i="13"/>
  <c r="BL69" i="14"/>
  <c r="CL69" i="16"/>
  <c r="BL74" i="13"/>
  <c r="BL74" i="14"/>
  <c r="BL74" i="15"/>
  <c r="L74" i="15"/>
  <c r="BL74" i="16"/>
  <c r="L63" i="14"/>
  <c r="BL63" i="13"/>
  <c r="CL63" i="14"/>
  <c r="DL63" i="14"/>
  <c r="BL63" i="16"/>
  <c r="L69" i="14"/>
  <c r="AL69" i="13"/>
  <c r="CL64" i="13"/>
  <c r="DL64" i="14"/>
  <c r="L64" i="15"/>
  <c r="CL64" i="15"/>
  <c r="CL64" i="16"/>
  <c r="L69" i="16"/>
  <c r="DL69" i="15"/>
  <c r="CL69" i="13"/>
  <c r="DL69" i="14"/>
  <c r="DL69" i="16"/>
  <c r="CL74" i="13"/>
  <c r="DL74" i="14"/>
  <c r="DL74" i="15"/>
  <c r="L74" i="16"/>
  <c r="CL74" i="16"/>
  <c r="L63" i="15"/>
  <c r="CL63" i="13"/>
  <c r="DL63" i="15"/>
  <c r="BL63" i="15"/>
  <c r="CL63" i="16"/>
  <c r="BL69" i="16"/>
  <c r="DL64" i="13"/>
  <c r="CL64" i="14"/>
  <c r="L64" i="16"/>
  <c r="DL64" i="15"/>
  <c r="AL69" i="15"/>
  <c r="L69" i="13"/>
  <c r="DL69" i="13"/>
  <c r="CL69" i="14"/>
  <c r="DL74" i="13"/>
  <c r="CL74" i="14"/>
  <c r="CL74" i="15"/>
  <c r="AL74" i="15"/>
  <c r="L63" i="16"/>
  <c r="DL63" i="13"/>
  <c r="AL63" i="13"/>
  <c r="CL63" i="15"/>
  <c r="G14" i="17"/>
  <c r="G11" i="17"/>
  <c r="G15" i="17"/>
  <c r="G19" i="17"/>
  <c r="G7" i="17"/>
  <c r="G8" i="17"/>
  <c r="G12" i="17"/>
  <c r="G16" i="17"/>
  <c r="G20" i="17"/>
  <c r="G9" i="17"/>
  <c r="G13" i="17"/>
  <c r="G17" i="17"/>
  <c r="G21" i="17"/>
  <c r="G10" i="17"/>
  <c r="G18" i="17"/>
  <c r="G22" i="17"/>
  <c r="DL78" i="16"/>
  <c r="CL78" i="16"/>
  <c r="BL78" i="16"/>
  <c r="AL78" i="16"/>
  <c r="AL78" i="15"/>
  <c r="L78" i="16"/>
  <c r="L78" i="15"/>
  <c r="L78" i="14"/>
  <c r="L78" i="13"/>
  <c r="DL78" i="15"/>
  <c r="CL78" i="14"/>
  <c r="DL78" i="14"/>
  <c r="BL78" i="14"/>
  <c r="AL78" i="14"/>
  <c r="DL78" i="13"/>
  <c r="CL78" i="13"/>
  <c r="BL78" i="13"/>
  <c r="AL78" i="13"/>
  <c r="CL78" i="15"/>
  <c r="BL78" i="15"/>
  <c r="DL65" i="16"/>
  <c r="BL65" i="16"/>
  <c r="BL65" i="15"/>
  <c r="AL65" i="15"/>
  <c r="L65" i="15"/>
  <c r="DL65" i="14"/>
  <c r="DL65" i="13"/>
  <c r="BL65" i="13"/>
  <c r="DL77" i="16"/>
  <c r="CL77" i="16"/>
  <c r="BL77" i="16"/>
  <c r="AL77" i="16"/>
  <c r="CL77" i="14"/>
  <c r="DL77" i="14"/>
  <c r="BL77" i="14"/>
  <c r="AL77" i="14"/>
  <c r="DL77" i="13"/>
  <c r="CL77" i="13"/>
  <c r="BL77" i="13"/>
  <c r="AL77" i="13"/>
  <c r="DL77" i="15"/>
  <c r="CL77" i="15"/>
  <c r="BL77" i="15"/>
  <c r="AL77" i="15"/>
  <c r="L77" i="16"/>
  <c r="L77" i="15"/>
  <c r="L77" i="14"/>
  <c r="L77" i="13"/>
  <c r="DL76" i="16"/>
  <c r="CL76" i="16"/>
  <c r="BL76" i="16"/>
  <c r="AL76" i="16"/>
  <c r="AL76" i="15"/>
  <c r="L76" i="16"/>
  <c r="L76" i="15"/>
  <c r="L76" i="14"/>
  <c r="BL76" i="14"/>
  <c r="AL76" i="14"/>
  <c r="DL76" i="13"/>
  <c r="CL76" i="13"/>
  <c r="BL76" i="13"/>
  <c r="DL76" i="15"/>
  <c r="L76" i="13"/>
  <c r="AL76" i="13"/>
  <c r="CL76" i="15"/>
  <c r="BL76" i="15"/>
  <c r="CL76" i="14"/>
  <c r="DL76" i="14"/>
  <c r="DL73" i="16"/>
  <c r="AL73" i="16"/>
  <c r="CL73" i="16"/>
  <c r="BL73" i="16"/>
  <c r="DL73" i="13"/>
  <c r="CL73" i="13"/>
  <c r="BL73" i="13"/>
  <c r="L73" i="13"/>
  <c r="DL73" i="15"/>
  <c r="CL73" i="15"/>
  <c r="BL73" i="15"/>
  <c r="AL73" i="15"/>
  <c r="L73" i="14"/>
  <c r="CL73" i="14"/>
  <c r="DL73" i="14"/>
  <c r="BL73" i="14"/>
  <c r="AL73" i="14"/>
  <c r="AL73" i="13"/>
  <c r="L73" i="16"/>
  <c r="L73" i="15"/>
  <c r="DL72" i="16"/>
  <c r="CL72" i="16"/>
  <c r="BL72" i="16"/>
  <c r="AL72" i="16"/>
  <c r="AL72" i="15"/>
  <c r="L72" i="16"/>
  <c r="L72" i="15"/>
  <c r="L72" i="14"/>
  <c r="L72" i="13"/>
  <c r="BL72" i="13"/>
  <c r="DL72" i="15"/>
  <c r="CL72" i="13"/>
  <c r="AL72" i="13"/>
  <c r="CL72" i="15"/>
  <c r="BL72" i="15"/>
  <c r="CL72" i="14"/>
  <c r="DL72" i="14"/>
  <c r="BL72" i="14"/>
  <c r="AL72" i="14"/>
  <c r="DL72" i="13"/>
  <c r="DL71" i="16"/>
  <c r="CL71" i="16"/>
  <c r="BL71" i="16"/>
  <c r="AL71" i="16"/>
  <c r="DL71" i="15"/>
  <c r="BL71" i="15"/>
  <c r="L71" i="13"/>
  <c r="CL71" i="14"/>
  <c r="DL71" i="14"/>
  <c r="BL71" i="14"/>
  <c r="AL71" i="14"/>
  <c r="DL71" i="13"/>
  <c r="CL71" i="13"/>
  <c r="BL71" i="13"/>
  <c r="AL71" i="13"/>
  <c r="CL71" i="15"/>
  <c r="AL71" i="15"/>
  <c r="L71" i="16"/>
  <c r="L71" i="15"/>
  <c r="L71" i="14"/>
  <c r="DL70" i="16"/>
  <c r="CL70" i="16"/>
  <c r="BL70" i="16"/>
  <c r="AL70" i="16"/>
  <c r="AL70" i="15"/>
  <c r="L70" i="16"/>
  <c r="L70" i="15"/>
  <c r="L70" i="14"/>
  <c r="L70" i="13"/>
  <c r="CL70" i="13"/>
  <c r="BL70" i="13"/>
  <c r="AL70" i="13"/>
  <c r="BL70" i="15"/>
  <c r="BL70" i="14"/>
  <c r="DL70" i="13"/>
  <c r="CL70" i="15"/>
  <c r="DL70" i="15"/>
  <c r="CL70" i="14"/>
  <c r="DL70" i="14"/>
  <c r="AL70" i="14"/>
  <c r="DL68" i="16"/>
  <c r="CL68" i="16"/>
  <c r="BL68" i="16"/>
  <c r="AL68" i="16"/>
  <c r="AL68" i="15"/>
  <c r="L68" i="16"/>
  <c r="L68" i="15"/>
  <c r="L68" i="14"/>
  <c r="BL68" i="15"/>
  <c r="DL68" i="14"/>
  <c r="DL68" i="13"/>
  <c r="BL68" i="13"/>
  <c r="DL68" i="15"/>
  <c r="L68" i="13"/>
  <c r="BL68" i="14"/>
  <c r="AL68" i="14"/>
  <c r="AL68" i="13"/>
  <c r="CL68" i="15"/>
  <c r="CL68" i="14"/>
  <c r="CL68" i="13"/>
  <c r="DL67" i="16"/>
  <c r="CL67" i="16"/>
  <c r="BL67" i="16"/>
  <c r="AL67" i="16"/>
  <c r="DL67" i="15"/>
  <c r="BL67" i="15"/>
  <c r="CL67" i="13"/>
  <c r="BL67" i="13"/>
  <c r="AL67" i="13"/>
  <c r="L67" i="13"/>
  <c r="CL67" i="14"/>
  <c r="DL67" i="14"/>
  <c r="BL67" i="14"/>
  <c r="AL67" i="14"/>
  <c r="DL67" i="13"/>
  <c r="CL67" i="15"/>
  <c r="AL67" i="15"/>
  <c r="L67" i="16"/>
  <c r="L67" i="15"/>
  <c r="L67" i="14"/>
  <c r="DL66" i="16"/>
  <c r="CL66" i="16"/>
  <c r="BL66" i="16"/>
  <c r="AL66" i="16"/>
  <c r="AL66" i="15"/>
  <c r="L66" i="16"/>
  <c r="L66" i="15"/>
  <c r="L66" i="14"/>
  <c r="AL66" i="14"/>
  <c r="BL66" i="13"/>
  <c r="AL66" i="13"/>
  <c r="BL66" i="15"/>
  <c r="L66" i="13"/>
  <c r="DL66" i="15"/>
  <c r="CL66" i="14"/>
  <c r="BL66" i="14"/>
  <c r="DL66" i="13"/>
  <c r="CL66" i="13"/>
  <c r="CL66" i="15"/>
  <c r="DL66" i="14"/>
  <c r="F132" i="9"/>
  <c r="F126" i="9"/>
  <c r="H91" i="9"/>
  <c r="F122" i="9"/>
  <c r="F127" i="9"/>
  <c r="F128" i="9"/>
  <c r="F118" i="9"/>
  <c r="F120" i="9"/>
  <c r="F124" i="9"/>
  <c r="F117" i="9"/>
  <c r="F125" i="9"/>
  <c r="F131" i="9"/>
  <c r="F119" i="9"/>
  <c r="F129" i="9"/>
  <c r="F123" i="9"/>
  <c r="F121" i="9"/>
  <c r="F102" i="9"/>
  <c r="F97" i="9"/>
  <c r="F104" i="9"/>
  <c r="H104" i="9" s="1"/>
  <c r="F96" i="9"/>
  <c r="H96" i="9" s="1"/>
  <c r="F94" i="9"/>
  <c r="H94" i="9" s="1"/>
  <c r="H130" i="9"/>
  <c r="F103" i="9"/>
  <c r="H103" i="9" s="1"/>
  <c r="F106" i="9"/>
  <c r="H106" i="9" s="1"/>
  <c r="F95" i="9"/>
  <c r="H95" i="9" s="1"/>
  <c r="F93" i="9"/>
  <c r="H93" i="9" s="1"/>
  <c r="M93" i="9" s="1"/>
  <c r="N93" i="9" s="1"/>
  <c r="O93" i="9" s="1"/>
  <c r="F98" i="9"/>
  <c r="H98" i="9" s="1"/>
  <c r="F101" i="9"/>
  <c r="H101" i="9" s="1"/>
  <c r="F105" i="9"/>
  <c r="H105" i="9" s="1"/>
  <c r="F100" i="9"/>
  <c r="H100" i="9" s="1"/>
  <c r="F92" i="9"/>
  <c r="F99" i="9"/>
  <c r="H99" i="9" s="1"/>
  <c r="M99" i="9" s="1"/>
  <c r="N99" i="9" s="1"/>
  <c r="O99" i="9" s="1"/>
  <c r="H30" i="8"/>
  <c r="H36" i="8" s="1"/>
  <c r="G31" i="8"/>
  <c r="G37" i="8" s="1"/>
  <c r="I30" i="8"/>
  <c r="I36" i="8" s="1"/>
  <c r="H34" i="8"/>
  <c r="H40" i="8" s="1"/>
  <c r="F31" i="8"/>
  <c r="F37" i="8" s="1"/>
  <c r="I34" i="8"/>
  <c r="I40" i="8" s="1"/>
  <c r="E16" i="9"/>
  <c r="E24" i="9"/>
  <c r="E17" i="9"/>
  <c r="E25" i="9"/>
  <c r="E27" i="9"/>
  <c r="E18" i="9"/>
  <c r="F148" i="9" s="1"/>
  <c r="E26" i="9"/>
  <c r="E15" i="9"/>
  <c r="E23" i="9"/>
  <c r="F153" i="9" s="1"/>
  <c r="E19" i="9"/>
  <c r="E13" i="9"/>
  <c r="F143" i="9" s="1"/>
  <c r="E21" i="9"/>
  <c r="E14" i="9"/>
  <c r="E22" i="9"/>
  <c r="E28" i="9"/>
  <c r="F158" i="9" s="1"/>
  <c r="E20" i="9"/>
  <c r="F44" i="9"/>
  <c r="H44" i="9" s="1"/>
  <c r="F52" i="9"/>
  <c r="H52" i="9" s="1"/>
  <c r="M52" i="9" s="1"/>
  <c r="N52" i="9" s="1"/>
  <c r="O52" i="9" s="1"/>
  <c r="F39" i="9"/>
  <c r="H39" i="9" s="1"/>
  <c r="M39" i="9" s="1"/>
  <c r="N39" i="9" s="1"/>
  <c r="O39" i="9" s="1"/>
  <c r="F48" i="9"/>
  <c r="F45" i="9"/>
  <c r="H45" i="9" s="1"/>
  <c r="F53" i="9"/>
  <c r="F46" i="9"/>
  <c r="H46" i="9" s="1"/>
  <c r="F54" i="9"/>
  <c r="H54" i="9" s="1"/>
  <c r="M54" i="9" s="1"/>
  <c r="N54" i="9" s="1"/>
  <c r="O54" i="9" s="1"/>
  <c r="F43" i="9"/>
  <c r="F51" i="9"/>
  <c r="H51" i="9" s="1"/>
  <c r="F47" i="9"/>
  <c r="H47" i="9" s="1"/>
  <c r="M47" i="9" s="1"/>
  <c r="N47" i="9" s="1"/>
  <c r="O47" i="9" s="1"/>
  <c r="F40" i="9"/>
  <c r="H40" i="9" s="1"/>
  <c r="M40" i="9" s="1"/>
  <c r="N40" i="9" s="1"/>
  <c r="O40" i="9" s="1"/>
  <c r="F42" i="9"/>
  <c r="H42" i="9" s="1"/>
  <c r="F49" i="9"/>
  <c r="H49" i="9" s="1"/>
  <c r="F50" i="9"/>
  <c r="H50" i="9" s="1"/>
  <c r="F41" i="9"/>
  <c r="H41" i="9" s="1"/>
  <c r="K63" i="2"/>
  <c r="Q21" i="8" s="1"/>
  <c r="K66" i="2"/>
  <c r="K14" i="2"/>
  <c r="Q12" i="8" s="1"/>
  <c r="J14" i="2"/>
  <c r="R14" i="2"/>
  <c r="S12" i="8" s="1"/>
  <c r="Y13" i="2"/>
  <c r="CL65" i="13" l="1"/>
  <c r="CL65" i="14"/>
  <c r="L65" i="13"/>
  <c r="CL65" i="16"/>
  <c r="CD151" i="14"/>
  <c r="CI151" i="14" s="1"/>
  <c r="BL65" i="14"/>
  <c r="L65" i="16"/>
  <c r="DL65" i="15"/>
  <c r="AL75" i="13"/>
  <c r="BL75" i="15"/>
  <c r="J41" i="9"/>
  <c r="M41" i="9"/>
  <c r="N41" i="9" s="1"/>
  <c r="O41" i="9" s="1"/>
  <c r="L35" i="18" s="1"/>
  <c r="J46" i="9"/>
  <c r="M46" i="9"/>
  <c r="N46" i="9" s="1"/>
  <c r="O46" i="9" s="1"/>
  <c r="L40" i="18" s="1"/>
  <c r="J105" i="9"/>
  <c r="M105" i="9"/>
  <c r="N105" i="9" s="1"/>
  <c r="O105" i="9" s="1"/>
  <c r="N47" i="18" s="1"/>
  <c r="J95" i="9"/>
  <c r="M95" i="9"/>
  <c r="N95" i="9" s="1"/>
  <c r="O95" i="9" s="1"/>
  <c r="N37" i="18" s="1"/>
  <c r="J94" i="9"/>
  <c r="M94" i="9"/>
  <c r="N94" i="9" s="1"/>
  <c r="O94" i="9" s="1"/>
  <c r="N36" i="18" s="1"/>
  <c r="J70" i="9"/>
  <c r="M70" i="9"/>
  <c r="N70" i="9" s="1"/>
  <c r="O70" i="9" s="1"/>
  <c r="M38" i="18" s="1"/>
  <c r="J100" i="9"/>
  <c r="M100" i="9"/>
  <c r="N100" i="9" s="1"/>
  <c r="O100" i="9" s="1"/>
  <c r="N42" i="18" s="1"/>
  <c r="J130" i="9"/>
  <c r="O130" i="9" s="1"/>
  <c r="M130" i="9"/>
  <c r="J50" i="9"/>
  <c r="M50" i="9"/>
  <c r="N50" i="9" s="1"/>
  <c r="O50" i="9" s="1"/>
  <c r="J49" i="9"/>
  <c r="M49" i="9"/>
  <c r="N49" i="9" s="1"/>
  <c r="O49" i="9" s="1"/>
  <c r="L43" i="18" s="1"/>
  <c r="J51" i="9"/>
  <c r="M51" i="9"/>
  <c r="N51" i="9" s="1"/>
  <c r="O51" i="9" s="1"/>
  <c r="L45" i="18" s="1"/>
  <c r="I101" i="9"/>
  <c r="M101" i="9"/>
  <c r="N101" i="9" s="1"/>
  <c r="O101" i="9" s="1"/>
  <c r="J106" i="9"/>
  <c r="M106" i="9"/>
  <c r="N106" i="9" s="1"/>
  <c r="O106" i="9" s="1"/>
  <c r="J96" i="9"/>
  <c r="M96" i="9"/>
  <c r="N96" i="9" s="1"/>
  <c r="O96" i="9" s="1"/>
  <c r="N38" i="18" s="1"/>
  <c r="J42" i="9"/>
  <c r="M42" i="9"/>
  <c r="N42" i="9" s="1"/>
  <c r="O42" i="9" s="1"/>
  <c r="L36" i="18" s="1"/>
  <c r="J45" i="9"/>
  <c r="M45" i="9"/>
  <c r="N45" i="9" s="1"/>
  <c r="O45" i="9" s="1"/>
  <c r="L39" i="18" s="1"/>
  <c r="J44" i="9"/>
  <c r="M44" i="9"/>
  <c r="N44" i="9" s="1"/>
  <c r="O44" i="9" s="1"/>
  <c r="L38" i="18" s="1"/>
  <c r="J98" i="9"/>
  <c r="M98" i="9"/>
  <c r="N98" i="9" s="1"/>
  <c r="O98" i="9" s="1"/>
  <c r="N40" i="18" s="1"/>
  <c r="J103" i="9"/>
  <c r="M103" i="9"/>
  <c r="N103" i="9" s="1"/>
  <c r="O103" i="9" s="1"/>
  <c r="J104" i="9"/>
  <c r="M104" i="9"/>
  <c r="N104" i="9" s="1"/>
  <c r="O104" i="9" s="1"/>
  <c r="I91" i="9"/>
  <c r="M91" i="9"/>
  <c r="N91" i="9" s="1"/>
  <c r="O91" i="9" s="1"/>
  <c r="L75" i="13"/>
  <c r="CL75" i="14"/>
  <c r="J151" i="13"/>
  <c r="L75" i="15"/>
  <c r="DL75" i="13"/>
  <c r="BL75" i="16"/>
  <c r="L75" i="16"/>
  <c r="AL75" i="14"/>
  <c r="CL75" i="16"/>
  <c r="DB151" i="13"/>
  <c r="AL75" i="15"/>
  <c r="BL75" i="13"/>
  <c r="BL75" i="14"/>
  <c r="DL75" i="15"/>
  <c r="DL75" i="16"/>
  <c r="AG151" i="16"/>
  <c r="AL151" i="16" s="1"/>
  <c r="AH151" i="14"/>
  <c r="L75" i="14"/>
  <c r="CL75" i="15"/>
  <c r="CL75" i="13"/>
  <c r="DL75" i="14"/>
  <c r="AL65" i="13"/>
  <c r="AL65" i="14"/>
  <c r="L65" i="14"/>
  <c r="CL65" i="15"/>
  <c r="CX151" i="16"/>
  <c r="BF151" i="15"/>
  <c r="H121" i="9"/>
  <c r="CV142" i="16"/>
  <c r="CX142" i="16" s="1"/>
  <c r="DC142" i="16" s="1"/>
  <c r="BY142" i="16"/>
  <c r="CA142" i="16" s="1"/>
  <c r="CF142" i="16" s="1"/>
  <c r="AE142" i="16"/>
  <c r="AG142" i="16" s="1"/>
  <c r="AL142" i="16" s="1"/>
  <c r="AF142" i="15"/>
  <c r="AH142" i="15" s="1"/>
  <c r="AM142" i="15" s="1"/>
  <c r="H142" i="15"/>
  <c r="J142" i="15" s="1"/>
  <c r="O142" i="15" s="1"/>
  <c r="CZ142" i="14"/>
  <c r="DB142" i="14" s="1"/>
  <c r="DG142" i="14" s="1"/>
  <c r="H142" i="16"/>
  <c r="J142" i="16" s="1"/>
  <c r="O142" i="16" s="1"/>
  <c r="AF142" i="14"/>
  <c r="AH142" i="14" s="1"/>
  <c r="AM142" i="14" s="1"/>
  <c r="H142" i="14"/>
  <c r="J142" i="14" s="1"/>
  <c r="O142" i="14" s="1"/>
  <c r="CZ142" i="13"/>
  <c r="DB142" i="13" s="1"/>
  <c r="DG142" i="13" s="1"/>
  <c r="CB142" i="13"/>
  <c r="CD142" i="13" s="1"/>
  <c r="CI142" i="13" s="1"/>
  <c r="CB142" i="14"/>
  <c r="CD142" i="14" s="1"/>
  <c r="CI142" i="14" s="1"/>
  <c r="AF142" i="13"/>
  <c r="AH142" i="13" s="1"/>
  <c r="AM142" i="13" s="1"/>
  <c r="H142" i="13"/>
  <c r="J142" i="13" s="1"/>
  <c r="O142" i="13" s="1"/>
  <c r="BD142" i="15"/>
  <c r="BF142" i="15" s="1"/>
  <c r="BK142" i="15" s="1"/>
  <c r="CZ142" i="15"/>
  <c r="DB142" i="15" s="1"/>
  <c r="DG142" i="15" s="1"/>
  <c r="BD142" i="13"/>
  <c r="BF142" i="13" s="1"/>
  <c r="BK142" i="13" s="1"/>
  <c r="CB142" i="15"/>
  <c r="CD142" i="15" s="1"/>
  <c r="CI142" i="15" s="1"/>
  <c r="BB142" i="16"/>
  <c r="BD142" i="16" s="1"/>
  <c r="BI142" i="16" s="1"/>
  <c r="BD142" i="14"/>
  <c r="BF142" i="14" s="1"/>
  <c r="BK142" i="14" s="1"/>
  <c r="H131" i="9"/>
  <c r="BB152" i="16"/>
  <c r="BD152" i="16" s="1"/>
  <c r="BI152" i="16" s="1"/>
  <c r="BD152" i="15"/>
  <c r="BF152" i="15" s="1"/>
  <c r="BK152" i="15" s="1"/>
  <c r="H152" i="15"/>
  <c r="J152" i="15" s="1"/>
  <c r="O152" i="15" s="1"/>
  <c r="CZ152" i="14"/>
  <c r="DB152" i="14" s="1"/>
  <c r="DG152" i="14" s="1"/>
  <c r="CB152" i="14"/>
  <c r="CD152" i="14" s="1"/>
  <c r="CI152" i="14" s="1"/>
  <c r="BD152" i="14"/>
  <c r="BF152" i="14" s="1"/>
  <c r="BK152" i="14" s="1"/>
  <c r="H152" i="14"/>
  <c r="J152" i="14" s="1"/>
  <c r="O152" i="14" s="1"/>
  <c r="CB152" i="13"/>
  <c r="CD152" i="13" s="1"/>
  <c r="CI152" i="13" s="1"/>
  <c r="H152" i="16"/>
  <c r="J152" i="16" s="1"/>
  <c r="O152" i="16" s="1"/>
  <c r="CZ152" i="15"/>
  <c r="DB152" i="15" s="1"/>
  <c r="DG152" i="15" s="1"/>
  <c r="AF152" i="15"/>
  <c r="AH152" i="15" s="1"/>
  <c r="AM152" i="15" s="1"/>
  <c r="CZ152" i="13"/>
  <c r="DB152" i="13" s="1"/>
  <c r="DG152" i="13" s="1"/>
  <c r="AF152" i="13"/>
  <c r="AH152" i="13" s="1"/>
  <c r="AM152" i="13" s="1"/>
  <c r="H152" i="13"/>
  <c r="J152" i="13" s="1"/>
  <c r="O152" i="13" s="1"/>
  <c r="CV152" i="16"/>
  <c r="CX152" i="16" s="1"/>
  <c r="DC152" i="16" s="1"/>
  <c r="BY152" i="16"/>
  <c r="CA152" i="16" s="1"/>
  <c r="CF152" i="16" s="1"/>
  <c r="AE152" i="16"/>
  <c r="AG152" i="16" s="1"/>
  <c r="AL152" i="16" s="1"/>
  <c r="AF152" i="14"/>
  <c r="AH152" i="14" s="1"/>
  <c r="AM152" i="14" s="1"/>
  <c r="BD152" i="13"/>
  <c r="BF152" i="13" s="1"/>
  <c r="BK152" i="13" s="1"/>
  <c r="CB152" i="15"/>
  <c r="CD152" i="15" s="1"/>
  <c r="CI152" i="15" s="1"/>
  <c r="H120" i="9"/>
  <c r="M120" i="9" s="1"/>
  <c r="H141" i="15"/>
  <c r="J141" i="15" s="1"/>
  <c r="O141" i="15" s="1"/>
  <c r="CZ141" i="14"/>
  <c r="DB141" i="14" s="1"/>
  <c r="DG141" i="14" s="1"/>
  <c r="CB141" i="14"/>
  <c r="CD141" i="14" s="1"/>
  <c r="CI141" i="14" s="1"/>
  <c r="H141" i="14"/>
  <c r="J141" i="14" s="1"/>
  <c r="O141" i="14" s="1"/>
  <c r="BB141" i="16"/>
  <c r="BD141" i="16" s="1"/>
  <c r="BI141" i="16" s="1"/>
  <c r="CZ141" i="15"/>
  <c r="DB141" i="15" s="1"/>
  <c r="DG141" i="15" s="1"/>
  <c r="CB141" i="15"/>
  <c r="CD141" i="15" s="1"/>
  <c r="CI141" i="15" s="1"/>
  <c r="AF141" i="14"/>
  <c r="AH141" i="14" s="1"/>
  <c r="AM141" i="14" s="1"/>
  <c r="CZ141" i="13"/>
  <c r="DB141" i="13" s="1"/>
  <c r="DG141" i="13" s="1"/>
  <c r="CB141" i="13"/>
  <c r="CD141" i="13" s="1"/>
  <c r="CI141" i="13" s="1"/>
  <c r="H141" i="13"/>
  <c r="J141" i="13" s="1"/>
  <c r="O141" i="13" s="1"/>
  <c r="H141" i="16"/>
  <c r="J141" i="16" s="1"/>
  <c r="O141" i="16" s="1"/>
  <c r="AF141" i="15"/>
  <c r="AH141" i="15" s="1"/>
  <c r="AM141" i="15" s="1"/>
  <c r="AF141" i="13"/>
  <c r="AH141" i="13" s="1"/>
  <c r="AM141" i="13" s="1"/>
  <c r="CV141" i="16"/>
  <c r="CX141" i="16" s="1"/>
  <c r="DC141" i="16" s="1"/>
  <c r="BY141" i="16"/>
  <c r="CA141" i="16" s="1"/>
  <c r="CF141" i="16" s="1"/>
  <c r="AE141" i="16"/>
  <c r="AG141" i="16" s="1"/>
  <c r="AL141" i="16" s="1"/>
  <c r="BD141" i="13"/>
  <c r="BF141" i="13" s="1"/>
  <c r="BK141" i="13" s="1"/>
  <c r="BD141" i="15"/>
  <c r="BF141" i="15" s="1"/>
  <c r="BK141" i="15" s="1"/>
  <c r="BD141" i="14"/>
  <c r="BF141" i="14" s="1"/>
  <c r="BK141" i="14" s="1"/>
  <c r="H122" i="9"/>
  <c r="H143" i="16"/>
  <c r="J143" i="16" s="1"/>
  <c r="O143" i="16" s="1"/>
  <c r="CZ143" i="15"/>
  <c r="DB143" i="15" s="1"/>
  <c r="DG143" i="15" s="1"/>
  <c r="H143" i="15"/>
  <c r="J143" i="15" s="1"/>
  <c r="O143" i="15" s="1"/>
  <c r="H143" i="14"/>
  <c r="J143" i="14" s="1"/>
  <c r="O143" i="14" s="1"/>
  <c r="CZ143" i="13"/>
  <c r="DB143" i="13" s="1"/>
  <c r="DG143" i="13" s="1"/>
  <c r="CV143" i="16"/>
  <c r="CX143" i="16" s="1"/>
  <c r="DC143" i="16" s="1"/>
  <c r="BY143" i="16"/>
  <c r="CA143" i="16" s="1"/>
  <c r="CF143" i="16" s="1"/>
  <c r="AE143" i="16"/>
  <c r="AG143" i="16" s="1"/>
  <c r="AL143" i="16" s="1"/>
  <c r="BD143" i="15"/>
  <c r="BF143" i="15" s="1"/>
  <c r="BK143" i="15" s="1"/>
  <c r="CB143" i="14"/>
  <c r="CD143" i="14" s="1"/>
  <c r="CI143" i="14" s="1"/>
  <c r="AF143" i="13"/>
  <c r="AH143" i="13" s="1"/>
  <c r="AM143" i="13" s="1"/>
  <c r="BB143" i="16"/>
  <c r="BD143" i="16" s="1"/>
  <c r="BI143" i="16" s="1"/>
  <c r="CB143" i="15"/>
  <c r="CD143" i="15" s="1"/>
  <c r="CI143" i="15" s="1"/>
  <c r="AF143" i="15"/>
  <c r="AH143" i="15" s="1"/>
  <c r="AM143" i="15" s="1"/>
  <c r="CB143" i="13"/>
  <c r="CD143" i="13" s="1"/>
  <c r="CI143" i="13" s="1"/>
  <c r="BD143" i="13"/>
  <c r="BF143" i="13" s="1"/>
  <c r="BK143" i="13" s="1"/>
  <c r="AF143" i="14"/>
  <c r="AH143" i="14" s="1"/>
  <c r="AM143" i="14" s="1"/>
  <c r="H143" i="13"/>
  <c r="J143" i="13" s="1"/>
  <c r="O143" i="13" s="1"/>
  <c r="BD143" i="14"/>
  <c r="BF143" i="14" s="1"/>
  <c r="BK143" i="14" s="1"/>
  <c r="CZ143" i="14"/>
  <c r="DB143" i="14" s="1"/>
  <c r="DG143" i="14" s="1"/>
  <c r="H123" i="9"/>
  <c r="M123" i="9" s="1"/>
  <c r="BB144" i="16"/>
  <c r="BD144" i="16" s="1"/>
  <c r="BI144" i="16" s="1"/>
  <c r="CB144" i="15"/>
  <c r="CD144" i="15" s="1"/>
  <c r="CI144" i="15" s="1"/>
  <c r="BD144" i="15"/>
  <c r="BF144" i="15" s="1"/>
  <c r="BK144" i="15" s="1"/>
  <c r="H144" i="13"/>
  <c r="J144" i="13" s="1"/>
  <c r="O144" i="13" s="1"/>
  <c r="CV144" i="16"/>
  <c r="CX144" i="16" s="1"/>
  <c r="DC144" i="16" s="1"/>
  <c r="BY144" i="16"/>
  <c r="CA144" i="16" s="1"/>
  <c r="CF144" i="16" s="1"/>
  <c r="AE144" i="16"/>
  <c r="AG144" i="16" s="1"/>
  <c r="AL144" i="16" s="1"/>
  <c r="CB144" i="14"/>
  <c r="CD144" i="14" s="1"/>
  <c r="CI144" i="14" s="1"/>
  <c r="H144" i="14"/>
  <c r="J144" i="14" s="1"/>
  <c r="O144" i="14" s="1"/>
  <c r="CZ144" i="13"/>
  <c r="DB144" i="13" s="1"/>
  <c r="DG144" i="13" s="1"/>
  <c r="H144" i="15"/>
  <c r="J144" i="15" s="1"/>
  <c r="O144" i="15" s="1"/>
  <c r="AF144" i="13"/>
  <c r="AH144" i="13" s="1"/>
  <c r="AM144" i="13" s="1"/>
  <c r="CZ144" i="15"/>
  <c r="DB144" i="15" s="1"/>
  <c r="DG144" i="15" s="1"/>
  <c r="AF144" i="15"/>
  <c r="AH144" i="15" s="1"/>
  <c r="AM144" i="15" s="1"/>
  <c r="CB144" i="13"/>
  <c r="CD144" i="13" s="1"/>
  <c r="CI144" i="13" s="1"/>
  <c r="BD144" i="13"/>
  <c r="BF144" i="13" s="1"/>
  <c r="BK144" i="13" s="1"/>
  <c r="AF144" i="14"/>
  <c r="AH144" i="14" s="1"/>
  <c r="AM144" i="14" s="1"/>
  <c r="H144" i="16"/>
  <c r="J144" i="16" s="1"/>
  <c r="O144" i="16" s="1"/>
  <c r="BD144" i="14"/>
  <c r="BF144" i="14" s="1"/>
  <c r="BK144" i="14" s="1"/>
  <c r="CZ144" i="14"/>
  <c r="DB144" i="14" s="1"/>
  <c r="DG144" i="14" s="1"/>
  <c r="H125" i="9"/>
  <c r="CV146" i="16"/>
  <c r="CX146" i="16" s="1"/>
  <c r="DC146" i="16" s="1"/>
  <c r="BY146" i="16"/>
  <c r="CA146" i="16" s="1"/>
  <c r="CF146" i="16" s="1"/>
  <c r="AE146" i="16"/>
  <c r="AG146" i="16" s="1"/>
  <c r="AL146" i="16" s="1"/>
  <c r="AF146" i="15"/>
  <c r="AH146" i="15" s="1"/>
  <c r="AM146" i="15" s="1"/>
  <c r="AF146" i="14"/>
  <c r="AH146" i="14" s="1"/>
  <c r="AM146" i="14" s="1"/>
  <c r="BB146" i="16"/>
  <c r="BD146" i="16" s="1"/>
  <c r="BI146" i="16" s="1"/>
  <c r="CZ146" i="15"/>
  <c r="DB146" i="15" s="1"/>
  <c r="DG146" i="15" s="1"/>
  <c r="CB146" i="15"/>
  <c r="CD146" i="15" s="1"/>
  <c r="CI146" i="15" s="1"/>
  <c r="H146" i="15"/>
  <c r="J146" i="15" s="1"/>
  <c r="O146" i="15" s="1"/>
  <c r="CB146" i="14"/>
  <c r="CD146" i="14" s="1"/>
  <c r="CI146" i="14" s="1"/>
  <c r="CZ146" i="13"/>
  <c r="DB146" i="13" s="1"/>
  <c r="DG146" i="13" s="1"/>
  <c r="H146" i="13"/>
  <c r="J146" i="13" s="1"/>
  <c r="O146" i="13" s="1"/>
  <c r="H146" i="16"/>
  <c r="J146" i="16" s="1"/>
  <c r="O146" i="16" s="1"/>
  <c r="AF146" i="13"/>
  <c r="AH146" i="13" s="1"/>
  <c r="AM146" i="13" s="1"/>
  <c r="BD146" i="13"/>
  <c r="BF146" i="13" s="1"/>
  <c r="BK146" i="13" s="1"/>
  <c r="BD146" i="15"/>
  <c r="BF146" i="15" s="1"/>
  <c r="BK146" i="15" s="1"/>
  <c r="H146" i="14"/>
  <c r="J146" i="14" s="1"/>
  <c r="O146" i="14" s="1"/>
  <c r="BD146" i="14"/>
  <c r="BF146" i="14" s="1"/>
  <c r="BK146" i="14" s="1"/>
  <c r="CZ146" i="14"/>
  <c r="DB146" i="14" s="1"/>
  <c r="DG146" i="14" s="1"/>
  <c r="CB146" i="13"/>
  <c r="CD146" i="13" s="1"/>
  <c r="CI146" i="13" s="1"/>
  <c r="H118" i="9"/>
  <c r="CV139" i="16"/>
  <c r="CX139" i="16" s="1"/>
  <c r="DC139" i="16" s="1"/>
  <c r="H139" i="16"/>
  <c r="J139" i="16" s="1"/>
  <c r="O139" i="16" s="1"/>
  <c r="CZ139" i="15"/>
  <c r="DB139" i="15" s="1"/>
  <c r="DG139" i="15" s="1"/>
  <c r="AF139" i="15"/>
  <c r="AH139" i="15" s="1"/>
  <c r="AM139" i="15" s="1"/>
  <c r="BY139" i="16"/>
  <c r="CA139" i="16" s="1"/>
  <c r="CF139" i="16" s="1"/>
  <c r="AE139" i="16"/>
  <c r="AG139" i="16" s="1"/>
  <c r="AL139" i="16" s="1"/>
  <c r="BD139" i="15"/>
  <c r="BF139" i="15" s="1"/>
  <c r="BK139" i="15" s="1"/>
  <c r="BD139" i="14"/>
  <c r="BF139" i="14" s="1"/>
  <c r="BK139" i="14" s="1"/>
  <c r="AF139" i="14"/>
  <c r="AH139" i="14" s="1"/>
  <c r="AM139" i="14" s="1"/>
  <c r="H139" i="14"/>
  <c r="J139" i="14" s="1"/>
  <c r="O139" i="14" s="1"/>
  <c r="CZ139" i="13"/>
  <c r="DB139" i="13" s="1"/>
  <c r="DG139" i="13" s="1"/>
  <c r="CB139" i="13"/>
  <c r="CD139" i="13" s="1"/>
  <c r="CI139" i="13" s="1"/>
  <c r="BB139" i="16"/>
  <c r="BD139" i="16" s="1"/>
  <c r="BI139" i="16" s="1"/>
  <c r="CB139" i="15"/>
  <c r="CD139" i="15" s="1"/>
  <c r="CI139" i="15" s="1"/>
  <c r="CB139" i="14"/>
  <c r="CD139" i="14" s="1"/>
  <c r="CI139" i="14" s="1"/>
  <c r="AF139" i="13"/>
  <c r="AH139" i="13" s="1"/>
  <c r="AM139" i="13" s="1"/>
  <c r="BD139" i="13"/>
  <c r="BF139" i="13" s="1"/>
  <c r="BK139" i="13" s="1"/>
  <c r="H139" i="13"/>
  <c r="J139" i="13" s="1"/>
  <c r="O139" i="13" s="1"/>
  <c r="H139" i="15"/>
  <c r="J139" i="15" s="1"/>
  <c r="O139" i="15" s="1"/>
  <c r="CZ139" i="14"/>
  <c r="DB139" i="14" s="1"/>
  <c r="DG139" i="14" s="1"/>
  <c r="CV150" i="16"/>
  <c r="CX150" i="16" s="1"/>
  <c r="DC150" i="16" s="1"/>
  <c r="BY150" i="16"/>
  <c r="CA150" i="16" s="1"/>
  <c r="CF150" i="16" s="1"/>
  <c r="AE150" i="16"/>
  <c r="AG150" i="16" s="1"/>
  <c r="AL150" i="16" s="1"/>
  <c r="H150" i="16"/>
  <c r="J150" i="16" s="1"/>
  <c r="O150" i="16" s="1"/>
  <c r="AF150" i="15"/>
  <c r="AH150" i="15" s="1"/>
  <c r="AM150" i="15" s="1"/>
  <c r="BD150" i="14"/>
  <c r="BF150" i="14" s="1"/>
  <c r="BK150" i="14" s="1"/>
  <c r="CB150" i="13"/>
  <c r="CD150" i="13" s="1"/>
  <c r="CI150" i="13" s="1"/>
  <c r="CB150" i="15"/>
  <c r="CD150" i="15" s="1"/>
  <c r="CI150" i="15" s="1"/>
  <c r="BD150" i="15"/>
  <c r="BF150" i="15" s="1"/>
  <c r="BK150" i="15" s="1"/>
  <c r="CZ150" i="13"/>
  <c r="DB150" i="13" s="1"/>
  <c r="DG150" i="13" s="1"/>
  <c r="BB150" i="16"/>
  <c r="BD150" i="16" s="1"/>
  <c r="BI150" i="16" s="1"/>
  <c r="CZ150" i="15"/>
  <c r="DB150" i="15" s="1"/>
  <c r="DG150" i="15" s="1"/>
  <c r="AF150" i="13"/>
  <c r="AH150" i="13" s="1"/>
  <c r="AM150" i="13" s="1"/>
  <c r="BD150" i="13"/>
  <c r="BF150" i="13" s="1"/>
  <c r="BK150" i="13" s="1"/>
  <c r="H150" i="13"/>
  <c r="J150" i="13" s="1"/>
  <c r="O150" i="13" s="1"/>
  <c r="AF150" i="14"/>
  <c r="AH150" i="14" s="1"/>
  <c r="AM150" i="14" s="1"/>
  <c r="CZ150" i="14"/>
  <c r="DB150" i="14" s="1"/>
  <c r="DG150" i="14" s="1"/>
  <c r="H150" i="15"/>
  <c r="J150" i="15" s="1"/>
  <c r="O150" i="15" s="1"/>
  <c r="CB150" i="14"/>
  <c r="CD150" i="14" s="1"/>
  <c r="CI150" i="14" s="1"/>
  <c r="H150" i="14"/>
  <c r="J150" i="14" s="1"/>
  <c r="O150" i="14" s="1"/>
  <c r="H117" i="9"/>
  <c r="BY138" i="16"/>
  <c r="CA138" i="16" s="1"/>
  <c r="CF138" i="16" s="1"/>
  <c r="AE138" i="16"/>
  <c r="AG138" i="16" s="1"/>
  <c r="AL138" i="16" s="1"/>
  <c r="BD138" i="14"/>
  <c r="BF138" i="14" s="1"/>
  <c r="BK138" i="14" s="1"/>
  <c r="CB138" i="13"/>
  <c r="CD138" i="13" s="1"/>
  <c r="CI138" i="13" s="1"/>
  <c r="H138" i="15"/>
  <c r="J138" i="15" s="1"/>
  <c r="O138" i="15" s="1"/>
  <c r="AF138" i="14"/>
  <c r="AH138" i="14" s="1"/>
  <c r="AM138" i="14" s="1"/>
  <c r="CZ138" i="13"/>
  <c r="DB138" i="13" s="1"/>
  <c r="DG138" i="13" s="1"/>
  <c r="BD138" i="15"/>
  <c r="BF138" i="15" s="1"/>
  <c r="BK138" i="15" s="1"/>
  <c r="CB138" i="14"/>
  <c r="CD138" i="14" s="1"/>
  <c r="CI138" i="14" s="1"/>
  <c r="AF138" i="13"/>
  <c r="AH138" i="13" s="1"/>
  <c r="AM138" i="13" s="1"/>
  <c r="CV138" i="16"/>
  <c r="CX138" i="16" s="1"/>
  <c r="DC138" i="16" s="1"/>
  <c r="BB138" i="16"/>
  <c r="BD138" i="16" s="1"/>
  <c r="BI138" i="16" s="1"/>
  <c r="CZ138" i="15"/>
  <c r="DB138" i="15" s="1"/>
  <c r="DG138" i="15" s="1"/>
  <c r="CB138" i="15"/>
  <c r="CD138" i="15" s="1"/>
  <c r="CI138" i="15" s="1"/>
  <c r="H138" i="14"/>
  <c r="J138" i="14" s="1"/>
  <c r="O138" i="14" s="1"/>
  <c r="BD138" i="13"/>
  <c r="BF138" i="13" s="1"/>
  <c r="BK138" i="13" s="1"/>
  <c r="H138" i="13"/>
  <c r="J138" i="13" s="1"/>
  <c r="O138" i="13" s="1"/>
  <c r="H138" i="16"/>
  <c r="J138" i="16" s="1"/>
  <c r="O138" i="16" s="1"/>
  <c r="AF138" i="15"/>
  <c r="AH138" i="15" s="1"/>
  <c r="AM138" i="15" s="1"/>
  <c r="CZ138" i="14"/>
  <c r="DB138" i="14" s="1"/>
  <c r="DG138" i="14" s="1"/>
  <c r="H128" i="9"/>
  <c r="M128" i="9" s="1"/>
  <c r="BD149" i="14"/>
  <c r="BF149" i="14" s="1"/>
  <c r="BK149" i="14" s="1"/>
  <c r="CB149" i="13"/>
  <c r="CD149" i="13" s="1"/>
  <c r="CI149" i="13" s="1"/>
  <c r="CV149" i="16"/>
  <c r="CX149" i="16" s="1"/>
  <c r="DC149" i="16" s="1"/>
  <c r="BY149" i="16"/>
  <c r="CA149" i="16" s="1"/>
  <c r="CF149" i="16" s="1"/>
  <c r="AE149" i="16"/>
  <c r="AG149" i="16" s="1"/>
  <c r="AL149" i="16" s="1"/>
  <c r="H149" i="15"/>
  <c r="J149" i="15" s="1"/>
  <c r="O149" i="15" s="1"/>
  <c r="CZ149" i="13"/>
  <c r="DB149" i="13" s="1"/>
  <c r="DG149" i="13" s="1"/>
  <c r="CB149" i="15"/>
  <c r="CD149" i="15" s="1"/>
  <c r="CI149" i="15" s="1"/>
  <c r="BD149" i="15"/>
  <c r="BF149" i="15" s="1"/>
  <c r="BK149" i="15" s="1"/>
  <c r="H149" i="14"/>
  <c r="J149" i="14" s="1"/>
  <c r="O149" i="14" s="1"/>
  <c r="AF149" i="13"/>
  <c r="AH149" i="13" s="1"/>
  <c r="AM149" i="13" s="1"/>
  <c r="BB149" i="16"/>
  <c r="BD149" i="16" s="1"/>
  <c r="BI149" i="16" s="1"/>
  <c r="H149" i="16"/>
  <c r="J149" i="16" s="1"/>
  <c r="O149" i="16" s="1"/>
  <c r="CZ149" i="15"/>
  <c r="DB149" i="15" s="1"/>
  <c r="DG149" i="15" s="1"/>
  <c r="AF149" i="15"/>
  <c r="AH149" i="15" s="1"/>
  <c r="AM149" i="15" s="1"/>
  <c r="BD149" i="13"/>
  <c r="BF149" i="13" s="1"/>
  <c r="BK149" i="13" s="1"/>
  <c r="AF149" i="14"/>
  <c r="AH149" i="14" s="1"/>
  <c r="AM149" i="14" s="1"/>
  <c r="CZ149" i="14"/>
  <c r="DB149" i="14" s="1"/>
  <c r="DG149" i="14" s="1"/>
  <c r="CB149" i="14"/>
  <c r="CD149" i="14" s="1"/>
  <c r="CI149" i="14" s="1"/>
  <c r="H149" i="13"/>
  <c r="J149" i="13" s="1"/>
  <c r="O149" i="13" s="1"/>
  <c r="H126" i="9"/>
  <c r="H147" i="16"/>
  <c r="J147" i="16" s="1"/>
  <c r="O147" i="16" s="1"/>
  <c r="CZ147" i="15"/>
  <c r="DB147" i="15" s="1"/>
  <c r="DG147" i="15" s="1"/>
  <c r="H147" i="14"/>
  <c r="J147" i="14" s="1"/>
  <c r="O147" i="14" s="1"/>
  <c r="AF147" i="15"/>
  <c r="AH147" i="15" s="1"/>
  <c r="AM147" i="15" s="1"/>
  <c r="H147" i="15"/>
  <c r="J147" i="15" s="1"/>
  <c r="O147" i="15" s="1"/>
  <c r="CB147" i="14"/>
  <c r="CD147" i="14" s="1"/>
  <c r="CI147" i="14" s="1"/>
  <c r="CZ147" i="13"/>
  <c r="DB147" i="13" s="1"/>
  <c r="DG147" i="13" s="1"/>
  <c r="AF147" i="13"/>
  <c r="AH147" i="13" s="1"/>
  <c r="AM147" i="13" s="1"/>
  <c r="H147" i="13"/>
  <c r="J147" i="13" s="1"/>
  <c r="O147" i="13" s="1"/>
  <c r="CV147" i="16"/>
  <c r="CX147" i="16" s="1"/>
  <c r="DC147" i="16" s="1"/>
  <c r="BY147" i="16"/>
  <c r="CA147" i="16" s="1"/>
  <c r="CF147" i="16" s="1"/>
  <c r="AE147" i="16"/>
  <c r="AG147" i="16" s="1"/>
  <c r="AL147" i="16" s="1"/>
  <c r="BD147" i="15"/>
  <c r="BF147" i="15" s="1"/>
  <c r="BK147" i="15" s="1"/>
  <c r="CB147" i="15"/>
  <c r="CD147" i="15" s="1"/>
  <c r="CI147" i="15" s="1"/>
  <c r="BD147" i="13"/>
  <c r="BF147" i="13" s="1"/>
  <c r="BK147" i="13" s="1"/>
  <c r="BB147" i="16"/>
  <c r="BD147" i="16" s="1"/>
  <c r="BI147" i="16" s="1"/>
  <c r="BD147" i="14"/>
  <c r="BF147" i="14" s="1"/>
  <c r="BK147" i="14" s="1"/>
  <c r="AF147" i="14"/>
  <c r="AH147" i="14" s="1"/>
  <c r="AM147" i="14" s="1"/>
  <c r="CZ147" i="14"/>
  <c r="DB147" i="14" s="1"/>
  <c r="DG147" i="14" s="1"/>
  <c r="CB147" i="13"/>
  <c r="CD147" i="13" s="1"/>
  <c r="CI147" i="13" s="1"/>
  <c r="CB151" i="16"/>
  <c r="CG151" i="16" s="1"/>
  <c r="CC151" i="16"/>
  <c r="CH151" i="16" s="1"/>
  <c r="K151" i="14"/>
  <c r="P151" i="14" s="1"/>
  <c r="L151" i="14"/>
  <c r="Q151" i="14" s="1"/>
  <c r="DC151" i="14"/>
  <c r="DH151" i="14" s="1"/>
  <c r="DD151" i="14"/>
  <c r="DI151" i="14" s="1"/>
  <c r="CF151" i="14"/>
  <c r="CK151" i="14" s="1"/>
  <c r="BB140" i="16"/>
  <c r="BD140" i="16" s="1"/>
  <c r="BI140" i="16" s="1"/>
  <c r="CB140" i="15"/>
  <c r="CD140" i="15" s="1"/>
  <c r="CI140" i="15" s="1"/>
  <c r="BD140" i="15"/>
  <c r="BF140" i="15" s="1"/>
  <c r="BK140" i="15" s="1"/>
  <c r="H140" i="15"/>
  <c r="J140" i="15" s="1"/>
  <c r="O140" i="15" s="1"/>
  <c r="CZ140" i="14"/>
  <c r="DB140" i="14" s="1"/>
  <c r="DG140" i="14" s="1"/>
  <c r="CB140" i="14"/>
  <c r="CD140" i="14" s="1"/>
  <c r="CI140" i="14" s="1"/>
  <c r="H140" i="13"/>
  <c r="J140" i="13" s="1"/>
  <c r="O140" i="13" s="1"/>
  <c r="CV140" i="16"/>
  <c r="CX140" i="16" s="1"/>
  <c r="DC140" i="16" s="1"/>
  <c r="AF140" i="14"/>
  <c r="AH140" i="14" s="1"/>
  <c r="AM140" i="14" s="1"/>
  <c r="CZ140" i="13"/>
  <c r="DB140" i="13" s="1"/>
  <c r="DG140" i="13" s="1"/>
  <c r="CB140" i="13"/>
  <c r="CD140" i="13" s="1"/>
  <c r="CI140" i="13" s="1"/>
  <c r="CZ140" i="15"/>
  <c r="DB140" i="15" s="1"/>
  <c r="DG140" i="15" s="1"/>
  <c r="H140" i="14"/>
  <c r="J140" i="14" s="1"/>
  <c r="O140" i="14" s="1"/>
  <c r="AF140" i="13"/>
  <c r="AH140" i="13" s="1"/>
  <c r="AM140" i="13" s="1"/>
  <c r="H140" i="16"/>
  <c r="J140" i="16" s="1"/>
  <c r="O140" i="16" s="1"/>
  <c r="BD140" i="13"/>
  <c r="BF140" i="13" s="1"/>
  <c r="BK140" i="13" s="1"/>
  <c r="BY140" i="16"/>
  <c r="CA140" i="16" s="1"/>
  <c r="CF140" i="16" s="1"/>
  <c r="AF140" i="15"/>
  <c r="AH140" i="15" s="1"/>
  <c r="AM140" i="15" s="1"/>
  <c r="BD140" i="14"/>
  <c r="BF140" i="14" s="1"/>
  <c r="BK140" i="14" s="1"/>
  <c r="AE140" i="16"/>
  <c r="AG140" i="16" s="1"/>
  <c r="AL140" i="16" s="1"/>
  <c r="AF145" i="14"/>
  <c r="AH145" i="14" s="1"/>
  <c r="AM145" i="14" s="1"/>
  <c r="BD145" i="15"/>
  <c r="BF145" i="15" s="1"/>
  <c r="BK145" i="15" s="1"/>
  <c r="CB145" i="14"/>
  <c r="CD145" i="14" s="1"/>
  <c r="CI145" i="14" s="1"/>
  <c r="CZ145" i="13"/>
  <c r="DB145" i="13" s="1"/>
  <c r="DG145" i="13" s="1"/>
  <c r="BB145" i="16"/>
  <c r="BD145" i="16" s="1"/>
  <c r="BI145" i="16" s="1"/>
  <c r="CZ145" i="15"/>
  <c r="DB145" i="15" s="1"/>
  <c r="DG145" i="15" s="1"/>
  <c r="CB145" i="15"/>
  <c r="CD145" i="15" s="1"/>
  <c r="CI145" i="15" s="1"/>
  <c r="AF145" i="15"/>
  <c r="AH145" i="15" s="1"/>
  <c r="AM145" i="15" s="1"/>
  <c r="H145" i="15"/>
  <c r="J145" i="15" s="1"/>
  <c r="O145" i="15" s="1"/>
  <c r="H145" i="14"/>
  <c r="J145" i="14" s="1"/>
  <c r="O145" i="14" s="1"/>
  <c r="AF145" i="13"/>
  <c r="AH145" i="13" s="1"/>
  <c r="AM145" i="13" s="1"/>
  <c r="H145" i="16"/>
  <c r="J145" i="16" s="1"/>
  <c r="O145" i="16" s="1"/>
  <c r="BY145" i="16"/>
  <c r="CA145" i="16" s="1"/>
  <c r="CF145" i="16" s="1"/>
  <c r="BD145" i="13"/>
  <c r="BF145" i="13" s="1"/>
  <c r="BK145" i="13" s="1"/>
  <c r="CV145" i="16"/>
  <c r="CX145" i="16" s="1"/>
  <c r="DC145" i="16" s="1"/>
  <c r="AE145" i="16"/>
  <c r="AG145" i="16" s="1"/>
  <c r="AL145" i="16" s="1"/>
  <c r="BD145" i="14"/>
  <c r="BF145" i="14" s="1"/>
  <c r="BK145" i="14" s="1"/>
  <c r="H145" i="13"/>
  <c r="J145" i="13" s="1"/>
  <c r="O145" i="13" s="1"/>
  <c r="CZ145" i="14"/>
  <c r="DB145" i="14" s="1"/>
  <c r="DG145" i="14" s="1"/>
  <c r="CB145" i="13"/>
  <c r="CD145" i="13" s="1"/>
  <c r="CI145" i="13" s="1"/>
  <c r="H127" i="9"/>
  <c r="BB148" i="16"/>
  <c r="BD148" i="16" s="1"/>
  <c r="BI148" i="16" s="1"/>
  <c r="CB148" i="15"/>
  <c r="CD148" i="15" s="1"/>
  <c r="CI148" i="15" s="1"/>
  <c r="BD148" i="15"/>
  <c r="BF148" i="15" s="1"/>
  <c r="BK148" i="15" s="1"/>
  <c r="BD148" i="14"/>
  <c r="BF148" i="14" s="1"/>
  <c r="BK148" i="14" s="1"/>
  <c r="H148" i="13"/>
  <c r="J148" i="13" s="1"/>
  <c r="O148" i="13" s="1"/>
  <c r="H148" i="15"/>
  <c r="J148" i="15" s="1"/>
  <c r="O148" i="15" s="1"/>
  <c r="CZ148" i="13"/>
  <c r="DB148" i="13" s="1"/>
  <c r="DG148" i="13" s="1"/>
  <c r="CV148" i="16"/>
  <c r="CX148" i="16" s="1"/>
  <c r="DC148" i="16" s="1"/>
  <c r="BY148" i="16"/>
  <c r="CA148" i="16" s="1"/>
  <c r="CF148" i="16" s="1"/>
  <c r="AE148" i="16"/>
  <c r="AG148" i="16" s="1"/>
  <c r="AL148" i="16" s="1"/>
  <c r="H148" i="14"/>
  <c r="J148" i="14" s="1"/>
  <c r="O148" i="14" s="1"/>
  <c r="AF148" i="13"/>
  <c r="AH148" i="13" s="1"/>
  <c r="AM148" i="13" s="1"/>
  <c r="H148" i="16"/>
  <c r="J148" i="16" s="1"/>
  <c r="O148" i="16" s="1"/>
  <c r="BD148" i="13"/>
  <c r="BF148" i="13" s="1"/>
  <c r="BK148" i="13" s="1"/>
  <c r="AF148" i="14"/>
  <c r="AH148" i="14" s="1"/>
  <c r="AM148" i="14" s="1"/>
  <c r="CZ148" i="14"/>
  <c r="DB148" i="14" s="1"/>
  <c r="DG148" i="14" s="1"/>
  <c r="CZ148" i="15"/>
  <c r="DB148" i="15" s="1"/>
  <c r="DG148" i="15" s="1"/>
  <c r="AF148" i="15"/>
  <c r="AH148" i="15" s="1"/>
  <c r="AM148" i="15" s="1"/>
  <c r="CB148" i="14"/>
  <c r="CD148" i="14" s="1"/>
  <c r="CI148" i="14" s="1"/>
  <c r="CB148" i="13"/>
  <c r="CD148" i="13" s="1"/>
  <c r="CI148" i="13" s="1"/>
  <c r="H132" i="9"/>
  <c r="H153" i="16"/>
  <c r="J153" i="16" s="1"/>
  <c r="O153" i="16" s="1"/>
  <c r="H153" i="15"/>
  <c r="J153" i="15" s="1"/>
  <c r="O153" i="15" s="1"/>
  <c r="CZ153" i="14"/>
  <c r="DB153" i="14" s="1"/>
  <c r="DG153" i="14" s="1"/>
  <c r="CB153" i="14"/>
  <c r="CD153" i="14" s="1"/>
  <c r="CI153" i="14" s="1"/>
  <c r="BD153" i="14"/>
  <c r="BF153" i="14" s="1"/>
  <c r="BK153" i="14" s="1"/>
  <c r="H153" i="14"/>
  <c r="J153" i="14" s="1"/>
  <c r="O153" i="14" s="1"/>
  <c r="CB153" i="13"/>
  <c r="CD153" i="13" s="1"/>
  <c r="CI153" i="13" s="1"/>
  <c r="CZ153" i="13"/>
  <c r="DB153" i="13" s="1"/>
  <c r="DG153" i="13" s="1"/>
  <c r="CV153" i="16"/>
  <c r="CX153" i="16" s="1"/>
  <c r="DC153" i="16" s="1"/>
  <c r="BY153" i="16"/>
  <c r="CA153" i="16" s="1"/>
  <c r="CF153" i="16" s="1"/>
  <c r="AE153" i="16"/>
  <c r="AG153" i="16" s="1"/>
  <c r="AL153" i="16" s="1"/>
  <c r="AF153" i="13"/>
  <c r="AH153" i="13" s="1"/>
  <c r="AM153" i="13" s="1"/>
  <c r="CB153" i="15"/>
  <c r="CD153" i="15" s="1"/>
  <c r="CI153" i="15" s="1"/>
  <c r="BD153" i="15"/>
  <c r="BF153" i="15" s="1"/>
  <c r="BK153" i="15" s="1"/>
  <c r="BB153" i="16"/>
  <c r="BD153" i="16" s="1"/>
  <c r="BI153" i="16" s="1"/>
  <c r="AF153" i="14"/>
  <c r="AH153" i="14" s="1"/>
  <c r="AM153" i="14" s="1"/>
  <c r="BD153" i="13"/>
  <c r="BF153" i="13" s="1"/>
  <c r="BK153" i="13" s="1"/>
  <c r="H153" i="13"/>
  <c r="J153" i="13" s="1"/>
  <c r="O153" i="13" s="1"/>
  <c r="CZ153" i="15"/>
  <c r="DB153" i="15" s="1"/>
  <c r="DG153" i="15" s="1"/>
  <c r="AF153" i="15"/>
  <c r="AH153" i="15" s="1"/>
  <c r="AM153" i="15" s="1"/>
  <c r="AI151" i="15"/>
  <c r="AN151" i="15" s="1"/>
  <c r="AJ151" i="15"/>
  <c r="AO151" i="15" s="1"/>
  <c r="BF151" i="16"/>
  <c r="BK151" i="16" s="1"/>
  <c r="BE151" i="16"/>
  <c r="BJ151" i="16" s="1"/>
  <c r="K151" i="15"/>
  <c r="P151" i="15" s="1"/>
  <c r="L151" i="15"/>
  <c r="Q151" i="15" s="1"/>
  <c r="K151" i="16"/>
  <c r="P151" i="16" s="1"/>
  <c r="L151" i="16"/>
  <c r="Q151" i="16" s="1"/>
  <c r="CE151" i="13"/>
  <c r="CJ151" i="13" s="1"/>
  <c r="CF151" i="13"/>
  <c r="CK151" i="13" s="1"/>
  <c r="CE151" i="15"/>
  <c r="CJ151" i="15" s="1"/>
  <c r="CF151" i="15"/>
  <c r="CK151" i="15" s="1"/>
  <c r="BG151" i="13"/>
  <c r="BL151" i="13" s="1"/>
  <c r="BH151" i="13"/>
  <c r="BM151" i="13" s="1"/>
  <c r="AJ151" i="13"/>
  <c r="AO151" i="13" s="1"/>
  <c r="AI151" i="13"/>
  <c r="AN151" i="13" s="1"/>
  <c r="BG151" i="14"/>
  <c r="BL151" i="14" s="1"/>
  <c r="BH151" i="14"/>
  <c r="BM151" i="14" s="1"/>
  <c r="DC151" i="15"/>
  <c r="DH151" i="15" s="1"/>
  <c r="DD151" i="15"/>
  <c r="DI151" i="15" s="1"/>
  <c r="F16" i="9"/>
  <c r="H16" i="9" s="1"/>
  <c r="F76" i="9"/>
  <c r="H76" i="9" s="1"/>
  <c r="M76" i="9" s="1"/>
  <c r="N76" i="9" s="1"/>
  <c r="O76" i="9" s="1"/>
  <c r="F75" i="9"/>
  <c r="H75" i="9" s="1"/>
  <c r="F80" i="9"/>
  <c r="H80" i="9" s="1"/>
  <c r="F72" i="9"/>
  <c r="H72" i="9" s="1"/>
  <c r="F77" i="9"/>
  <c r="H77" i="9" s="1"/>
  <c r="F79" i="9"/>
  <c r="H79" i="9" s="1"/>
  <c r="F69" i="9"/>
  <c r="H69" i="9" s="1"/>
  <c r="M69" i="9" s="1"/>
  <c r="N69" i="9" s="1"/>
  <c r="O69" i="9" s="1"/>
  <c r="F71" i="9"/>
  <c r="H71" i="9" s="1"/>
  <c r="F68" i="9"/>
  <c r="F74" i="9"/>
  <c r="H74" i="9" s="1"/>
  <c r="F66" i="9"/>
  <c r="H66" i="9" s="1"/>
  <c r="F78" i="9"/>
  <c r="H78" i="9" s="1"/>
  <c r="F67" i="9"/>
  <c r="H67" i="9" s="1"/>
  <c r="F73" i="9"/>
  <c r="H73" i="9" s="1"/>
  <c r="F65" i="9"/>
  <c r="H65" i="9" s="1"/>
  <c r="F17" i="9"/>
  <c r="H17" i="9" s="1"/>
  <c r="F20" i="9"/>
  <c r="H20" i="9" s="1"/>
  <c r="F26" i="9"/>
  <c r="H26" i="9" s="1"/>
  <c r="M26" i="9" s="1"/>
  <c r="N26" i="9" s="1"/>
  <c r="O26" i="9" s="1"/>
  <c r="P12" i="8"/>
  <c r="F23" i="9"/>
  <c r="H23" i="9" s="1"/>
  <c r="F13" i="9"/>
  <c r="H13" i="9" s="1"/>
  <c r="M13" i="9" s="1"/>
  <c r="N13" i="9" s="1"/>
  <c r="O13" i="9" s="1"/>
  <c r="F21" i="9"/>
  <c r="H21" i="9" s="1"/>
  <c r="F27" i="9"/>
  <c r="H27" i="9" s="1"/>
  <c r="F15" i="9"/>
  <c r="H15" i="9" s="1"/>
  <c r="F25" i="9"/>
  <c r="H25" i="9" s="1"/>
  <c r="F28" i="9"/>
  <c r="H28" i="9" s="1"/>
  <c r="F19" i="9"/>
  <c r="H19" i="9" s="1"/>
  <c r="F24" i="9"/>
  <c r="H24" i="9" s="1"/>
  <c r="F14" i="9"/>
  <c r="H14" i="9" s="1"/>
  <c r="F22" i="9"/>
  <c r="H22" i="9" s="1"/>
  <c r="H48" i="9"/>
  <c r="G152" i="9"/>
  <c r="H68" i="9"/>
  <c r="G146" i="9"/>
  <c r="I146" i="9" s="1"/>
  <c r="N146" i="9" s="1"/>
  <c r="H129" i="9"/>
  <c r="G155" i="9"/>
  <c r="H53" i="9"/>
  <c r="G157" i="9"/>
  <c r="H97" i="9"/>
  <c r="G149" i="9"/>
  <c r="H43" i="9"/>
  <c r="M43" i="9" s="1"/>
  <c r="N43" i="9" s="1"/>
  <c r="O43" i="9" s="1"/>
  <c r="G147" i="9"/>
  <c r="H92" i="9"/>
  <c r="G144" i="9"/>
  <c r="H102" i="9"/>
  <c r="G154" i="9"/>
  <c r="H119" i="9"/>
  <c r="G145" i="9"/>
  <c r="H124" i="9"/>
  <c r="G150" i="9"/>
  <c r="I150" i="9" s="1"/>
  <c r="N150" i="9" s="1"/>
  <c r="H18" i="9"/>
  <c r="M18" i="9" s="1"/>
  <c r="N18" i="9" s="1"/>
  <c r="O18" i="9" s="1"/>
  <c r="G148" i="9"/>
  <c r="I18" i="17"/>
  <c r="L18" i="17" s="1"/>
  <c r="I17" i="17"/>
  <c r="M17" i="17" s="1"/>
  <c r="I14" i="17"/>
  <c r="L14" i="17" s="1"/>
  <c r="I13" i="17"/>
  <c r="L13" i="17" s="1"/>
  <c r="I10" i="17"/>
  <c r="M10" i="17" s="1"/>
  <c r="I19" i="17"/>
  <c r="L19" i="17" s="1"/>
  <c r="I22" i="17"/>
  <c r="M22" i="17" s="1"/>
  <c r="I16" i="17"/>
  <c r="L16" i="17" s="1"/>
  <c r="I20" i="17"/>
  <c r="L20" i="17" s="1"/>
  <c r="I12" i="17"/>
  <c r="L12" i="17" s="1"/>
  <c r="I21" i="17"/>
  <c r="L21" i="17" s="1"/>
  <c r="I9" i="17"/>
  <c r="L9" i="17" s="1"/>
  <c r="I8" i="17"/>
  <c r="L8" i="17" s="1"/>
  <c r="I11" i="17"/>
  <c r="L11" i="17" s="1"/>
  <c r="I15" i="17"/>
  <c r="L15" i="17" s="1"/>
  <c r="I7" i="17"/>
  <c r="L7" i="17" s="1"/>
  <c r="N7" i="17" s="1"/>
  <c r="J91" i="9"/>
  <c r="I105" i="9"/>
  <c r="I104" i="9"/>
  <c r="I96" i="9"/>
  <c r="I98" i="9"/>
  <c r="I106" i="9"/>
  <c r="I94" i="9"/>
  <c r="I130" i="9"/>
  <c r="N130" i="9" s="1"/>
  <c r="I103" i="9"/>
  <c r="N15" i="23"/>
  <c r="M15" i="23"/>
  <c r="N20" i="23"/>
  <c r="M20" i="23"/>
  <c r="N8" i="23"/>
  <c r="M8" i="23"/>
  <c r="N16" i="23"/>
  <c r="M16" i="23"/>
  <c r="N13" i="23"/>
  <c r="M13" i="23"/>
  <c r="N17" i="23"/>
  <c r="M17" i="23"/>
  <c r="N11" i="23"/>
  <c r="M11" i="23"/>
  <c r="N21" i="23"/>
  <c r="M21" i="23"/>
  <c r="N19" i="23"/>
  <c r="M19" i="23"/>
  <c r="N18" i="23"/>
  <c r="M18" i="23"/>
  <c r="N12" i="23"/>
  <c r="M12" i="23"/>
  <c r="N9" i="23"/>
  <c r="M9" i="23"/>
  <c r="N10" i="23"/>
  <c r="M10" i="23"/>
  <c r="N22" i="23"/>
  <c r="M22" i="23"/>
  <c r="N14" i="23"/>
  <c r="M14" i="23"/>
  <c r="I99" i="9"/>
  <c r="J93" i="9"/>
  <c r="L44" i="18"/>
  <c r="I95" i="9"/>
  <c r="I93" i="9"/>
  <c r="J99" i="9"/>
  <c r="I100" i="9"/>
  <c r="J101" i="9"/>
  <c r="I40" i="9"/>
  <c r="I47" i="9"/>
  <c r="I39" i="9"/>
  <c r="J39" i="9"/>
  <c r="I70" i="9"/>
  <c r="I52" i="9"/>
  <c r="I50" i="9"/>
  <c r="I46" i="9"/>
  <c r="I51" i="9"/>
  <c r="I41" i="9"/>
  <c r="I49" i="9"/>
  <c r="J47" i="9"/>
  <c r="I44" i="9"/>
  <c r="J52" i="9"/>
  <c r="J40" i="9"/>
  <c r="I54" i="9"/>
  <c r="I42" i="9"/>
  <c r="I45" i="9"/>
  <c r="J54" i="9"/>
  <c r="R13" i="2"/>
  <c r="K13" i="2"/>
  <c r="AE14" i="2"/>
  <c r="V12" i="8" s="1"/>
  <c r="AF14" i="2"/>
  <c r="W12" i="8" s="1"/>
  <c r="J16" i="2"/>
  <c r="K16" i="2" s="1"/>
  <c r="Q16" i="2"/>
  <c r="Q18" i="2" s="1"/>
  <c r="BG151" i="15" l="1"/>
  <c r="BL151" i="15" s="1"/>
  <c r="BK151" i="15"/>
  <c r="L151" i="13"/>
  <c r="Q151" i="13" s="1"/>
  <c r="O151" i="13"/>
  <c r="DC151" i="13"/>
  <c r="DH151" i="13" s="1"/>
  <c r="DG151" i="13"/>
  <c r="AI151" i="14"/>
  <c r="AN151" i="14" s="1"/>
  <c r="AM151" i="14"/>
  <c r="CE151" i="14"/>
  <c r="CJ151" i="14" s="1"/>
  <c r="CY151" i="16"/>
  <c r="DD151" i="16" s="1"/>
  <c r="DC151" i="16"/>
  <c r="J18" i="2"/>
  <c r="G36" i="18"/>
  <c r="K151" i="13"/>
  <c r="P151" i="13" s="1"/>
  <c r="BH151" i="15"/>
  <c r="BM151" i="15" s="1"/>
  <c r="G48" i="18"/>
  <c r="G33" i="18"/>
  <c r="G45" i="18"/>
  <c r="N33" i="18"/>
  <c r="G47" i="18"/>
  <c r="G43" i="18"/>
  <c r="J120" i="9"/>
  <c r="CZ151" i="16"/>
  <c r="DE151" i="16" s="1"/>
  <c r="H46" i="18"/>
  <c r="G40" i="18"/>
  <c r="G38" i="18"/>
  <c r="J92" i="9"/>
  <c r="M92" i="9"/>
  <c r="N92" i="9" s="1"/>
  <c r="O92" i="9" s="1"/>
  <c r="I48" i="9"/>
  <c r="M48" i="9"/>
  <c r="N48" i="9" s="1"/>
  <c r="O48" i="9" s="1"/>
  <c r="J80" i="9"/>
  <c r="M80" i="9"/>
  <c r="N80" i="9" s="1"/>
  <c r="O80" i="9" s="1"/>
  <c r="J132" i="9"/>
  <c r="O132" i="9" s="1"/>
  <c r="M132" i="9"/>
  <c r="J118" i="9"/>
  <c r="O118" i="9" s="1"/>
  <c r="M118" i="9"/>
  <c r="J119" i="9"/>
  <c r="O119" i="9" s="1"/>
  <c r="M119" i="9"/>
  <c r="J28" i="9"/>
  <c r="M28" i="9"/>
  <c r="N28" i="9" s="1"/>
  <c r="O28" i="9" s="1"/>
  <c r="K48" i="18" s="1"/>
  <c r="Q22" i="17" s="1"/>
  <c r="J74" i="9"/>
  <c r="M74" i="9"/>
  <c r="N74" i="9" s="1"/>
  <c r="O74" i="9" s="1"/>
  <c r="J127" i="9"/>
  <c r="O127" i="9" s="1"/>
  <c r="M127" i="9"/>
  <c r="J126" i="9"/>
  <c r="O126" i="9" s="1"/>
  <c r="M126" i="9"/>
  <c r="J125" i="9"/>
  <c r="O125" i="9" s="1"/>
  <c r="M125" i="9"/>
  <c r="J131" i="9"/>
  <c r="O131" i="9" s="1"/>
  <c r="M131" i="9"/>
  <c r="N46" i="18"/>
  <c r="O46" i="18"/>
  <c r="J129" i="9"/>
  <c r="O129" i="9" s="1"/>
  <c r="M129" i="9"/>
  <c r="I27" i="9"/>
  <c r="M27" i="9"/>
  <c r="N27" i="9" s="1"/>
  <c r="O27" i="9" s="1"/>
  <c r="J65" i="9"/>
  <c r="M65" i="9"/>
  <c r="N65" i="9" s="1"/>
  <c r="O65" i="9" s="1"/>
  <c r="I22" i="9"/>
  <c r="M22" i="9"/>
  <c r="N22" i="9" s="1"/>
  <c r="O22" i="9" s="1"/>
  <c r="J21" i="9"/>
  <c r="M21" i="9"/>
  <c r="N21" i="9" s="1"/>
  <c r="O21" i="9" s="1"/>
  <c r="J73" i="9"/>
  <c r="M73" i="9"/>
  <c r="N73" i="9" s="1"/>
  <c r="O73" i="9" s="1"/>
  <c r="J75" i="9"/>
  <c r="M75" i="9"/>
  <c r="N75" i="9" s="1"/>
  <c r="O75" i="9" s="1"/>
  <c r="M43" i="18" s="1"/>
  <c r="G46" i="18"/>
  <c r="I124" i="9"/>
  <c r="N124" i="9" s="1"/>
  <c r="M124" i="9"/>
  <c r="J102" i="9"/>
  <c r="M102" i="9"/>
  <c r="N102" i="9" s="1"/>
  <c r="O102" i="9" s="1"/>
  <c r="J53" i="9"/>
  <c r="M53" i="9"/>
  <c r="N53" i="9" s="1"/>
  <c r="O53" i="9" s="1"/>
  <c r="J68" i="9"/>
  <c r="M68" i="9"/>
  <c r="N68" i="9" s="1"/>
  <c r="O68" i="9" s="1"/>
  <c r="I14" i="9"/>
  <c r="M14" i="9"/>
  <c r="N14" i="9" s="1"/>
  <c r="O14" i="9" s="1"/>
  <c r="J25" i="9"/>
  <c r="M25" i="9"/>
  <c r="N25" i="9" s="1"/>
  <c r="O25" i="9" s="1"/>
  <c r="J20" i="9"/>
  <c r="M20" i="9"/>
  <c r="N20" i="9" s="1"/>
  <c r="O20" i="9" s="1"/>
  <c r="K40" i="18" s="1"/>
  <c r="Q14" i="17" s="1"/>
  <c r="J67" i="9"/>
  <c r="M67" i="9"/>
  <c r="N67" i="9" s="1"/>
  <c r="O67" i="9" s="1"/>
  <c r="J77" i="9"/>
  <c r="M77" i="9"/>
  <c r="N77" i="9" s="1"/>
  <c r="O77" i="9" s="1"/>
  <c r="DD151" i="13"/>
  <c r="DI151" i="13" s="1"/>
  <c r="J121" i="9"/>
  <c r="O121" i="9" s="1"/>
  <c r="M121" i="9"/>
  <c r="J97" i="9"/>
  <c r="M97" i="9"/>
  <c r="N97" i="9" s="1"/>
  <c r="O97" i="9" s="1"/>
  <c r="J19" i="9"/>
  <c r="M19" i="9"/>
  <c r="N19" i="9" s="1"/>
  <c r="O19" i="9" s="1"/>
  <c r="K39" i="18" s="1"/>
  <c r="Q13" i="17" s="1"/>
  <c r="J66" i="9"/>
  <c r="M66" i="9"/>
  <c r="N66" i="9" s="1"/>
  <c r="O66" i="9" s="1"/>
  <c r="I97" i="9"/>
  <c r="J79" i="9"/>
  <c r="M79" i="9"/>
  <c r="N79" i="9" s="1"/>
  <c r="O79" i="9" s="1"/>
  <c r="J24" i="9"/>
  <c r="M24" i="9"/>
  <c r="N24" i="9" s="1"/>
  <c r="O24" i="9" s="1"/>
  <c r="J15" i="9"/>
  <c r="M15" i="9"/>
  <c r="N15" i="9" s="1"/>
  <c r="O15" i="9" s="1"/>
  <c r="K35" i="18" s="1"/>
  <c r="Q9" i="17" s="1"/>
  <c r="J23" i="9"/>
  <c r="M23" i="9"/>
  <c r="N23" i="9" s="1"/>
  <c r="O23" i="9" s="1"/>
  <c r="J17" i="9"/>
  <c r="M17" i="9"/>
  <c r="N17" i="9" s="1"/>
  <c r="O17" i="9" s="1"/>
  <c r="K37" i="18" s="1"/>
  <c r="Q11" i="17" s="1"/>
  <c r="I78" i="9"/>
  <c r="M78" i="9"/>
  <c r="N78" i="9" s="1"/>
  <c r="O78" i="9" s="1"/>
  <c r="J71" i="9"/>
  <c r="M71" i="9"/>
  <c r="N71" i="9" s="1"/>
  <c r="O71" i="9" s="1"/>
  <c r="J72" i="9"/>
  <c r="M72" i="9"/>
  <c r="N72" i="9" s="1"/>
  <c r="O72" i="9" s="1"/>
  <c r="J16" i="9"/>
  <c r="M16" i="9"/>
  <c r="N16" i="9" s="1"/>
  <c r="O16" i="9" s="1"/>
  <c r="K36" i="18" s="1"/>
  <c r="Q10" i="17" s="1"/>
  <c r="J117" i="9"/>
  <c r="O117" i="9" s="1"/>
  <c r="M117" i="9"/>
  <c r="J122" i="9"/>
  <c r="O122" i="9" s="1"/>
  <c r="M122" i="9"/>
  <c r="N45" i="18"/>
  <c r="N48" i="18"/>
  <c r="AI151" i="16"/>
  <c r="AN151" i="16" s="1"/>
  <c r="I123" i="9"/>
  <c r="AH151" i="16"/>
  <c r="AM151" i="16" s="1"/>
  <c r="J123" i="9"/>
  <c r="J128" i="9"/>
  <c r="I121" i="9"/>
  <c r="N121" i="9" s="1"/>
  <c r="I128" i="9"/>
  <c r="I16" i="9"/>
  <c r="I126" i="9"/>
  <c r="N126" i="9" s="1"/>
  <c r="I131" i="9"/>
  <c r="I67" i="9"/>
  <c r="I125" i="9"/>
  <c r="N125" i="9" s="1"/>
  <c r="AJ151" i="14"/>
  <c r="AO151" i="14" s="1"/>
  <c r="J76" i="9"/>
  <c r="I20" i="9"/>
  <c r="I122" i="9"/>
  <c r="I132" i="9"/>
  <c r="N132" i="9" s="1"/>
  <c r="AI148" i="15"/>
  <c r="AN148" i="15" s="1"/>
  <c r="AJ148" i="15"/>
  <c r="AO148" i="15" s="1"/>
  <c r="AH148" i="16"/>
  <c r="AM148" i="16" s="1"/>
  <c r="AI148" i="16"/>
  <c r="AN148" i="16" s="1"/>
  <c r="CE148" i="15"/>
  <c r="CJ148" i="15" s="1"/>
  <c r="CF148" i="15"/>
  <c r="CK148" i="15" s="1"/>
  <c r="CY145" i="16"/>
  <c r="DD145" i="16" s="1"/>
  <c r="CZ145" i="16"/>
  <c r="DE145" i="16" s="1"/>
  <c r="CF145" i="15"/>
  <c r="CK145" i="15" s="1"/>
  <c r="CE145" i="15"/>
  <c r="CJ145" i="15" s="1"/>
  <c r="BG140" i="14"/>
  <c r="BL140" i="14" s="1"/>
  <c r="BH140" i="14"/>
  <c r="BM140" i="14" s="1"/>
  <c r="CE140" i="13"/>
  <c r="CJ140" i="13" s="1"/>
  <c r="CF140" i="13"/>
  <c r="CK140" i="13" s="1"/>
  <c r="K140" i="13"/>
  <c r="P140" i="13" s="1"/>
  <c r="L140" i="13"/>
  <c r="Q140" i="13" s="1"/>
  <c r="AJ147" i="14"/>
  <c r="AO147" i="14" s="1"/>
  <c r="AI147" i="14"/>
  <c r="AN147" i="14" s="1"/>
  <c r="CY147" i="16"/>
  <c r="DD147" i="16" s="1"/>
  <c r="CZ147" i="16"/>
  <c r="DE147" i="16" s="1"/>
  <c r="DC147" i="15"/>
  <c r="DH147" i="15" s="1"/>
  <c r="DD147" i="15"/>
  <c r="DI147" i="15" s="1"/>
  <c r="AI149" i="15"/>
  <c r="AN149" i="15" s="1"/>
  <c r="AJ149" i="15"/>
  <c r="AO149" i="15" s="1"/>
  <c r="DC149" i="13"/>
  <c r="DH149" i="13" s="1"/>
  <c r="DD149" i="13"/>
  <c r="DI149" i="13" s="1"/>
  <c r="DL138" i="14"/>
  <c r="DC138" i="14"/>
  <c r="DD138" i="14"/>
  <c r="BN138" i="16"/>
  <c r="BF138" i="16"/>
  <c r="BE138" i="16"/>
  <c r="AI150" i="13"/>
  <c r="AN150" i="13" s="1"/>
  <c r="AJ150" i="13"/>
  <c r="AO150" i="13" s="1"/>
  <c r="AI150" i="15"/>
  <c r="AN150" i="15" s="1"/>
  <c r="AJ150" i="15"/>
  <c r="AO150" i="15" s="1"/>
  <c r="BH139" i="13"/>
  <c r="BM139" i="13" s="1"/>
  <c r="BG139" i="13"/>
  <c r="BL139" i="13" s="1"/>
  <c r="AI139" i="14"/>
  <c r="AN139" i="14" s="1"/>
  <c r="AJ139" i="14"/>
  <c r="AO139" i="14" s="1"/>
  <c r="CZ139" i="16"/>
  <c r="DE139" i="16" s="1"/>
  <c r="CY139" i="16"/>
  <c r="DD139" i="16" s="1"/>
  <c r="AI146" i="13"/>
  <c r="AN146" i="13" s="1"/>
  <c r="AJ146" i="13"/>
  <c r="AO146" i="13" s="1"/>
  <c r="CB146" i="16"/>
  <c r="CG146" i="16" s="1"/>
  <c r="CC146" i="16"/>
  <c r="CH146" i="16" s="1"/>
  <c r="CE144" i="13"/>
  <c r="CJ144" i="13" s="1"/>
  <c r="CF144" i="13"/>
  <c r="CK144" i="13" s="1"/>
  <c r="AH144" i="16"/>
  <c r="AM144" i="16" s="1"/>
  <c r="AI144" i="16"/>
  <c r="AN144" i="16" s="1"/>
  <c r="DC143" i="14"/>
  <c r="DH143" i="14" s="1"/>
  <c r="DD143" i="14"/>
  <c r="DI143" i="14" s="1"/>
  <c r="BE143" i="16"/>
  <c r="BJ143" i="16" s="1"/>
  <c r="BF143" i="16"/>
  <c r="BK143" i="16" s="1"/>
  <c r="AI141" i="15"/>
  <c r="AN141" i="15" s="1"/>
  <c r="AJ141" i="15"/>
  <c r="AO141" i="15" s="1"/>
  <c r="BE141" i="16"/>
  <c r="BJ141" i="16" s="1"/>
  <c r="BF141" i="16"/>
  <c r="BK141" i="16" s="1"/>
  <c r="AJ152" i="14"/>
  <c r="AO152" i="14" s="1"/>
  <c r="AI152" i="14"/>
  <c r="AN152" i="14" s="1"/>
  <c r="DC152" i="15"/>
  <c r="DH152" i="15" s="1"/>
  <c r="DD152" i="15"/>
  <c r="DI152" i="15" s="1"/>
  <c r="BG152" i="15"/>
  <c r="BL152" i="15" s="1"/>
  <c r="BH152" i="15"/>
  <c r="BM152" i="15" s="1"/>
  <c r="BG142" i="15"/>
  <c r="BL142" i="15" s="1"/>
  <c r="BH142" i="15"/>
  <c r="BM142" i="15" s="1"/>
  <c r="AH142" i="16"/>
  <c r="AM142" i="16" s="1"/>
  <c r="AI142" i="16"/>
  <c r="AN142" i="16" s="1"/>
  <c r="I117" i="9"/>
  <c r="N117" i="9" s="1"/>
  <c r="AI153" i="15"/>
  <c r="AN153" i="15" s="1"/>
  <c r="AJ153" i="15"/>
  <c r="AO153" i="15" s="1"/>
  <c r="CE153" i="14"/>
  <c r="CJ153" i="14" s="1"/>
  <c r="CF153" i="14"/>
  <c r="CK153" i="14" s="1"/>
  <c r="K149" i="14"/>
  <c r="P149" i="14" s="1"/>
  <c r="L149" i="14"/>
  <c r="Q149" i="14" s="1"/>
  <c r="CF149" i="13"/>
  <c r="CK149" i="13" s="1"/>
  <c r="CE149" i="13"/>
  <c r="CJ149" i="13" s="1"/>
  <c r="T138" i="14"/>
  <c r="K138" i="14"/>
  <c r="L138" i="14"/>
  <c r="DL138" i="13"/>
  <c r="DC138" i="13"/>
  <c r="DD138" i="13"/>
  <c r="K150" i="14"/>
  <c r="P150" i="14" s="1"/>
  <c r="L150" i="14"/>
  <c r="Q150" i="14" s="1"/>
  <c r="DC150" i="15"/>
  <c r="DH150" i="15" s="1"/>
  <c r="DD150" i="15"/>
  <c r="DI150" i="15" s="1"/>
  <c r="K150" i="16"/>
  <c r="P150" i="16" s="1"/>
  <c r="L150" i="16"/>
  <c r="Q150" i="16" s="1"/>
  <c r="AI139" i="13"/>
  <c r="AN139" i="13" s="1"/>
  <c r="AJ139" i="13"/>
  <c r="AO139" i="13" s="1"/>
  <c r="BG139" i="14"/>
  <c r="BL139" i="14" s="1"/>
  <c r="BH139" i="14"/>
  <c r="BM139" i="14" s="1"/>
  <c r="K146" i="16"/>
  <c r="P146" i="16" s="1"/>
  <c r="L146" i="16"/>
  <c r="Q146" i="16" s="1"/>
  <c r="AI146" i="14"/>
  <c r="AN146" i="14" s="1"/>
  <c r="AJ146" i="14"/>
  <c r="AO146" i="14" s="1"/>
  <c r="K144" i="16"/>
  <c r="P144" i="16" s="1"/>
  <c r="L144" i="16"/>
  <c r="Q144" i="16" s="1"/>
  <c r="DC144" i="13"/>
  <c r="DH144" i="13" s="1"/>
  <c r="DD144" i="13"/>
  <c r="DI144" i="13" s="1"/>
  <c r="CE144" i="15"/>
  <c r="CJ144" i="15" s="1"/>
  <c r="CF144" i="15"/>
  <c r="CK144" i="15" s="1"/>
  <c r="CE143" i="13"/>
  <c r="CJ143" i="13" s="1"/>
  <c r="CF143" i="13"/>
  <c r="CK143" i="13" s="1"/>
  <c r="CB143" i="16"/>
  <c r="CG143" i="16" s="1"/>
  <c r="CC143" i="16"/>
  <c r="CH143" i="16" s="1"/>
  <c r="BG141" i="14"/>
  <c r="BL141" i="14" s="1"/>
  <c r="BH141" i="14"/>
  <c r="BM141" i="14" s="1"/>
  <c r="K141" i="16"/>
  <c r="P141" i="16" s="1"/>
  <c r="L141" i="16"/>
  <c r="Q141" i="16" s="1"/>
  <c r="AI152" i="13"/>
  <c r="AN152" i="13" s="1"/>
  <c r="AJ152" i="13"/>
  <c r="AO152" i="13" s="1"/>
  <c r="CE152" i="14"/>
  <c r="CJ152" i="14" s="1"/>
  <c r="CF152" i="14"/>
  <c r="CK152" i="14" s="1"/>
  <c r="BE152" i="16"/>
  <c r="BJ152" i="16" s="1"/>
  <c r="BF152" i="16"/>
  <c r="BK152" i="16" s="1"/>
  <c r="K142" i="13"/>
  <c r="P142" i="13" s="1"/>
  <c r="L142" i="13"/>
  <c r="Q142" i="13" s="1"/>
  <c r="DC142" i="14"/>
  <c r="DH142" i="14" s="1"/>
  <c r="DD142" i="14"/>
  <c r="DI142" i="14" s="1"/>
  <c r="DC153" i="15"/>
  <c r="DH153" i="15" s="1"/>
  <c r="DD153" i="15"/>
  <c r="DI153" i="15" s="1"/>
  <c r="BE153" i="16"/>
  <c r="BJ153" i="16" s="1"/>
  <c r="BF153" i="16"/>
  <c r="BK153" i="16" s="1"/>
  <c r="AH153" i="16"/>
  <c r="AM153" i="16" s="1"/>
  <c r="AI153" i="16"/>
  <c r="AN153" i="16" s="1"/>
  <c r="CE153" i="13"/>
  <c r="CJ153" i="13" s="1"/>
  <c r="CF153" i="13"/>
  <c r="CK153" i="13" s="1"/>
  <c r="DD153" i="14"/>
  <c r="DI153" i="14" s="1"/>
  <c r="DC153" i="14"/>
  <c r="DH153" i="14" s="1"/>
  <c r="CE148" i="13"/>
  <c r="CJ148" i="13" s="1"/>
  <c r="CF148" i="13"/>
  <c r="CK148" i="13" s="1"/>
  <c r="DC148" i="14"/>
  <c r="DH148" i="14" s="1"/>
  <c r="DD148" i="14"/>
  <c r="DI148" i="14" s="1"/>
  <c r="AI148" i="13"/>
  <c r="AN148" i="13" s="1"/>
  <c r="AJ148" i="13"/>
  <c r="AO148" i="13" s="1"/>
  <c r="CY148" i="16"/>
  <c r="DD148" i="16" s="1"/>
  <c r="CZ148" i="16"/>
  <c r="DE148" i="16" s="1"/>
  <c r="BG148" i="14"/>
  <c r="BL148" i="14" s="1"/>
  <c r="BH148" i="14"/>
  <c r="BM148" i="14" s="1"/>
  <c r="BG145" i="14"/>
  <c r="BL145" i="14" s="1"/>
  <c r="BH145" i="14"/>
  <c r="BM145" i="14" s="1"/>
  <c r="CB145" i="16"/>
  <c r="CG145" i="16" s="1"/>
  <c r="CC145" i="16"/>
  <c r="CH145" i="16" s="1"/>
  <c r="K145" i="15"/>
  <c r="P145" i="15" s="1"/>
  <c r="L145" i="15"/>
  <c r="Q145" i="15" s="1"/>
  <c r="BE145" i="16"/>
  <c r="BJ145" i="16" s="1"/>
  <c r="BF145" i="16"/>
  <c r="BK145" i="16" s="1"/>
  <c r="AI145" i="14"/>
  <c r="AN145" i="14" s="1"/>
  <c r="AJ145" i="14"/>
  <c r="AO145" i="14" s="1"/>
  <c r="CB140" i="16"/>
  <c r="CG140" i="16" s="1"/>
  <c r="CC140" i="16"/>
  <c r="CH140" i="16" s="1"/>
  <c r="K140" i="14"/>
  <c r="P140" i="14" s="1"/>
  <c r="L140" i="14"/>
  <c r="Q140" i="14" s="1"/>
  <c r="AI140" i="14"/>
  <c r="AN140" i="14" s="1"/>
  <c r="AJ140" i="14"/>
  <c r="AO140" i="14" s="1"/>
  <c r="DC140" i="14"/>
  <c r="DH140" i="14" s="1"/>
  <c r="DD140" i="14"/>
  <c r="DI140" i="14" s="1"/>
  <c r="BE140" i="16"/>
  <c r="BJ140" i="16" s="1"/>
  <c r="BF140" i="16"/>
  <c r="BK140" i="16" s="1"/>
  <c r="CE147" i="13"/>
  <c r="CJ147" i="13" s="1"/>
  <c r="CF147" i="13"/>
  <c r="CK147" i="13" s="1"/>
  <c r="BE147" i="16"/>
  <c r="BJ147" i="16" s="1"/>
  <c r="BF147" i="16"/>
  <c r="BK147" i="16" s="1"/>
  <c r="AH147" i="16"/>
  <c r="AM147" i="16" s="1"/>
  <c r="AI147" i="16"/>
  <c r="AN147" i="16" s="1"/>
  <c r="AI147" i="13"/>
  <c r="AN147" i="13" s="1"/>
  <c r="AJ147" i="13"/>
  <c r="AO147" i="13" s="1"/>
  <c r="AI147" i="15"/>
  <c r="AN147" i="15" s="1"/>
  <c r="AJ147" i="15"/>
  <c r="AO147" i="15" s="1"/>
  <c r="AI149" i="14"/>
  <c r="AN149" i="14" s="1"/>
  <c r="AJ149" i="14"/>
  <c r="AO149" i="14" s="1"/>
  <c r="K149" i="16"/>
  <c r="P149" i="16" s="1"/>
  <c r="L149" i="16"/>
  <c r="Q149" i="16" s="1"/>
  <c r="BG149" i="15"/>
  <c r="BL149" i="15" s="1"/>
  <c r="BH149" i="15"/>
  <c r="BM149" i="15" s="1"/>
  <c r="AH149" i="16"/>
  <c r="AM149" i="16" s="1"/>
  <c r="AI149" i="16"/>
  <c r="AN149" i="16" s="1"/>
  <c r="BG149" i="14"/>
  <c r="BL149" i="14" s="1"/>
  <c r="BH149" i="14"/>
  <c r="BM149" i="14" s="1"/>
  <c r="T138" i="16"/>
  <c r="K138" i="16"/>
  <c r="L138" i="16"/>
  <c r="CN138" i="15"/>
  <c r="CE138" i="15"/>
  <c r="CF138" i="15"/>
  <c r="AR138" i="13"/>
  <c r="AJ138" i="13"/>
  <c r="AI138" i="13"/>
  <c r="AR138" i="14"/>
  <c r="AI138" i="14"/>
  <c r="AJ138" i="14"/>
  <c r="AQ138" i="16"/>
  <c r="AH138" i="16"/>
  <c r="AI138" i="16"/>
  <c r="CE150" i="14"/>
  <c r="CJ150" i="14" s="1"/>
  <c r="CF150" i="14"/>
  <c r="CK150" i="14" s="1"/>
  <c r="K150" i="13"/>
  <c r="P150" i="13" s="1"/>
  <c r="L150" i="13"/>
  <c r="Q150" i="13" s="1"/>
  <c r="BF150" i="16"/>
  <c r="BK150" i="16" s="1"/>
  <c r="BE150" i="16"/>
  <c r="BJ150" i="16" s="1"/>
  <c r="CE150" i="13"/>
  <c r="CJ150" i="13" s="1"/>
  <c r="CF150" i="13"/>
  <c r="CK150" i="13" s="1"/>
  <c r="AH150" i="16"/>
  <c r="AM150" i="16" s="1"/>
  <c r="AI150" i="16"/>
  <c r="AN150" i="16" s="1"/>
  <c r="K139" i="15"/>
  <c r="P139" i="15" s="1"/>
  <c r="L139" i="15"/>
  <c r="Q139" i="15" s="1"/>
  <c r="CE139" i="14"/>
  <c r="CJ139" i="14" s="1"/>
  <c r="CF139" i="14"/>
  <c r="CK139" i="14" s="1"/>
  <c r="DC139" i="13"/>
  <c r="DH139" i="13" s="1"/>
  <c r="DD139" i="13"/>
  <c r="DI139" i="13" s="1"/>
  <c r="BG139" i="15"/>
  <c r="BL139" i="15" s="1"/>
  <c r="BH139" i="15"/>
  <c r="BM139" i="15" s="1"/>
  <c r="DC139" i="15"/>
  <c r="DH139" i="15" s="1"/>
  <c r="DD139" i="15"/>
  <c r="DI139" i="15" s="1"/>
  <c r="CE146" i="13"/>
  <c r="CJ146" i="13" s="1"/>
  <c r="CF146" i="13"/>
  <c r="CK146" i="13" s="1"/>
  <c r="BG146" i="15"/>
  <c r="BL146" i="15" s="1"/>
  <c r="BH146" i="15"/>
  <c r="BM146" i="15" s="1"/>
  <c r="K146" i="13"/>
  <c r="P146" i="13" s="1"/>
  <c r="L146" i="13"/>
  <c r="Q146" i="13" s="1"/>
  <c r="CE146" i="15"/>
  <c r="CJ146" i="15" s="1"/>
  <c r="CF146" i="15"/>
  <c r="CK146" i="15" s="1"/>
  <c r="AI146" i="15"/>
  <c r="AN146" i="15" s="1"/>
  <c r="AJ146" i="15"/>
  <c r="AO146" i="15" s="1"/>
  <c r="AI144" i="14"/>
  <c r="AN144" i="14" s="1"/>
  <c r="AJ144" i="14"/>
  <c r="AO144" i="14" s="1"/>
  <c r="DC144" i="15"/>
  <c r="DH144" i="15" s="1"/>
  <c r="DD144" i="15"/>
  <c r="DI144" i="15" s="1"/>
  <c r="K144" i="14"/>
  <c r="P144" i="14" s="1"/>
  <c r="L144" i="14"/>
  <c r="Q144" i="14" s="1"/>
  <c r="CZ144" i="16"/>
  <c r="DE144" i="16" s="1"/>
  <c r="CY144" i="16"/>
  <c r="DD144" i="16" s="1"/>
  <c r="BE144" i="16"/>
  <c r="BJ144" i="16" s="1"/>
  <c r="BF144" i="16"/>
  <c r="BK144" i="16" s="1"/>
  <c r="K143" i="13"/>
  <c r="P143" i="13" s="1"/>
  <c r="L143" i="13"/>
  <c r="Q143" i="13" s="1"/>
  <c r="AI143" i="15"/>
  <c r="AN143" i="15" s="1"/>
  <c r="AJ143" i="15"/>
  <c r="AO143" i="15" s="1"/>
  <c r="CE143" i="14"/>
  <c r="CJ143" i="14" s="1"/>
  <c r="CF143" i="14"/>
  <c r="CK143" i="14" s="1"/>
  <c r="CY143" i="16"/>
  <c r="DD143" i="16" s="1"/>
  <c r="CZ143" i="16"/>
  <c r="DE143" i="16" s="1"/>
  <c r="DC143" i="15"/>
  <c r="DH143" i="15" s="1"/>
  <c r="DD143" i="15"/>
  <c r="DI143" i="15" s="1"/>
  <c r="BH141" i="15"/>
  <c r="BM141" i="15" s="1"/>
  <c r="BG141" i="15"/>
  <c r="BL141" i="15" s="1"/>
  <c r="CY141" i="16"/>
  <c r="DD141" i="16" s="1"/>
  <c r="CZ141" i="16"/>
  <c r="DE141" i="16" s="1"/>
  <c r="K141" i="13"/>
  <c r="P141" i="13" s="1"/>
  <c r="L141" i="13"/>
  <c r="Q141" i="13" s="1"/>
  <c r="CE141" i="15"/>
  <c r="CJ141" i="15" s="1"/>
  <c r="CF141" i="15"/>
  <c r="CK141" i="15" s="1"/>
  <c r="CE141" i="14"/>
  <c r="CJ141" i="14" s="1"/>
  <c r="CF141" i="14"/>
  <c r="CK141" i="14" s="1"/>
  <c r="CE152" i="15"/>
  <c r="CJ152" i="15" s="1"/>
  <c r="CF152" i="15"/>
  <c r="CK152" i="15" s="1"/>
  <c r="CB152" i="16"/>
  <c r="CG152" i="16" s="1"/>
  <c r="CC152" i="16"/>
  <c r="CH152" i="16" s="1"/>
  <c r="DC152" i="13"/>
  <c r="DH152" i="13" s="1"/>
  <c r="DD152" i="13"/>
  <c r="DI152" i="13" s="1"/>
  <c r="CF152" i="13"/>
  <c r="CK152" i="13" s="1"/>
  <c r="CE152" i="13"/>
  <c r="CJ152" i="13" s="1"/>
  <c r="DC152" i="14"/>
  <c r="DH152" i="14" s="1"/>
  <c r="DD152" i="14"/>
  <c r="DI152" i="14" s="1"/>
  <c r="BG142" i="13"/>
  <c r="BL142" i="13" s="1"/>
  <c r="BH142" i="13"/>
  <c r="BM142" i="13" s="1"/>
  <c r="AI142" i="13"/>
  <c r="AN142" i="13" s="1"/>
  <c r="AJ142" i="13"/>
  <c r="AO142" i="13" s="1"/>
  <c r="K142" i="14"/>
  <c r="P142" i="14" s="1"/>
  <c r="L142" i="14"/>
  <c r="Q142" i="14" s="1"/>
  <c r="K142" i="15"/>
  <c r="P142" i="15" s="1"/>
  <c r="L142" i="15"/>
  <c r="Q142" i="15" s="1"/>
  <c r="CZ142" i="16"/>
  <c r="DE142" i="16" s="1"/>
  <c r="CY142" i="16"/>
  <c r="DD142" i="16" s="1"/>
  <c r="BG153" i="13"/>
  <c r="BL153" i="13" s="1"/>
  <c r="BH153" i="13"/>
  <c r="BM153" i="13" s="1"/>
  <c r="CE153" i="15"/>
  <c r="CJ153" i="15" s="1"/>
  <c r="CF153" i="15"/>
  <c r="CK153" i="15" s="1"/>
  <c r="CY153" i="16"/>
  <c r="DD153" i="16" s="1"/>
  <c r="CZ153" i="16"/>
  <c r="DE153" i="16" s="1"/>
  <c r="BG153" i="14"/>
  <c r="BL153" i="14" s="1"/>
  <c r="BH153" i="14"/>
  <c r="BM153" i="14" s="1"/>
  <c r="K153" i="16"/>
  <c r="P153" i="16" s="1"/>
  <c r="L153" i="16"/>
  <c r="Q153" i="16" s="1"/>
  <c r="BH148" i="13"/>
  <c r="BM148" i="13" s="1"/>
  <c r="BG148" i="13"/>
  <c r="BL148" i="13" s="1"/>
  <c r="K148" i="15"/>
  <c r="P148" i="15" s="1"/>
  <c r="L148" i="15"/>
  <c r="Q148" i="15" s="1"/>
  <c r="DC145" i="14"/>
  <c r="DH145" i="14" s="1"/>
  <c r="DD145" i="14"/>
  <c r="DI145" i="14" s="1"/>
  <c r="AI145" i="13"/>
  <c r="AN145" i="13" s="1"/>
  <c r="AJ145" i="13"/>
  <c r="AO145" i="13" s="1"/>
  <c r="CE145" i="14"/>
  <c r="CJ145" i="14" s="1"/>
  <c r="CF145" i="14"/>
  <c r="CK145" i="14" s="1"/>
  <c r="K140" i="16"/>
  <c r="P140" i="16" s="1"/>
  <c r="L140" i="16"/>
  <c r="Q140" i="16" s="1"/>
  <c r="BG140" i="15"/>
  <c r="BL140" i="15" s="1"/>
  <c r="BH140" i="15"/>
  <c r="BM140" i="15" s="1"/>
  <c r="CE147" i="15"/>
  <c r="CJ147" i="15" s="1"/>
  <c r="CF147" i="15"/>
  <c r="CK147" i="15" s="1"/>
  <c r="CE147" i="14"/>
  <c r="CJ147" i="14" s="1"/>
  <c r="CF147" i="14"/>
  <c r="CK147" i="14" s="1"/>
  <c r="CE149" i="14"/>
  <c r="CJ149" i="14" s="1"/>
  <c r="CF149" i="14"/>
  <c r="CK149" i="14" s="1"/>
  <c r="AI149" i="13"/>
  <c r="AN149" i="13" s="1"/>
  <c r="AJ149" i="13"/>
  <c r="AO149" i="13" s="1"/>
  <c r="CY149" i="16"/>
  <c r="DD149" i="16" s="1"/>
  <c r="CZ149" i="16"/>
  <c r="DE149" i="16" s="1"/>
  <c r="BP138" i="13"/>
  <c r="BG138" i="13"/>
  <c r="BH138" i="13"/>
  <c r="BP138" i="15"/>
  <c r="BG138" i="15"/>
  <c r="BH138" i="15"/>
  <c r="CN138" i="13"/>
  <c r="CE138" i="13"/>
  <c r="CF138" i="13"/>
  <c r="DC150" i="14"/>
  <c r="DH150" i="14" s="1"/>
  <c r="DD150" i="14"/>
  <c r="DI150" i="14" s="1"/>
  <c r="BG150" i="15"/>
  <c r="BL150" i="15" s="1"/>
  <c r="BH150" i="15"/>
  <c r="BM150" i="15" s="1"/>
  <c r="CY150" i="16"/>
  <c r="DD150" i="16" s="1"/>
  <c r="CZ150" i="16"/>
  <c r="DE150" i="16" s="1"/>
  <c r="BE139" i="16"/>
  <c r="BJ139" i="16" s="1"/>
  <c r="BF139" i="16"/>
  <c r="BK139" i="16" s="1"/>
  <c r="CC139" i="16"/>
  <c r="CH139" i="16" s="1"/>
  <c r="CB139" i="16"/>
  <c r="CG139" i="16" s="1"/>
  <c r="BG146" i="14"/>
  <c r="BL146" i="14" s="1"/>
  <c r="BH146" i="14"/>
  <c r="BM146" i="14" s="1"/>
  <c r="CE146" i="14"/>
  <c r="CJ146" i="14" s="1"/>
  <c r="CF146" i="14"/>
  <c r="CK146" i="14" s="1"/>
  <c r="BF146" i="16"/>
  <c r="BK146" i="16" s="1"/>
  <c r="BE146" i="16"/>
  <c r="BJ146" i="16" s="1"/>
  <c r="BG144" i="14"/>
  <c r="BL144" i="14" s="1"/>
  <c r="BH144" i="14"/>
  <c r="BM144" i="14" s="1"/>
  <c r="K144" i="15"/>
  <c r="P144" i="15" s="1"/>
  <c r="L144" i="15"/>
  <c r="Q144" i="15" s="1"/>
  <c r="BG144" i="15"/>
  <c r="BL144" i="15" s="1"/>
  <c r="BH144" i="15"/>
  <c r="BM144" i="15" s="1"/>
  <c r="BG143" i="13"/>
  <c r="BL143" i="13" s="1"/>
  <c r="BH143" i="13"/>
  <c r="BM143" i="13" s="1"/>
  <c r="AH143" i="16"/>
  <c r="AM143" i="16" s="1"/>
  <c r="AI143" i="16"/>
  <c r="AN143" i="16" s="1"/>
  <c r="K143" i="14"/>
  <c r="P143" i="14" s="1"/>
  <c r="L143" i="14"/>
  <c r="Q143" i="14" s="1"/>
  <c r="AH141" i="16"/>
  <c r="AM141" i="16" s="1"/>
  <c r="AI141" i="16"/>
  <c r="AN141" i="16" s="1"/>
  <c r="DC141" i="13"/>
  <c r="DH141" i="13" s="1"/>
  <c r="DD141" i="13"/>
  <c r="DI141" i="13" s="1"/>
  <c r="K141" i="15"/>
  <c r="P141" i="15" s="1"/>
  <c r="L141" i="15"/>
  <c r="Q141" i="15" s="1"/>
  <c r="K152" i="13"/>
  <c r="P152" i="13" s="1"/>
  <c r="L152" i="13"/>
  <c r="Q152" i="13" s="1"/>
  <c r="BG152" i="14"/>
  <c r="BL152" i="14" s="1"/>
  <c r="BH152" i="14"/>
  <c r="BM152" i="14" s="1"/>
  <c r="BE142" i="16"/>
  <c r="BJ142" i="16" s="1"/>
  <c r="BF142" i="16"/>
  <c r="BK142" i="16" s="1"/>
  <c r="CE142" i="13"/>
  <c r="CJ142" i="13" s="1"/>
  <c r="CF142" i="13"/>
  <c r="CK142" i="13" s="1"/>
  <c r="K142" i="16"/>
  <c r="P142" i="16" s="1"/>
  <c r="L142" i="16"/>
  <c r="Q142" i="16" s="1"/>
  <c r="AI153" i="14"/>
  <c r="AN153" i="14" s="1"/>
  <c r="AJ153" i="14"/>
  <c r="AO153" i="14" s="1"/>
  <c r="AI153" i="13"/>
  <c r="AN153" i="13" s="1"/>
  <c r="AJ153" i="13"/>
  <c r="AO153" i="13" s="1"/>
  <c r="DC153" i="13"/>
  <c r="DH153" i="13" s="1"/>
  <c r="DD153" i="13"/>
  <c r="DI153" i="13" s="1"/>
  <c r="DC148" i="15"/>
  <c r="DH148" i="15" s="1"/>
  <c r="DD148" i="15"/>
  <c r="DI148" i="15" s="1"/>
  <c r="L148" i="16"/>
  <c r="Q148" i="16" s="1"/>
  <c r="K148" i="16"/>
  <c r="P148" i="16" s="1"/>
  <c r="CB148" i="16"/>
  <c r="CG148" i="16" s="1"/>
  <c r="CC148" i="16"/>
  <c r="CH148" i="16" s="1"/>
  <c r="K148" i="13"/>
  <c r="P148" i="13" s="1"/>
  <c r="L148" i="13"/>
  <c r="Q148" i="13" s="1"/>
  <c r="BE148" i="16"/>
  <c r="BJ148" i="16" s="1"/>
  <c r="BF148" i="16"/>
  <c r="BK148" i="16" s="1"/>
  <c r="K145" i="13"/>
  <c r="P145" i="13" s="1"/>
  <c r="L145" i="13"/>
  <c r="Q145" i="13" s="1"/>
  <c r="BG145" i="13"/>
  <c r="BL145" i="13" s="1"/>
  <c r="BH145" i="13"/>
  <c r="BM145" i="13" s="1"/>
  <c r="K145" i="14"/>
  <c r="P145" i="14" s="1"/>
  <c r="L145" i="14"/>
  <c r="Q145" i="14" s="1"/>
  <c r="DC145" i="15"/>
  <c r="DH145" i="15" s="1"/>
  <c r="DD145" i="15"/>
  <c r="DI145" i="15" s="1"/>
  <c r="BG145" i="15"/>
  <c r="BL145" i="15" s="1"/>
  <c r="BH145" i="15"/>
  <c r="BM145" i="15" s="1"/>
  <c r="AI140" i="15"/>
  <c r="AN140" i="15" s="1"/>
  <c r="AJ140" i="15"/>
  <c r="AO140" i="15" s="1"/>
  <c r="AI140" i="13"/>
  <c r="AN140" i="13" s="1"/>
  <c r="AJ140" i="13"/>
  <c r="AO140" i="13" s="1"/>
  <c r="DC140" i="13"/>
  <c r="DH140" i="13" s="1"/>
  <c r="DD140" i="13"/>
  <c r="DI140" i="13" s="1"/>
  <c r="CE140" i="14"/>
  <c r="CJ140" i="14" s="1"/>
  <c r="CF140" i="14"/>
  <c r="CK140" i="14" s="1"/>
  <c r="CE140" i="15"/>
  <c r="CJ140" i="15" s="1"/>
  <c r="CF140" i="15"/>
  <c r="CK140" i="15" s="1"/>
  <c r="BG147" i="14"/>
  <c r="BL147" i="14" s="1"/>
  <c r="BH147" i="14"/>
  <c r="BM147" i="14" s="1"/>
  <c r="BG147" i="15"/>
  <c r="BL147" i="15" s="1"/>
  <c r="BH147" i="15"/>
  <c r="BM147" i="15" s="1"/>
  <c r="K147" i="13"/>
  <c r="P147" i="13" s="1"/>
  <c r="L147" i="13"/>
  <c r="Q147" i="13" s="1"/>
  <c r="K147" i="15"/>
  <c r="P147" i="15" s="1"/>
  <c r="L147" i="15"/>
  <c r="Q147" i="15" s="1"/>
  <c r="K147" i="16"/>
  <c r="P147" i="16" s="1"/>
  <c r="L147" i="16"/>
  <c r="Q147" i="16" s="1"/>
  <c r="DC149" i="14"/>
  <c r="DH149" i="14" s="1"/>
  <c r="DD149" i="14"/>
  <c r="DI149" i="14" s="1"/>
  <c r="DC149" i="15"/>
  <c r="DH149" i="15" s="1"/>
  <c r="DD149" i="15"/>
  <c r="DI149" i="15" s="1"/>
  <c r="K149" i="15"/>
  <c r="P149" i="15" s="1"/>
  <c r="L149" i="15"/>
  <c r="Q149" i="15" s="1"/>
  <c r="AR138" i="15"/>
  <c r="AJ138" i="15"/>
  <c r="AI138" i="15"/>
  <c r="DH138" i="16"/>
  <c r="DH139" i="16" s="1"/>
  <c r="CZ138" i="16"/>
  <c r="CY138" i="16"/>
  <c r="BP138" i="14"/>
  <c r="BG138" i="14"/>
  <c r="BH138" i="14"/>
  <c r="AI150" i="14"/>
  <c r="AN150" i="14" s="1"/>
  <c r="AJ150" i="14"/>
  <c r="AO150" i="14" s="1"/>
  <c r="CE150" i="15"/>
  <c r="CJ150" i="15" s="1"/>
  <c r="CF150" i="15"/>
  <c r="CK150" i="15" s="1"/>
  <c r="DC139" i="14"/>
  <c r="DH139" i="14" s="1"/>
  <c r="DD139" i="14"/>
  <c r="DI139" i="14" s="1"/>
  <c r="CE139" i="13"/>
  <c r="CJ139" i="13" s="1"/>
  <c r="CF139" i="13"/>
  <c r="CK139" i="13" s="1"/>
  <c r="AI139" i="15"/>
  <c r="AN139" i="15" s="1"/>
  <c r="AJ139" i="15"/>
  <c r="AO139" i="15" s="1"/>
  <c r="K146" i="14"/>
  <c r="P146" i="14" s="1"/>
  <c r="L146" i="14"/>
  <c r="Q146" i="14" s="1"/>
  <c r="K146" i="15"/>
  <c r="P146" i="15" s="1"/>
  <c r="L146" i="15"/>
  <c r="Q146" i="15" s="1"/>
  <c r="CY146" i="16"/>
  <c r="DD146" i="16" s="1"/>
  <c r="CZ146" i="16"/>
  <c r="DE146" i="16" s="1"/>
  <c r="AI144" i="15"/>
  <c r="AN144" i="15" s="1"/>
  <c r="AJ144" i="15"/>
  <c r="AO144" i="15" s="1"/>
  <c r="CB144" i="16"/>
  <c r="CG144" i="16" s="1"/>
  <c r="CC144" i="16"/>
  <c r="CH144" i="16" s="1"/>
  <c r="BG143" i="14"/>
  <c r="BL143" i="14" s="1"/>
  <c r="BH143" i="14"/>
  <c r="BM143" i="14" s="1"/>
  <c r="AI143" i="13"/>
  <c r="AN143" i="13" s="1"/>
  <c r="AJ143" i="13"/>
  <c r="AO143" i="13" s="1"/>
  <c r="K143" i="15"/>
  <c r="P143" i="15" s="1"/>
  <c r="L143" i="15"/>
  <c r="Q143" i="15" s="1"/>
  <c r="CB141" i="16"/>
  <c r="CG141" i="16" s="1"/>
  <c r="CC141" i="16"/>
  <c r="CH141" i="16" s="1"/>
  <c r="AI141" i="14"/>
  <c r="AN141" i="14" s="1"/>
  <c r="AJ141" i="14"/>
  <c r="AO141" i="14" s="1"/>
  <c r="K141" i="14"/>
  <c r="P141" i="14" s="1"/>
  <c r="L141" i="14"/>
  <c r="Q141" i="14" s="1"/>
  <c r="AH152" i="16"/>
  <c r="AM152" i="16" s="1"/>
  <c r="AI152" i="16"/>
  <c r="AN152" i="16" s="1"/>
  <c r="K152" i="16"/>
  <c r="P152" i="16" s="1"/>
  <c r="L152" i="16"/>
  <c r="Q152" i="16" s="1"/>
  <c r="CE142" i="15"/>
  <c r="CJ142" i="15" s="1"/>
  <c r="CF142" i="15"/>
  <c r="CK142" i="15" s="1"/>
  <c r="DC142" i="13"/>
  <c r="DH142" i="13" s="1"/>
  <c r="DD142" i="13"/>
  <c r="DI142" i="13" s="1"/>
  <c r="CB142" i="16"/>
  <c r="CG142" i="16" s="1"/>
  <c r="CC142" i="16"/>
  <c r="CH142" i="16" s="1"/>
  <c r="I118" i="9"/>
  <c r="I120" i="9"/>
  <c r="I127" i="9"/>
  <c r="N127" i="9" s="1"/>
  <c r="L153" i="13"/>
  <c r="Q153" i="13" s="1"/>
  <c r="K153" i="13"/>
  <c r="P153" i="13" s="1"/>
  <c r="BH153" i="15"/>
  <c r="BM153" i="15" s="1"/>
  <c r="BG153" i="15"/>
  <c r="BL153" i="15" s="1"/>
  <c r="CB153" i="16"/>
  <c r="CG153" i="16" s="1"/>
  <c r="CC153" i="16"/>
  <c r="CH153" i="16" s="1"/>
  <c r="K153" i="14"/>
  <c r="P153" i="14" s="1"/>
  <c r="L153" i="14"/>
  <c r="Q153" i="14" s="1"/>
  <c r="K153" i="15"/>
  <c r="P153" i="15" s="1"/>
  <c r="L153" i="15"/>
  <c r="Q153" i="15" s="1"/>
  <c r="CE148" i="14"/>
  <c r="CJ148" i="14" s="1"/>
  <c r="CF148" i="14"/>
  <c r="CK148" i="14" s="1"/>
  <c r="AI148" i="14"/>
  <c r="AN148" i="14" s="1"/>
  <c r="AJ148" i="14"/>
  <c r="AO148" i="14" s="1"/>
  <c r="K148" i="14"/>
  <c r="P148" i="14" s="1"/>
  <c r="L148" i="14"/>
  <c r="Q148" i="14" s="1"/>
  <c r="DC148" i="13"/>
  <c r="DH148" i="13" s="1"/>
  <c r="DD148" i="13"/>
  <c r="DI148" i="13" s="1"/>
  <c r="BG148" i="15"/>
  <c r="BL148" i="15" s="1"/>
  <c r="BH148" i="15"/>
  <c r="BM148" i="15" s="1"/>
  <c r="CE145" i="13"/>
  <c r="CJ145" i="13" s="1"/>
  <c r="CF145" i="13"/>
  <c r="CK145" i="13" s="1"/>
  <c r="AH145" i="16"/>
  <c r="AM145" i="16" s="1"/>
  <c r="AI145" i="16"/>
  <c r="AN145" i="16" s="1"/>
  <c r="K145" i="16"/>
  <c r="P145" i="16" s="1"/>
  <c r="L145" i="16"/>
  <c r="Q145" i="16" s="1"/>
  <c r="AI145" i="15"/>
  <c r="AN145" i="15" s="1"/>
  <c r="AJ145" i="15"/>
  <c r="AO145" i="15" s="1"/>
  <c r="DC145" i="13"/>
  <c r="DH145" i="13" s="1"/>
  <c r="DD145" i="13"/>
  <c r="DI145" i="13" s="1"/>
  <c r="AH140" i="16"/>
  <c r="AM140" i="16" s="1"/>
  <c r="AI140" i="16"/>
  <c r="AN140" i="16" s="1"/>
  <c r="BG140" i="13"/>
  <c r="BL140" i="13" s="1"/>
  <c r="BH140" i="13"/>
  <c r="BM140" i="13" s="1"/>
  <c r="DC140" i="15"/>
  <c r="DH140" i="15" s="1"/>
  <c r="DD140" i="15"/>
  <c r="DI140" i="15" s="1"/>
  <c r="CY140" i="16"/>
  <c r="DD140" i="16" s="1"/>
  <c r="CZ140" i="16"/>
  <c r="DE140" i="16" s="1"/>
  <c r="K140" i="15"/>
  <c r="P140" i="15" s="1"/>
  <c r="L140" i="15"/>
  <c r="Q140" i="15" s="1"/>
  <c r="DC147" i="14"/>
  <c r="DH147" i="14" s="1"/>
  <c r="DD147" i="14"/>
  <c r="DI147" i="14" s="1"/>
  <c r="BH147" i="13"/>
  <c r="BM147" i="13" s="1"/>
  <c r="BG147" i="13"/>
  <c r="BL147" i="13" s="1"/>
  <c r="CB147" i="16"/>
  <c r="CG147" i="16" s="1"/>
  <c r="CC147" i="16"/>
  <c r="CH147" i="16" s="1"/>
  <c r="DC147" i="13"/>
  <c r="DH147" i="13" s="1"/>
  <c r="DD147" i="13"/>
  <c r="DI147" i="13" s="1"/>
  <c r="K147" i="14"/>
  <c r="P147" i="14" s="1"/>
  <c r="L147" i="14"/>
  <c r="Q147" i="14" s="1"/>
  <c r="L149" i="13"/>
  <c r="Q149" i="13" s="1"/>
  <c r="K149" i="13"/>
  <c r="P149" i="13" s="1"/>
  <c r="BG149" i="13"/>
  <c r="BL149" i="13" s="1"/>
  <c r="BH149" i="13"/>
  <c r="BM149" i="13" s="1"/>
  <c r="BE149" i="16"/>
  <c r="BJ149" i="16" s="1"/>
  <c r="BF149" i="16"/>
  <c r="BK149" i="16" s="1"/>
  <c r="CF149" i="15"/>
  <c r="CK149" i="15" s="1"/>
  <c r="CE149" i="15"/>
  <c r="CJ149" i="15" s="1"/>
  <c r="CB149" i="16"/>
  <c r="CG149" i="16" s="1"/>
  <c r="CC149" i="16"/>
  <c r="CH149" i="16" s="1"/>
  <c r="T138" i="13"/>
  <c r="L138" i="13"/>
  <c r="K138" i="13"/>
  <c r="DL138" i="15"/>
  <c r="DC138" i="15"/>
  <c r="DD138" i="15"/>
  <c r="CN138" i="14"/>
  <c r="CE138" i="14"/>
  <c r="CF138" i="14"/>
  <c r="T138" i="15"/>
  <c r="K138" i="15"/>
  <c r="L138" i="15"/>
  <c r="CK138" i="16"/>
  <c r="CB138" i="16"/>
  <c r="CC138" i="16"/>
  <c r="K150" i="15"/>
  <c r="P150" i="15" s="1"/>
  <c r="L150" i="15"/>
  <c r="Q150" i="15" s="1"/>
  <c r="BG150" i="13"/>
  <c r="BL150" i="13" s="1"/>
  <c r="BH150" i="13"/>
  <c r="BM150" i="13" s="1"/>
  <c r="DC150" i="13"/>
  <c r="DH150" i="13" s="1"/>
  <c r="DD150" i="13"/>
  <c r="DI150" i="13" s="1"/>
  <c r="BG150" i="14"/>
  <c r="BL150" i="14" s="1"/>
  <c r="BH150" i="14"/>
  <c r="BM150" i="14" s="1"/>
  <c r="CB150" i="16"/>
  <c r="CG150" i="16" s="1"/>
  <c r="CC150" i="16"/>
  <c r="CH150" i="16" s="1"/>
  <c r="K139" i="13"/>
  <c r="P139" i="13" s="1"/>
  <c r="L139" i="13"/>
  <c r="Q139" i="13" s="1"/>
  <c r="CE139" i="15"/>
  <c r="CJ139" i="15" s="1"/>
  <c r="CF139" i="15"/>
  <c r="CK139" i="15" s="1"/>
  <c r="K139" i="14"/>
  <c r="P139" i="14" s="1"/>
  <c r="L139" i="14"/>
  <c r="Q139" i="14" s="1"/>
  <c r="AH139" i="16"/>
  <c r="AM139" i="16" s="1"/>
  <c r="AI139" i="16"/>
  <c r="AN139" i="16" s="1"/>
  <c r="K139" i="16"/>
  <c r="P139" i="16" s="1"/>
  <c r="L139" i="16"/>
  <c r="Q139" i="16" s="1"/>
  <c r="DC146" i="14"/>
  <c r="DH146" i="14" s="1"/>
  <c r="DD146" i="14"/>
  <c r="DI146" i="14" s="1"/>
  <c r="BG146" i="13"/>
  <c r="BL146" i="13" s="1"/>
  <c r="BH146" i="13"/>
  <c r="BM146" i="13" s="1"/>
  <c r="DC146" i="13"/>
  <c r="DH146" i="13" s="1"/>
  <c r="DD146" i="13"/>
  <c r="DI146" i="13" s="1"/>
  <c r="DC146" i="15"/>
  <c r="DH146" i="15" s="1"/>
  <c r="DD146" i="15"/>
  <c r="DI146" i="15" s="1"/>
  <c r="AH146" i="16"/>
  <c r="AM146" i="16" s="1"/>
  <c r="AI146" i="16"/>
  <c r="AN146" i="16" s="1"/>
  <c r="DC144" i="14"/>
  <c r="DH144" i="14" s="1"/>
  <c r="DD144" i="14"/>
  <c r="DI144" i="14" s="1"/>
  <c r="BG144" i="13"/>
  <c r="BL144" i="13" s="1"/>
  <c r="BH144" i="13"/>
  <c r="BM144" i="13" s="1"/>
  <c r="AI144" i="13"/>
  <c r="AN144" i="13" s="1"/>
  <c r="AJ144" i="13"/>
  <c r="AO144" i="13" s="1"/>
  <c r="CE144" i="14"/>
  <c r="CJ144" i="14" s="1"/>
  <c r="CF144" i="14"/>
  <c r="CK144" i="14" s="1"/>
  <c r="K144" i="13"/>
  <c r="P144" i="13" s="1"/>
  <c r="L144" i="13"/>
  <c r="Q144" i="13" s="1"/>
  <c r="AI143" i="14"/>
  <c r="AN143" i="14" s="1"/>
  <c r="AJ143" i="14"/>
  <c r="AO143" i="14" s="1"/>
  <c r="CE143" i="15"/>
  <c r="CJ143" i="15" s="1"/>
  <c r="CF143" i="15"/>
  <c r="CK143" i="15" s="1"/>
  <c r="BG143" i="15"/>
  <c r="BL143" i="15" s="1"/>
  <c r="BH143" i="15"/>
  <c r="BM143" i="15" s="1"/>
  <c r="DC143" i="13"/>
  <c r="DH143" i="13" s="1"/>
  <c r="DD143" i="13"/>
  <c r="DI143" i="13" s="1"/>
  <c r="K143" i="16"/>
  <c r="P143" i="16" s="1"/>
  <c r="L143" i="16"/>
  <c r="Q143" i="16" s="1"/>
  <c r="BG141" i="13"/>
  <c r="BL141" i="13" s="1"/>
  <c r="BH141" i="13"/>
  <c r="BM141" i="13" s="1"/>
  <c r="AI141" i="13"/>
  <c r="AN141" i="13" s="1"/>
  <c r="AJ141" i="13"/>
  <c r="AO141" i="13" s="1"/>
  <c r="CE141" i="13"/>
  <c r="CJ141" i="13" s="1"/>
  <c r="CF141" i="13"/>
  <c r="CK141" i="13" s="1"/>
  <c r="DC141" i="15"/>
  <c r="DH141" i="15" s="1"/>
  <c r="DD141" i="15"/>
  <c r="DI141" i="15" s="1"/>
  <c r="DC141" i="14"/>
  <c r="DH141" i="14" s="1"/>
  <c r="DD141" i="14"/>
  <c r="DI141" i="14" s="1"/>
  <c r="BH152" i="13"/>
  <c r="BM152" i="13" s="1"/>
  <c r="BG152" i="13"/>
  <c r="BL152" i="13" s="1"/>
  <c r="CY152" i="16"/>
  <c r="DD152" i="16" s="1"/>
  <c r="CZ152" i="16"/>
  <c r="DE152" i="16" s="1"/>
  <c r="AI152" i="15"/>
  <c r="AN152" i="15" s="1"/>
  <c r="AJ152" i="15"/>
  <c r="AO152" i="15" s="1"/>
  <c r="K152" i="14"/>
  <c r="P152" i="14" s="1"/>
  <c r="L152" i="14"/>
  <c r="Q152" i="14" s="1"/>
  <c r="K152" i="15"/>
  <c r="P152" i="15" s="1"/>
  <c r="L152" i="15"/>
  <c r="Q152" i="15" s="1"/>
  <c r="BG142" i="14"/>
  <c r="BL142" i="14" s="1"/>
  <c r="BH142" i="14"/>
  <c r="BM142" i="14" s="1"/>
  <c r="DC142" i="15"/>
  <c r="DH142" i="15" s="1"/>
  <c r="DD142" i="15"/>
  <c r="DI142" i="15" s="1"/>
  <c r="CE142" i="14"/>
  <c r="CJ142" i="14" s="1"/>
  <c r="CF142" i="14"/>
  <c r="CK142" i="14" s="1"/>
  <c r="AI142" i="14"/>
  <c r="AN142" i="14" s="1"/>
  <c r="AJ142" i="14"/>
  <c r="AO142" i="14" s="1"/>
  <c r="AI142" i="15"/>
  <c r="AN142" i="15" s="1"/>
  <c r="AJ142" i="15"/>
  <c r="AO142" i="15" s="1"/>
  <c r="I68" i="9"/>
  <c r="I76" i="9"/>
  <c r="I79" i="9"/>
  <c r="I75" i="9"/>
  <c r="I80" i="9"/>
  <c r="I66" i="9"/>
  <c r="I72" i="9"/>
  <c r="G156" i="9"/>
  <c r="BK76" i="16" s="1"/>
  <c r="BM76" i="16" s="1"/>
  <c r="BR76" i="16" s="1"/>
  <c r="I71" i="9"/>
  <c r="I74" i="9"/>
  <c r="I77" i="9"/>
  <c r="I25" i="9"/>
  <c r="D45" i="18" s="1"/>
  <c r="P19" i="17" s="1"/>
  <c r="G143" i="9"/>
  <c r="AK63" i="16" s="1"/>
  <c r="AM63" i="16" s="1"/>
  <c r="AR63" i="16" s="1"/>
  <c r="J69" i="9"/>
  <c r="I69" i="9"/>
  <c r="F37" i="18" s="1"/>
  <c r="G151" i="9"/>
  <c r="CK71" i="16" s="1"/>
  <c r="CM71" i="16" s="1"/>
  <c r="CR71" i="16" s="1"/>
  <c r="J14" i="9"/>
  <c r="I17" i="9"/>
  <c r="I65" i="9"/>
  <c r="I24" i="9"/>
  <c r="D44" i="18" s="1"/>
  <c r="P18" i="17" s="1"/>
  <c r="I15" i="9"/>
  <c r="J26" i="9"/>
  <c r="K46" i="18" s="1"/>
  <c r="Q20" i="17" s="1"/>
  <c r="I26" i="9"/>
  <c r="D46" i="18" s="1"/>
  <c r="P20" i="17" s="1"/>
  <c r="G153" i="9"/>
  <c r="BK73" i="16" s="1"/>
  <c r="BM73" i="16" s="1"/>
  <c r="BR73" i="16" s="1"/>
  <c r="I73" i="9"/>
  <c r="J22" i="9"/>
  <c r="I21" i="9"/>
  <c r="J43" i="9"/>
  <c r="L37" i="18" s="1"/>
  <c r="J27" i="9"/>
  <c r="G158" i="9"/>
  <c r="CK78" i="16" s="1"/>
  <c r="CM78" i="16" s="1"/>
  <c r="CR78" i="16" s="1"/>
  <c r="J78" i="9"/>
  <c r="I19" i="9"/>
  <c r="I92" i="9"/>
  <c r="J48" i="9"/>
  <c r="I129" i="9"/>
  <c r="N129" i="9" s="1"/>
  <c r="I43" i="9"/>
  <c r="E37" i="18" s="1"/>
  <c r="I119" i="9"/>
  <c r="N119" i="9" s="1"/>
  <c r="I28" i="9"/>
  <c r="I23" i="9"/>
  <c r="I53" i="9"/>
  <c r="J124" i="9"/>
  <c r="O124" i="9" s="1"/>
  <c r="M11" i="17"/>
  <c r="I102" i="9"/>
  <c r="M20" i="17"/>
  <c r="L10" i="17"/>
  <c r="J18" i="9"/>
  <c r="K38" i="18" s="1"/>
  <c r="Q12" i="17" s="1"/>
  <c r="L22" i="17"/>
  <c r="M21" i="17"/>
  <c r="I18" i="9"/>
  <c r="D38" i="18" s="1"/>
  <c r="P12" i="17" s="1"/>
  <c r="J13" i="9"/>
  <c r="K33" i="18" s="1"/>
  <c r="Q7" i="17" s="1"/>
  <c r="M14" i="17"/>
  <c r="I13" i="9"/>
  <c r="D33" i="18" s="1"/>
  <c r="P7" i="17" s="1"/>
  <c r="L17" i="17"/>
  <c r="M13" i="17"/>
  <c r="M16" i="17"/>
  <c r="M7" i="17"/>
  <c r="O7" i="17" s="1"/>
  <c r="M18" i="17"/>
  <c r="M9" i="17"/>
  <c r="CK65" i="16"/>
  <c r="CM65" i="16" s="1"/>
  <c r="CR65" i="16" s="1"/>
  <c r="AK65" i="16"/>
  <c r="AM65" i="16" s="1"/>
  <c r="AR65" i="16" s="1"/>
  <c r="DK65" i="16"/>
  <c r="DM65" i="16" s="1"/>
  <c r="DR65" i="16" s="1"/>
  <c r="BK65" i="16"/>
  <c r="BM65" i="16" s="1"/>
  <c r="BR65" i="16" s="1"/>
  <c r="CK65" i="14"/>
  <c r="CM65" i="14" s="1"/>
  <c r="CR65" i="14" s="1"/>
  <c r="DK65" i="14"/>
  <c r="DM65" i="14" s="1"/>
  <c r="DR65" i="14" s="1"/>
  <c r="BK65" i="14"/>
  <c r="BM65" i="14" s="1"/>
  <c r="BR65" i="14" s="1"/>
  <c r="AK65" i="14"/>
  <c r="AM65" i="14" s="1"/>
  <c r="AR65" i="14" s="1"/>
  <c r="DK65" i="13"/>
  <c r="DM65" i="13" s="1"/>
  <c r="DR65" i="13" s="1"/>
  <c r="CK65" i="13"/>
  <c r="CM65" i="13" s="1"/>
  <c r="CR65" i="13" s="1"/>
  <c r="BK65" i="13"/>
  <c r="BM65" i="13" s="1"/>
  <c r="BR65" i="13" s="1"/>
  <c r="AK65" i="13"/>
  <c r="AM65" i="13" s="1"/>
  <c r="AR65" i="13" s="1"/>
  <c r="DK65" i="15"/>
  <c r="BK65" i="15"/>
  <c r="K65" i="13"/>
  <c r="M65" i="13" s="1"/>
  <c r="R65" i="13" s="1"/>
  <c r="CK65" i="15"/>
  <c r="AK65" i="15"/>
  <c r="K65" i="16"/>
  <c r="M65" i="16" s="1"/>
  <c r="R65" i="16" s="1"/>
  <c r="K65" i="15"/>
  <c r="M65" i="15" s="1"/>
  <c r="R65" i="15" s="1"/>
  <c r="K65" i="14"/>
  <c r="M65" i="14" s="1"/>
  <c r="R65" i="14" s="1"/>
  <c r="N8" i="17"/>
  <c r="N9" i="17" s="1"/>
  <c r="DK77" i="16"/>
  <c r="DM77" i="16" s="1"/>
  <c r="DR77" i="16" s="1"/>
  <c r="CK77" i="16"/>
  <c r="CM77" i="16" s="1"/>
  <c r="CR77" i="16" s="1"/>
  <c r="BK77" i="16"/>
  <c r="BM77" i="16" s="1"/>
  <c r="BR77" i="16" s="1"/>
  <c r="AK77" i="16"/>
  <c r="AM77" i="16" s="1"/>
  <c r="AR77" i="16" s="1"/>
  <c r="K77" i="13"/>
  <c r="M77" i="13" s="1"/>
  <c r="R77" i="13" s="1"/>
  <c r="CK77" i="14"/>
  <c r="CM77" i="14" s="1"/>
  <c r="CR77" i="14" s="1"/>
  <c r="DK77" i="14"/>
  <c r="DM77" i="14" s="1"/>
  <c r="DR77" i="14" s="1"/>
  <c r="BK77" i="14"/>
  <c r="BM77" i="14" s="1"/>
  <c r="BR77" i="14" s="1"/>
  <c r="AK77" i="14"/>
  <c r="AM77" i="14" s="1"/>
  <c r="AR77" i="14" s="1"/>
  <c r="DK77" i="13"/>
  <c r="DM77" i="13" s="1"/>
  <c r="DR77" i="13" s="1"/>
  <c r="CK77" i="13"/>
  <c r="CM77" i="13" s="1"/>
  <c r="CR77" i="13" s="1"/>
  <c r="BK77" i="13"/>
  <c r="BM77" i="13" s="1"/>
  <c r="BR77" i="13" s="1"/>
  <c r="AK77" i="13"/>
  <c r="AM77" i="13" s="1"/>
  <c r="AR77" i="13" s="1"/>
  <c r="DK77" i="15"/>
  <c r="CK77" i="15"/>
  <c r="BK77" i="15"/>
  <c r="AK77" i="15"/>
  <c r="K77" i="16"/>
  <c r="M77" i="16" s="1"/>
  <c r="R77" i="16" s="1"/>
  <c r="K77" i="15"/>
  <c r="M77" i="15" s="1"/>
  <c r="R77" i="15" s="1"/>
  <c r="K77" i="14"/>
  <c r="M77" i="14" s="1"/>
  <c r="R77" i="14" s="1"/>
  <c r="I155" i="9"/>
  <c r="N155" i="9" s="1"/>
  <c r="DK75" i="16"/>
  <c r="DM75" i="16" s="1"/>
  <c r="DR75" i="16" s="1"/>
  <c r="CK75" i="16"/>
  <c r="CM75" i="16" s="1"/>
  <c r="CR75" i="16" s="1"/>
  <c r="BK75" i="16"/>
  <c r="BM75" i="16" s="1"/>
  <c r="BR75" i="16" s="1"/>
  <c r="AK75" i="16"/>
  <c r="AM75" i="16" s="1"/>
  <c r="AR75" i="16" s="1"/>
  <c r="AK75" i="15"/>
  <c r="DK75" i="15"/>
  <c r="BK75" i="15"/>
  <c r="K75" i="13"/>
  <c r="M75" i="13" s="1"/>
  <c r="R75" i="13" s="1"/>
  <c r="CK75" i="14"/>
  <c r="CM75" i="14" s="1"/>
  <c r="CR75" i="14" s="1"/>
  <c r="DK75" i="14"/>
  <c r="DM75" i="14" s="1"/>
  <c r="DR75" i="14" s="1"/>
  <c r="BK75" i="14"/>
  <c r="BM75" i="14" s="1"/>
  <c r="BR75" i="14" s="1"/>
  <c r="AK75" i="14"/>
  <c r="AM75" i="14" s="1"/>
  <c r="AR75" i="14" s="1"/>
  <c r="DK75" i="13"/>
  <c r="DM75" i="13" s="1"/>
  <c r="DR75" i="13" s="1"/>
  <c r="CK75" i="13"/>
  <c r="CM75" i="13" s="1"/>
  <c r="CR75" i="13" s="1"/>
  <c r="BK75" i="13"/>
  <c r="BM75" i="13" s="1"/>
  <c r="BR75" i="13" s="1"/>
  <c r="AK75" i="13"/>
  <c r="AM75" i="13" s="1"/>
  <c r="AR75" i="13" s="1"/>
  <c r="CK75" i="15"/>
  <c r="K75" i="16"/>
  <c r="M75" i="16" s="1"/>
  <c r="R75" i="16" s="1"/>
  <c r="K75" i="15"/>
  <c r="M75" i="15" s="1"/>
  <c r="R75" i="15" s="1"/>
  <c r="K75" i="14"/>
  <c r="M75" i="14" s="1"/>
  <c r="R75" i="14" s="1"/>
  <c r="I154" i="9"/>
  <c r="N154" i="9" s="1"/>
  <c r="DK74" i="16"/>
  <c r="DM74" i="16" s="1"/>
  <c r="DR74" i="16" s="1"/>
  <c r="CK74" i="16"/>
  <c r="CM74" i="16" s="1"/>
  <c r="CR74" i="16" s="1"/>
  <c r="BK74" i="16"/>
  <c r="BM74" i="16" s="1"/>
  <c r="BR74" i="16" s="1"/>
  <c r="AK74" i="16"/>
  <c r="AM74" i="16" s="1"/>
  <c r="AR74" i="16" s="1"/>
  <c r="DK74" i="15"/>
  <c r="CK74" i="14"/>
  <c r="CM74" i="14" s="1"/>
  <c r="CR74" i="14" s="1"/>
  <c r="DK74" i="14"/>
  <c r="DM74" i="14" s="1"/>
  <c r="DR74" i="14" s="1"/>
  <c r="BK74" i="14"/>
  <c r="BM74" i="14" s="1"/>
  <c r="BR74" i="14" s="1"/>
  <c r="AK74" i="14"/>
  <c r="AM74" i="14" s="1"/>
  <c r="AR74" i="14" s="1"/>
  <c r="DK74" i="13"/>
  <c r="DM74" i="13" s="1"/>
  <c r="DR74" i="13" s="1"/>
  <c r="CK74" i="13"/>
  <c r="CM74" i="13" s="1"/>
  <c r="CR74" i="13" s="1"/>
  <c r="BK74" i="13"/>
  <c r="BM74" i="13" s="1"/>
  <c r="BR74" i="13" s="1"/>
  <c r="AK74" i="13"/>
  <c r="AM74" i="13" s="1"/>
  <c r="AR74" i="13" s="1"/>
  <c r="K74" i="13"/>
  <c r="M74" i="13" s="1"/>
  <c r="R74" i="13" s="1"/>
  <c r="CK74" i="15"/>
  <c r="AK74" i="15"/>
  <c r="K74" i="16"/>
  <c r="M74" i="16" s="1"/>
  <c r="R74" i="16" s="1"/>
  <c r="K74" i="15"/>
  <c r="M74" i="15" s="1"/>
  <c r="R74" i="15" s="1"/>
  <c r="K74" i="14"/>
  <c r="M74" i="14" s="1"/>
  <c r="R74" i="14" s="1"/>
  <c r="BK74" i="15"/>
  <c r="CK72" i="16"/>
  <c r="CM72" i="16" s="1"/>
  <c r="CR72" i="16" s="1"/>
  <c r="DK72" i="16"/>
  <c r="DM72" i="16" s="1"/>
  <c r="DR72" i="16" s="1"/>
  <c r="BK72" i="16"/>
  <c r="BM72" i="16" s="1"/>
  <c r="BR72" i="16" s="1"/>
  <c r="AK72" i="16"/>
  <c r="AM72" i="16" s="1"/>
  <c r="AR72" i="16" s="1"/>
  <c r="BK72" i="15"/>
  <c r="CK72" i="14"/>
  <c r="CM72" i="14" s="1"/>
  <c r="CR72" i="14" s="1"/>
  <c r="DK72" i="14"/>
  <c r="DM72" i="14" s="1"/>
  <c r="DR72" i="14" s="1"/>
  <c r="BK72" i="14"/>
  <c r="BM72" i="14" s="1"/>
  <c r="BR72" i="14" s="1"/>
  <c r="AK72" i="14"/>
  <c r="AM72" i="14" s="1"/>
  <c r="AR72" i="14" s="1"/>
  <c r="DK72" i="13"/>
  <c r="DM72" i="13" s="1"/>
  <c r="DR72" i="13" s="1"/>
  <c r="CK72" i="13"/>
  <c r="CM72" i="13" s="1"/>
  <c r="CR72" i="13" s="1"/>
  <c r="BK72" i="13"/>
  <c r="BM72" i="13" s="1"/>
  <c r="BR72" i="13" s="1"/>
  <c r="AK72" i="13"/>
  <c r="AM72" i="13" s="1"/>
  <c r="AR72" i="13" s="1"/>
  <c r="AK72" i="15"/>
  <c r="K72" i="16"/>
  <c r="M72" i="16" s="1"/>
  <c r="R72" i="16" s="1"/>
  <c r="K72" i="15"/>
  <c r="M72" i="15" s="1"/>
  <c r="R72" i="15" s="1"/>
  <c r="K72" i="14"/>
  <c r="M72" i="14" s="1"/>
  <c r="R72" i="14" s="1"/>
  <c r="DK72" i="15"/>
  <c r="K72" i="13"/>
  <c r="M72" i="13" s="1"/>
  <c r="R72" i="13" s="1"/>
  <c r="CK72" i="15"/>
  <c r="K150" i="9"/>
  <c r="P150" i="9" s="1"/>
  <c r="CM70" i="15"/>
  <c r="CR70" i="15" s="1"/>
  <c r="BM70" i="15"/>
  <c r="BR70" i="15" s="1"/>
  <c r="DM70" i="15"/>
  <c r="DR70" i="15" s="1"/>
  <c r="AM70" i="15"/>
  <c r="AR70" i="15" s="1"/>
  <c r="CK70" i="16"/>
  <c r="CM70" i="16" s="1"/>
  <c r="CR70" i="16" s="1"/>
  <c r="DK70" i="16"/>
  <c r="DM70" i="16" s="1"/>
  <c r="DR70" i="16" s="1"/>
  <c r="BK70" i="16"/>
  <c r="BM70" i="16" s="1"/>
  <c r="BR70" i="16" s="1"/>
  <c r="AK70" i="16"/>
  <c r="AM70" i="16" s="1"/>
  <c r="AR70" i="16" s="1"/>
  <c r="DK70" i="15"/>
  <c r="CK70" i="14"/>
  <c r="CM70" i="14" s="1"/>
  <c r="CR70" i="14" s="1"/>
  <c r="DK70" i="14"/>
  <c r="DM70" i="14" s="1"/>
  <c r="DR70" i="14" s="1"/>
  <c r="BK70" i="14"/>
  <c r="BM70" i="14" s="1"/>
  <c r="BR70" i="14" s="1"/>
  <c r="AK70" i="14"/>
  <c r="AM70" i="14" s="1"/>
  <c r="AR70" i="14" s="1"/>
  <c r="DK70" i="13"/>
  <c r="DM70" i="13" s="1"/>
  <c r="DR70" i="13" s="1"/>
  <c r="CK70" i="13"/>
  <c r="CM70" i="13" s="1"/>
  <c r="CR70" i="13" s="1"/>
  <c r="BK70" i="13"/>
  <c r="BM70" i="13" s="1"/>
  <c r="BR70" i="13" s="1"/>
  <c r="AK70" i="13"/>
  <c r="AM70" i="13" s="1"/>
  <c r="AR70" i="13" s="1"/>
  <c r="K70" i="13"/>
  <c r="M70" i="13" s="1"/>
  <c r="R70" i="13" s="1"/>
  <c r="CK70" i="15"/>
  <c r="AK70" i="15"/>
  <c r="K70" i="16"/>
  <c r="M70" i="16" s="1"/>
  <c r="R70" i="16" s="1"/>
  <c r="K70" i="15"/>
  <c r="M70" i="15" s="1"/>
  <c r="R70" i="15" s="1"/>
  <c r="K70" i="14"/>
  <c r="M70" i="14" s="1"/>
  <c r="R70" i="14" s="1"/>
  <c r="BK70" i="15"/>
  <c r="CK69" i="16"/>
  <c r="CM69" i="16" s="1"/>
  <c r="CR69" i="16" s="1"/>
  <c r="BK69" i="16"/>
  <c r="BM69" i="16" s="1"/>
  <c r="BR69" i="16" s="1"/>
  <c r="DK69" i="16"/>
  <c r="DM69" i="16" s="1"/>
  <c r="DR69" i="16" s="1"/>
  <c r="AK69" i="16"/>
  <c r="AM69" i="16" s="1"/>
  <c r="AR69" i="16" s="1"/>
  <c r="K69" i="16"/>
  <c r="M69" i="16" s="1"/>
  <c r="R69" i="16" s="1"/>
  <c r="K69" i="14"/>
  <c r="M69" i="14" s="1"/>
  <c r="R69" i="14" s="1"/>
  <c r="K69" i="13"/>
  <c r="M69" i="13" s="1"/>
  <c r="R69" i="13" s="1"/>
  <c r="DK69" i="15"/>
  <c r="CK69" i="15"/>
  <c r="AK69" i="15"/>
  <c r="K69" i="15"/>
  <c r="M69" i="15" s="1"/>
  <c r="R69" i="15" s="1"/>
  <c r="CK69" i="14"/>
  <c r="CM69" i="14" s="1"/>
  <c r="CR69" i="14" s="1"/>
  <c r="DK69" i="14"/>
  <c r="DM69" i="14" s="1"/>
  <c r="DR69" i="14" s="1"/>
  <c r="BK69" i="14"/>
  <c r="BM69" i="14" s="1"/>
  <c r="BR69" i="14" s="1"/>
  <c r="AK69" i="14"/>
  <c r="AM69" i="14" s="1"/>
  <c r="AR69" i="14" s="1"/>
  <c r="DK69" i="13"/>
  <c r="DM69" i="13" s="1"/>
  <c r="DR69" i="13" s="1"/>
  <c r="CK69" i="13"/>
  <c r="CM69" i="13" s="1"/>
  <c r="CR69" i="13" s="1"/>
  <c r="BK69" i="13"/>
  <c r="BM69" i="13" s="1"/>
  <c r="BR69" i="13" s="1"/>
  <c r="AK69" i="13"/>
  <c r="AM69" i="13" s="1"/>
  <c r="AR69" i="13" s="1"/>
  <c r="BK69" i="15"/>
  <c r="M12" i="17"/>
  <c r="I148" i="9"/>
  <c r="N148" i="9" s="1"/>
  <c r="DK68" i="16"/>
  <c r="DM68" i="16" s="1"/>
  <c r="DR68" i="16" s="1"/>
  <c r="CK68" i="16"/>
  <c r="CM68" i="16" s="1"/>
  <c r="CR68" i="16" s="1"/>
  <c r="BK68" i="16"/>
  <c r="BM68" i="16" s="1"/>
  <c r="BR68" i="16" s="1"/>
  <c r="AK68" i="16"/>
  <c r="AM68" i="16" s="1"/>
  <c r="AR68" i="16" s="1"/>
  <c r="BK68" i="15"/>
  <c r="CK68" i="14"/>
  <c r="CM68" i="14" s="1"/>
  <c r="CR68" i="14" s="1"/>
  <c r="DK68" i="14"/>
  <c r="DM68" i="14" s="1"/>
  <c r="DR68" i="14" s="1"/>
  <c r="BK68" i="14"/>
  <c r="BM68" i="14" s="1"/>
  <c r="BR68" i="14" s="1"/>
  <c r="AK68" i="14"/>
  <c r="AM68" i="14" s="1"/>
  <c r="AR68" i="14" s="1"/>
  <c r="DK68" i="13"/>
  <c r="DM68" i="13" s="1"/>
  <c r="DR68" i="13" s="1"/>
  <c r="CK68" i="13"/>
  <c r="CM68" i="13" s="1"/>
  <c r="CR68" i="13" s="1"/>
  <c r="BK68" i="13"/>
  <c r="BM68" i="13" s="1"/>
  <c r="BR68" i="13" s="1"/>
  <c r="AK68" i="13"/>
  <c r="AM68" i="13" s="1"/>
  <c r="AR68" i="13" s="1"/>
  <c r="CK68" i="15"/>
  <c r="AK68" i="15"/>
  <c r="K68" i="16"/>
  <c r="M68" i="16" s="1"/>
  <c r="R68" i="16" s="1"/>
  <c r="K68" i="15"/>
  <c r="M68" i="15" s="1"/>
  <c r="R68" i="15" s="1"/>
  <c r="K68" i="14"/>
  <c r="M68" i="14" s="1"/>
  <c r="R68" i="14" s="1"/>
  <c r="DK68" i="15"/>
  <c r="K68" i="13"/>
  <c r="M68" i="13" s="1"/>
  <c r="R68" i="13" s="1"/>
  <c r="DK67" i="16"/>
  <c r="DM67" i="16" s="1"/>
  <c r="DR67" i="16" s="1"/>
  <c r="CK67" i="16"/>
  <c r="CM67" i="16" s="1"/>
  <c r="CR67" i="16" s="1"/>
  <c r="BK67" i="16"/>
  <c r="BM67" i="16" s="1"/>
  <c r="BR67" i="16" s="1"/>
  <c r="AK67" i="16"/>
  <c r="AM67" i="16" s="1"/>
  <c r="AR67" i="16" s="1"/>
  <c r="DK67" i="15"/>
  <c r="BK67" i="15"/>
  <c r="CK67" i="14"/>
  <c r="CM67" i="14" s="1"/>
  <c r="CR67" i="14" s="1"/>
  <c r="DK67" i="14"/>
  <c r="DM67" i="14" s="1"/>
  <c r="DR67" i="14" s="1"/>
  <c r="BK67" i="14"/>
  <c r="BM67" i="14" s="1"/>
  <c r="BR67" i="14" s="1"/>
  <c r="AK67" i="14"/>
  <c r="AM67" i="14" s="1"/>
  <c r="AR67" i="14" s="1"/>
  <c r="DK67" i="13"/>
  <c r="DM67" i="13" s="1"/>
  <c r="DR67" i="13" s="1"/>
  <c r="CK67" i="13"/>
  <c r="CM67" i="13" s="1"/>
  <c r="CR67" i="13" s="1"/>
  <c r="BK67" i="13"/>
  <c r="BM67" i="13" s="1"/>
  <c r="BR67" i="13" s="1"/>
  <c r="AK67" i="13"/>
  <c r="AM67" i="13" s="1"/>
  <c r="AR67" i="13" s="1"/>
  <c r="CK67" i="15"/>
  <c r="AK67" i="15"/>
  <c r="K67" i="16"/>
  <c r="M67" i="16" s="1"/>
  <c r="R67" i="16" s="1"/>
  <c r="K67" i="15"/>
  <c r="M67" i="15" s="1"/>
  <c r="R67" i="15" s="1"/>
  <c r="K67" i="14"/>
  <c r="M67" i="14" s="1"/>
  <c r="R67" i="14" s="1"/>
  <c r="K67" i="13"/>
  <c r="M67" i="13" s="1"/>
  <c r="R67" i="13" s="1"/>
  <c r="CK66" i="16"/>
  <c r="CM66" i="16" s="1"/>
  <c r="CR66" i="16" s="1"/>
  <c r="BK66" i="16"/>
  <c r="BM66" i="16" s="1"/>
  <c r="BR66" i="16" s="1"/>
  <c r="AK66" i="16"/>
  <c r="AM66" i="16" s="1"/>
  <c r="AR66" i="16" s="1"/>
  <c r="DK66" i="16"/>
  <c r="DM66" i="16" s="1"/>
  <c r="DR66" i="16" s="1"/>
  <c r="DK66" i="15"/>
  <c r="CK66" i="14"/>
  <c r="CM66" i="14" s="1"/>
  <c r="CR66" i="14" s="1"/>
  <c r="DK66" i="14"/>
  <c r="DM66" i="14" s="1"/>
  <c r="DR66" i="14" s="1"/>
  <c r="BK66" i="14"/>
  <c r="BM66" i="14" s="1"/>
  <c r="BR66" i="14" s="1"/>
  <c r="AK66" i="14"/>
  <c r="AM66" i="14" s="1"/>
  <c r="AR66" i="14" s="1"/>
  <c r="DK66" i="13"/>
  <c r="DM66" i="13" s="1"/>
  <c r="DR66" i="13" s="1"/>
  <c r="CK66" i="13"/>
  <c r="CM66" i="13" s="1"/>
  <c r="CR66" i="13" s="1"/>
  <c r="BK66" i="13"/>
  <c r="BM66" i="13" s="1"/>
  <c r="BR66" i="13" s="1"/>
  <c r="AK66" i="13"/>
  <c r="AM66" i="13" s="1"/>
  <c r="AR66" i="13" s="1"/>
  <c r="K66" i="13"/>
  <c r="M66" i="13" s="1"/>
  <c r="R66" i="13" s="1"/>
  <c r="AK66" i="15"/>
  <c r="K66" i="16"/>
  <c r="M66" i="16" s="1"/>
  <c r="R66" i="16" s="1"/>
  <c r="K66" i="15"/>
  <c r="M66" i="15" s="1"/>
  <c r="R66" i="15" s="1"/>
  <c r="K66" i="14"/>
  <c r="M66" i="14" s="1"/>
  <c r="R66" i="14" s="1"/>
  <c r="BK66" i="15"/>
  <c r="CK66" i="15"/>
  <c r="K146" i="9"/>
  <c r="P146" i="9" s="1"/>
  <c r="CM66" i="15"/>
  <c r="CR66" i="15" s="1"/>
  <c r="DM66" i="15"/>
  <c r="DR66" i="15" s="1"/>
  <c r="AM66" i="15"/>
  <c r="AR66" i="15" s="1"/>
  <c r="BM66" i="15"/>
  <c r="BR66" i="15" s="1"/>
  <c r="DK64" i="16"/>
  <c r="DM64" i="16" s="1"/>
  <c r="DR64" i="16" s="1"/>
  <c r="CK64" i="16"/>
  <c r="CM64" i="16" s="1"/>
  <c r="CR64" i="16" s="1"/>
  <c r="BK64" i="16"/>
  <c r="BM64" i="16" s="1"/>
  <c r="BR64" i="16" s="1"/>
  <c r="AK64" i="16"/>
  <c r="AM64" i="16" s="1"/>
  <c r="AR64" i="16" s="1"/>
  <c r="K64" i="13"/>
  <c r="M64" i="13" s="1"/>
  <c r="R64" i="13" s="1"/>
  <c r="DK64" i="15"/>
  <c r="CK64" i="15"/>
  <c r="BK64" i="15"/>
  <c r="AK64" i="15"/>
  <c r="K64" i="16"/>
  <c r="M64" i="16" s="1"/>
  <c r="R64" i="16" s="1"/>
  <c r="K64" i="15"/>
  <c r="M64" i="15" s="1"/>
  <c r="R64" i="15" s="1"/>
  <c r="K64" i="14"/>
  <c r="M64" i="14" s="1"/>
  <c r="R64" i="14" s="1"/>
  <c r="CK64" i="14"/>
  <c r="CM64" i="14" s="1"/>
  <c r="CR64" i="14" s="1"/>
  <c r="DK64" i="14"/>
  <c r="DM64" i="14" s="1"/>
  <c r="DR64" i="14" s="1"/>
  <c r="BK64" i="14"/>
  <c r="BM64" i="14" s="1"/>
  <c r="BR64" i="14" s="1"/>
  <c r="AK64" i="14"/>
  <c r="AM64" i="14" s="1"/>
  <c r="AR64" i="14" s="1"/>
  <c r="DK64" i="13"/>
  <c r="DM64" i="13" s="1"/>
  <c r="DR64" i="13" s="1"/>
  <c r="CK64" i="13"/>
  <c r="CM64" i="13" s="1"/>
  <c r="CR64" i="13" s="1"/>
  <c r="BK64" i="13"/>
  <c r="BM64" i="13" s="1"/>
  <c r="BR64" i="13" s="1"/>
  <c r="AK64" i="13"/>
  <c r="AM64" i="13" s="1"/>
  <c r="AR64" i="13" s="1"/>
  <c r="M15" i="17"/>
  <c r="I144" i="9"/>
  <c r="N144" i="9" s="1"/>
  <c r="I145" i="9"/>
  <c r="N145" i="9" s="1"/>
  <c r="I152" i="9"/>
  <c r="N152" i="9" s="1"/>
  <c r="M8" i="17"/>
  <c r="S13" i="8"/>
  <c r="R13" i="8"/>
  <c r="M19" i="17"/>
  <c r="I149" i="9"/>
  <c r="N149" i="9" s="1"/>
  <c r="I147" i="9"/>
  <c r="N147" i="9" s="1"/>
  <c r="Q13" i="8"/>
  <c r="P13" i="8"/>
  <c r="I157" i="9"/>
  <c r="N157" i="9" s="1"/>
  <c r="J146" i="9"/>
  <c r="O146" i="9" s="1"/>
  <c r="J150" i="9"/>
  <c r="O150" i="9" s="1"/>
  <c r="E36" i="18"/>
  <c r="E45" i="18"/>
  <c r="E44" i="18"/>
  <c r="N43" i="18"/>
  <c r="M37" i="18"/>
  <c r="K41" i="18"/>
  <c r="Q15" i="17" s="1"/>
  <c r="N35" i="18"/>
  <c r="E43" i="18"/>
  <c r="L33" i="18"/>
  <c r="F44" i="18"/>
  <c r="K43" i="18"/>
  <c r="Q17" i="17" s="1"/>
  <c r="G37" i="18"/>
  <c r="G41" i="18"/>
  <c r="L48" i="18"/>
  <c r="E34" i="18"/>
  <c r="E35" i="18"/>
  <c r="E48" i="18"/>
  <c r="E40" i="18"/>
  <c r="M44" i="18"/>
  <c r="E41" i="18"/>
  <c r="K44" i="18"/>
  <c r="Q18" i="17" s="1"/>
  <c r="N41" i="18"/>
  <c r="L46" i="18"/>
  <c r="G42" i="18"/>
  <c r="G35" i="18"/>
  <c r="L41" i="18"/>
  <c r="E46" i="18"/>
  <c r="E33" i="18"/>
  <c r="E38" i="18"/>
  <c r="E39" i="18"/>
  <c r="L34" i="18"/>
  <c r="F38" i="18"/>
  <c r="K45" i="18"/>
  <c r="Q19" i="17" s="1"/>
  <c r="R16" i="2"/>
  <c r="S14" i="8" s="1"/>
  <c r="R14" i="8"/>
  <c r="Q14" i="8"/>
  <c r="P14" i="8"/>
  <c r="R17" i="8"/>
  <c r="AF13" i="2"/>
  <c r="P17" i="8"/>
  <c r="AE16" i="2"/>
  <c r="AN138" i="14" l="1"/>
  <c r="AS138" i="14" s="1"/>
  <c r="AS139" i="14" s="1"/>
  <c r="AS140" i="14" s="1"/>
  <c r="AS141" i="14" s="1"/>
  <c r="AS142" i="14" s="1"/>
  <c r="AS143" i="14" s="1"/>
  <c r="AS144" i="14" s="1"/>
  <c r="AS145" i="14" s="1"/>
  <c r="AS146" i="14" s="1"/>
  <c r="AS147" i="14" s="1"/>
  <c r="AS148" i="14" s="1"/>
  <c r="AS149" i="14" s="1"/>
  <c r="AS150" i="14" s="1"/>
  <c r="AS151" i="14" s="1"/>
  <c r="AS152" i="14" s="1"/>
  <c r="AS153" i="14" s="1"/>
  <c r="CG138" i="16"/>
  <c r="CL138" i="16" s="1"/>
  <c r="CL139" i="16" s="1"/>
  <c r="CL140" i="16" s="1"/>
  <c r="CL141" i="16" s="1"/>
  <c r="CL142" i="16" s="1"/>
  <c r="CL143" i="16" s="1"/>
  <c r="CL144" i="16" s="1"/>
  <c r="CL145" i="16" s="1"/>
  <c r="CL146" i="16" s="1"/>
  <c r="CL147" i="16" s="1"/>
  <c r="CL148" i="16" s="1"/>
  <c r="CL149" i="16" s="1"/>
  <c r="CL150" i="16" s="1"/>
  <c r="CL151" i="16" s="1"/>
  <c r="CL152" i="16" s="1"/>
  <c r="CL153" i="16" s="1"/>
  <c r="DI138" i="15"/>
  <c r="DN138" i="15" s="1"/>
  <c r="DN139" i="15" s="1"/>
  <c r="DN140" i="15" s="1"/>
  <c r="DN141" i="15" s="1"/>
  <c r="DN142" i="15" s="1"/>
  <c r="DN143" i="15" s="1"/>
  <c r="DN144" i="15" s="1"/>
  <c r="DN145" i="15" s="1"/>
  <c r="DN146" i="15" s="1"/>
  <c r="DN147" i="15" s="1"/>
  <c r="DN148" i="15" s="1"/>
  <c r="DN149" i="15" s="1"/>
  <c r="DN150" i="15" s="1"/>
  <c r="DN151" i="15" s="1"/>
  <c r="DN152" i="15" s="1"/>
  <c r="DN153" i="15" s="1"/>
  <c r="BL138" i="14"/>
  <c r="BQ138" i="14" s="1"/>
  <c r="BQ139" i="14" s="1"/>
  <c r="BQ140" i="14" s="1"/>
  <c r="BQ141" i="14" s="1"/>
  <c r="BQ142" i="14" s="1"/>
  <c r="BQ143" i="14" s="1"/>
  <c r="BQ144" i="14" s="1"/>
  <c r="BQ145" i="14" s="1"/>
  <c r="BQ146" i="14" s="1"/>
  <c r="BQ147" i="14" s="1"/>
  <c r="BQ148" i="14" s="1"/>
  <c r="BQ149" i="14" s="1"/>
  <c r="BQ150" i="14" s="1"/>
  <c r="BQ151" i="14" s="1"/>
  <c r="BQ152" i="14" s="1"/>
  <c r="BQ153" i="14" s="1"/>
  <c r="CK138" i="13"/>
  <c r="CP138" i="13" s="1"/>
  <c r="CP139" i="13" s="1"/>
  <c r="CP140" i="13" s="1"/>
  <c r="CP141" i="13" s="1"/>
  <c r="CP142" i="13" s="1"/>
  <c r="CP143" i="13" s="1"/>
  <c r="CP144" i="13" s="1"/>
  <c r="CP145" i="13" s="1"/>
  <c r="CP146" i="13" s="1"/>
  <c r="CP147" i="13" s="1"/>
  <c r="CP148" i="13" s="1"/>
  <c r="CP149" i="13" s="1"/>
  <c r="CP150" i="13" s="1"/>
  <c r="CP151" i="13" s="1"/>
  <c r="CP152" i="13" s="1"/>
  <c r="CP153" i="13" s="1"/>
  <c r="P138" i="16"/>
  <c r="U138" i="16" s="1"/>
  <c r="U139" i="16" s="1"/>
  <c r="U140" i="16" s="1"/>
  <c r="U141" i="16" s="1"/>
  <c r="U142" i="16" s="1"/>
  <c r="U143" i="16" s="1"/>
  <c r="U144" i="16" s="1"/>
  <c r="U145" i="16" s="1"/>
  <c r="U146" i="16" s="1"/>
  <c r="U147" i="16" s="1"/>
  <c r="U148" i="16" s="1"/>
  <c r="U149" i="16" s="1"/>
  <c r="U150" i="16" s="1"/>
  <c r="U151" i="16" s="1"/>
  <c r="U152" i="16" s="1"/>
  <c r="U153" i="16" s="1"/>
  <c r="P138" i="14"/>
  <c r="U138" i="14" s="1"/>
  <c r="U139" i="14" s="1"/>
  <c r="U140" i="14" s="1"/>
  <c r="U141" i="14" s="1"/>
  <c r="U142" i="14" s="1"/>
  <c r="U143" i="14" s="1"/>
  <c r="U144" i="14" s="1"/>
  <c r="U145" i="14" s="1"/>
  <c r="U146" i="14" s="1"/>
  <c r="U147" i="14" s="1"/>
  <c r="U148" i="14" s="1"/>
  <c r="U149" i="14" s="1"/>
  <c r="U150" i="14" s="1"/>
  <c r="U151" i="14" s="1"/>
  <c r="U152" i="14" s="1"/>
  <c r="U153" i="14" s="1"/>
  <c r="BK138" i="16"/>
  <c r="BP138" i="16" s="1"/>
  <c r="BP139" i="16" s="1"/>
  <c r="BP140" i="16" s="1"/>
  <c r="BP141" i="16" s="1"/>
  <c r="BP142" i="16" s="1"/>
  <c r="BP143" i="16" s="1"/>
  <c r="BP144" i="16" s="1"/>
  <c r="BP145" i="16" s="1"/>
  <c r="BP146" i="16" s="1"/>
  <c r="BP147" i="16" s="1"/>
  <c r="BP148" i="16" s="1"/>
  <c r="BP149" i="16" s="1"/>
  <c r="BP150" i="16" s="1"/>
  <c r="BP151" i="16" s="1"/>
  <c r="BP152" i="16" s="1"/>
  <c r="BP153" i="16" s="1"/>
  <c r="N122" i="9"/>
  <c r="H38" i="18" s="1"/>
  <c r="CH138" i="16"/>
  <c r="CM138" i="16" s="1"/>
  <c r="CM139" i="16" s="1"/>
  <c r="CM140" i="16" s="1"/>
  <c r="CM141" i="16" s="1"/>
  <c r="CM142" i="16" s="1"/>
  <c r="CM143" i="16" s="1"/>
  <c r="CM144" i="16" s="1"/>
  <c r="CM145" i="16" s="1"/>
  <c r="CM146" i="16" s="1"/>
  <c r="CM147" i="16" s="1"/>
  <c r="CM148" i="16" s="1"/>
  <c r="CM149" i="16" s="1"/>
  <c r="CM150" i="16" s="1"/>
  <c r="CM151" i="16" s="1"/>
  <c r="CM152" i="16" s="1"/>
  <c r="CM153" i="16" s="1"/>
  <c r="BM138" i="14"/>
  <c r="BR138" i="14" s="1"/>
  <c r="BR139" i="14" s="1"/>
  <c r="BR140" i="14" s="1"/>
  <c r="BR141" i="14" s="1"/>
  <c r="BR142" i="14" s="1"/>
  <c r="BR143" i="14" s="1"/>
  <c r="BR144" i="14" s="1"/>
  <c r="BR145" i="14" s="1"/>
  <c r="BR146" i="14" s="1"/>
  <c r="BR147" i="14" s="1"/>
  <c r="BR148" i="14" s="1"/>
  <c r="BR149" i="14" s="1"/>
  <c r="BR150" i="14" s="1"/>
  <c r="BR151" i="14" s="1"/>
  <c r="BR152" i="14" s="1"/>
  <c r="BR153" i="14" s="1"/>
  <c r="Q138" i="16"/>
  <c r="V138" i="16" s="1"/>
  <c r="V139" i="16" s="1"/>
  <c r="V140" i="16" s="1"/>
  <c r="V141" i="16" s="1"/>
  <c r="V142" i="16" s="1"/>
  <c r="V143" i="16" s="1"/>
  <c r="V144" i="16" s="1"/>
  <c r="V145" i="16" s="1"/>
  <c r="V146" i="16" s="1"/>
  <c r="V147" i="16" s="1"/>
  <c r="V148" i="16" s="1"/>
  <c r="V149" i="16" s="1"/>
  <c r="V150" i="16" s="1"/>
  <c r="V151" i="16" s="1"/>
  <c r="V152" i="16" s="1"/>
  <c r="V153" i="16" s="1"/>
  <c r="DH138" i="15"/>
  <c r="DM138" i="15" s="1"/>
  <c r="DM139" i="15" s="1"/>
  <c r="DM140" i="15" s="1"/>
  <c r="DM141" i="15" s="1"/>
  <c r="DM142" i="15" s="1"/>
  <c r="DM143" i="15" s="1"/>
  <c r="DM144" i="15" s="1"/>
  <c r="DM145" i="15" s="1"/>
  <c r="DM146" i="15" s="1"/>
  <c r="DM147" i="15" s="1"/>
  <c r="DM148" i="15" s="1"/>
  <c r="DM149" i="15" s="1"/>
  <c r="DM150" i="15" s="1"/>
  <c r="DM151" i="15" s="1"/>
  <c r="DM152" i="15" s="1"/>
  <c r="DM153" i="15" s="1"/>
  <c r="CJ138" i="13"/>
  <c r="CO138" i="13" s="1"/>
  <c r="CO139" i="13" s="1"/>
  <c r="CO140" i="13" s="1"/>
  <c r="CO141" i="13" s="1"/>
  <c r="CO142" i="13" s="1"/>
  <c r="CO143" i="13" s="1"/>
  <c r="CO144" i="13" s="1"/>
  <c r="CO145" i="13" s="1"/>
  <c r="CO146" i="13" s="1"/>
  <c r="CO147" i="13" s="1"/>
  <c r="CO148" i="13" s="1"/>
  <c r="CO149" i="13" s="1"/>
  <c r="CO150" i="13" s="1"/>
  <c r="CO151" i="13" s="1"/>
  <c r="CO152" i="13" s="1"/>
  <c r="CO153" i="13" s="1"/>
  <c r="AN138" i="13"/>
  <c r="AS138" i="13" s="1"/>
  <c r="AS139" i="13" s="1"/>
  <c r="AS140" i="13" s="1"/>
  <c r="AS141" i="13" s="1"/>
  <c r="AS142" i="13" s="1"/>
  <c r="AS143" i="13" s="1"/>
  <c r="AS144" i="13" s="1"/>
  <c r="AS145" i="13" s="1"/>
  <c r="AS146" i="13" s="1"/>
  <c r="AS147" i="13" s="1"/>
  <c r="AS148" i="13" s="1"/>
  <c r="AS149" i="13" s="1"/>
  <c r="AS150" i="13" s="1"/>
  <c r="AS151" i="13" s="1"/>
  <c r="AS152" i="13" s="1"/>
  <c r="AS153" i="13" s="1"/>
  <c r="N128" i="9"/>
  <c r="H44" i="18" s="1"/>
  <c r="O120" i="9"/>
  <c r="O36" i="18" s="1"/>
  <c r="BL138" i="13"/>
  <c r="BQ138" i="13" s="1"/>
  <c r="BQ139" i="13" s="1"/>
  <c r="BQ140" i="13" s="1"/>
  <c r="BQ141" i="13" s="1"/>
  <c r="BQ142" i="13" s="1"/>
  <c r="BQ143" i="13" s="1"/>
  <c r="BQ144" i="13" s="1"/>
  <c r="BQ145" i="13" s="1"/>
  <c r="BQ146" i="13" s="1"/>
  <c r="BQ147" i="13" s="1"/>
  <c r="BQ148" i="13" s="1"/>
  <c r="BQ149" i="13" s="1"/>
  <c r="BQ150" i="13" s="1"/>
  <c r="BQ151" i="13" s="1"/>
  <c r="BQ152" i="13" s="1"/>
  <c r="BQ153" i="13" s="1"/>
  <c r="Q138" i="14"/>
  <c r="V138" i="14" s="1"/>
  <c r="V139" i="14" s="1"/>
  <c r="V140" i="14" s="1"/>
  <c r="V141" i="14" s="1"/>
  <c r="V142" i="14" s="1"/>
  <c r="V143" i="14" s="1"/>
  <c r="V144" i="14" s="1"/>
  <c r="V145" i="14" s="1"/>
  <c r="V146" i="14" s="1"/>
  <c r="V147" i="14" s="1"/>
  <c r="V148" i="14" s="1"/>
  <c r="V149" i="14" s="1"/>
  <c r="V150" i="14" s="1"/>
  <c r="V151" i="14" s="1"/>
  <c r="V152" i="14" s="1"/>
  <c r="V153" i="14" s="1"/>
  <c r="F48" i="18"/>
  <c r="V138" i="15"/>
  <c r="Q138" i="15"/>
  <c r="DI138" i="16"/>
  <c r="DD138" i="16"/>
  <c r="AT138" i="13"/>
  <c r="AT139" i="13" s="1"/>
  <c r="AO138" i="13"/>
  <c r="DN138" i="14"/>
  <c r="DI138" i="14"/>
  <c r="U138" i="15"/>
  <c r="U139" i="15" s="1"/>
  <c r="U140" i="15" s="1"/>
  <c r="U141" i="15" s="1"/>
  <c r="U142" i="15" s="1"/>
  <c r="U143" i="15" s="1"/>
  <c r="U144" i="15" s="1"/>
  <c r="U145" i="15" s="1"/>
  <c r="U146" i="15" s="1"/>
  <c r="U147" i="15" s="1"/>
  <c r="U148" i="15" s="1"/>
  <c r="U149" i="15" s="1"/>
  <c r="U150" i="15" s="1"/>
  <c r="U151" i="15" s="1"/>
  <c r="U152" i="15" s="1"/>
  <c r="U153" i="15" s="1"/>
  <c r="P138" i="15"/>
  <c r="U138" i="13"/>
  <c r="P138" i="13"/>
  <c r="H36" i="18"/>
  <c r="N120" i="9"/>
  <c r="DE138" i="16"/>
  <c r="DJ138" i="16" s="1"/>
  <c r="DJ139" i="16" s="1"/>
  <c r="DJ140" i="16" s="1"/>
  <c r="DJ141" i="16" s="1"/>
  <c r="DJ142" i="16" s="1"/>
  <c r="DJ143" i="16" s="1"/>
  <c r="DJ144" i="16" s="1"/>
  <c r="DJ145" i="16" s="1"/>
  <c r="DJ146" i="16" s="1"/>
  <c r="DJ147" i="16" s="1"/>
  <c r="DJ148" i="16" s="1"/>
  <c r="DJ149" i="16" s="1"/>
  <c r="DJ150" i="16" s="1"/>
  <c r="DJ151" i="16" s="1"/>
  <c r="DJ152" i="16" s="1"/>
  <c r="DJ153" i="16" s="1"/>
  <c r="BR138" i="15"/>
  <c r="BR139" i="15" s="1"/>
  <c r="BR140" i="15" s="1"/>
  <c r="BR141" i="15" s="1"/>
  <c r="BR142" i="15" s="1"/>
  <c r="BR143" i="15" s="1"/>
  <c r="BR144" i="15" s="1"/>
  <c r="BR145" i="15" s="1"/>
  <c r="BR146" i="15" s="1"/>
  <c r="BR147" i="15" s="1"/>
  <c r="BR148" i="15" s="1"/>
  <c r="BR149" i="15" s="1"/>
  <c r="BR150" i="15" s="1"/>
  <c r="BR151" i="15" s="1"/>
  <c r="BR152" i="15" s="1"/>
  <c r="BR153" i="15" s="1"/>
  <c r="BM138" i="15"/>
  <c r="AS138" i="16"/>
  <c r="AN138" i="16"/>
  <c r="DM138" i="14"/>
  <c r="DH138" i="14"/>
  <c r="O128" i="9"/>
  <c r="O44" i="18" s="1"/>
  <c r="BO138" i="16"/>
  <c r="BO139" i="16" s="1"/>
  <c r="BO140" i="16" s="1"/>
  <c r="BO141" i="16" s="1"/>
  <c r="BO142" i="16" s="1"/>
  <c r="BO143" i="16" s="1"/>
  <c r="BO144" i="16" s="1"/>
  <c r="BO145" i="16" s="1"/>
  <c r="BO146" i="16" s="1"/>
  <c r="BO147" i="16" s="1"/>
  <c r="BO148" i="16" s="1"/>
  <c r="BO149" i="16" s="1"/>
  <c r="BO150" i="16" s="1"/>
  <c r="BO151" i="16" s="1"/>
  <c r="BO152" i="16" s="1"/>
  <c r="BO153" i="16" s="1"/>
  <c r="BJ138" i="16"/>
  <c r="V138" i="13"/>
  <c r="Q138" i="13"/>
  <c r="N118" i="9"/>
  <c r="H34" i="18" s="1"/>
  <c r="BL138" i="15"/>
  <c r="BQ138" i="15" s="1"/>
  <c r="BQ139" i="15" s="1"/>
  <c r="BQ140" i="15" s="1"/>
  <c r="BQ141" i="15" s="1"/>
  <c r="BQ142" i="15" s="1"/>
  <c r="BQ143" i="15" s="1"/>
  <c r="BQ144" i="15" s="1"/>
  <c r="BQ145" i="15" s="1"/>
  <c r="BQ146" i="15" s="1"/>
  <c r="BQ147" i="15" s="1"/>
  <c r="BQ148" i="15" s="1"/>
  <c r="BQ149" i="15" s="1"/>
  <c r="BQ150" i="15" s="1"/>
  <c r="BQ151" i="15" s="1"/>
  <c r="BQ152" i="15" s="1"/>
  <c r="BQ153" i="15" s="1"/>
  <c r="AR138" i="16"/>
  <c r="AR139" i="16" s="1"/>
  <c r="AR140" i="16" s="1"/>
  <c r="AR141" i="16" s="1"/>
  <c r="AR142" i="16" s="1"/>
  <c r="AR143" i="16" s="1"/>
  <c r="AR144" i="16" s="1"/>
  <c r="AR145" i="16" s="1"/>
  <c r="AR146" i="16" s="1"/>
  <c r="AR147" i="16" s="1"/>
  <c r="AR148" i="16" s="1"/>
  <c r="AR149" i="16" s="1"/>
  <c r="AR150" i="16" s="1"/>
  <c r="AR151" i="16" s="1"/>
  <c r="AR152" i="16" s="1"/>
  <c r="AR153" i="16" s="1"/>
  <c r="AM138" i="16"/>
  <c r="CP138" i="15"/>
  <c r="CK138" i="15"/>
  <c r="DI138" i="13"/>
  <c r="DN138" i="13" s="1"/>
  <c r="DN139" i="13" s="1"/>
  <c r="DN140" i="13" s="1"/>
  <c r="DN141" i="13" s="1"/>
  <c r="DN142" i="13" s="1"/>
  <c r="DN143" i="13" s="1"/>
  <c r="DN144" i="13" s="1"/>
  <c r="DN145" i="13" s="1"/>
  <c r="DN146" i="13" s="1"/>
  <c r="DN147" i="13" s="1"/>
  <c r="DN148" i="13" s="1"/>
  <c r="DN149" i="13" s="1"/>
  <c r="DN150" i="13" s="1"/>
  <c r="DN151" i="13" s="1"/>
  <c r="DN152" i="13" s="1"/>
  <c r="DN153" i="13" s="1"/>
  <c r="O123" i="9"/>
  <c r="O39" i="18" s="1"/>
  <c r="CP138" i="14"/>
  <c r="CP139" i="14" s="1"/>
  <c r="CP140" i="14" s="1"/>
  <c r="CP141" i="14" s="1"/>
  <c r="CP142" i="14" s="1"/>
  <c r="CP143" i="14" s="1"/>
  <c r="CP144" i="14" s="1"/>
  <c r="CP145" i="14" s="1"/>
  <c r="CP146" i="14" s="1"/>
  <c r="CP147" i="14" s="1"/>
  <c r="CP148" i="14" s="1"/>
  <c r="CP149" i="14" s="1"/>
  <c r="CP150" i="14" s="1"/>
  <c r="CP151" i="14" s="1"/>
  <c r="CP152" i="14" s="1"/>
  <c r="CP153" i="14" s="1"/>
  <c r="CK138" i="14"/>
  <c r="AS138" i="15"/>
  <c r="AN138" i="15"/>
  <c r="CJ138" i="15"/>
  <c r="CO138" i="15" s="1"/>
  <c r="CO139" i="15" s="1"/>
  <c r="CO140" i="15" s="1"/>
  <c r="CO141" i="15" s="1"/>
  <c r="CO142" i="15" s="1"/>
  <c r="CO143" i="15" s="1"/>
  <c r="CO144" i="15" s="1"/>
  <c r="CO145" i="15" s="1"/>
  <c r="CO146" i="15" s="1"/>
  <c r="CO147" i="15" s="1"/>
  <c r="CO148" i="15" s="1"/>
  <c r="CO149" i="15" s="1"/>
  <c r="CO150" i="15" s="1"/>
  <c r="CO151" i="15" s="1"/>
  <c r="CO152" i="15" s="1"/>
  <c r="CO153" i="15" s="1"/>
  <c r="DH138" i="13"/>
  <c r="DM138" i="13" s="1"/>
  <c r="DM139" i="13" s="1"/>
  <c r="DM140" i="13" s="1"/>
  <c r="DM141" i="13" s="1"/>
  <c r="DM142" i="13" s="1"/>
  <c r="DM143" i="13" s="1"/>
  <c r="DM144" i="13" s="1"/>
  <c r="DM145" i="13" s="1"/>
  <c r="DM146" i="13" s="1"/>
  <c r="DM147" i="13" s="1"/>
  <c r="DM148" i="13" s="1"/>
  <c r="DM149" i="13" s="1"/>
  <c r="DM150" i="13" s="1"/>
  <c r="DM151" i="13" s="1"/>
  <c r="DM152" i="13" s="1"/>
  <c r="DM153" i="13" s="1"/>
  <c r="CO138" i="14"/>
  <c r="CO139" i="14" s="1"/>
  <c r="CO140" i="14" s="1"/>
  <c r="CO141" i="14" s="1"/>
  <c r="CO142" i="14" s="1"/>
  <c r="CO143" i="14" s="1"/>
  <c r="CO144" i="14" s="1"/>
  <c r="CO145" i="14" s="1"/>
  <c r="CO146" i="14" s="1"/>
  <c r="CO147" i="14" s="1"/>
  <c r="CO148" i="14" s="1"/>
  <c r="CO149" i="14" s="1"/>
  <c r="CO150" i="14" s="1"/>
  <c r="CO151" i="14" s="1"/>
  <c r="CO152" i="14" s="1"/>
  <c r="CO153" i="14" s="1"/>
  <c r="CJ138" i="14"/>
  <c r="AT138" i="15"/>
  <c r="AO138" i="15"/>
  <c r="BM138" i="13"/>
  <c r="BR138" i="13" s="1"/>
  <c r="BR139" i="13" s="1"/>
  <c r="BR140" i="13" s="1"/>
  <c r="BR141" i="13" s="1"/>
  <c r="BR142" i="13" s="1"/>
  <c r="BR143" i="13" s="1"/>
  <c r="BR144" i="13" s="1"/>
  <c r="BR145" i="13" s="1"/>
  <c r="BR146" i="13" s="1"/>
  <c r="BR147" i="13" s="1"/>
  <c r="BR148" i="13" s="1"/>
  <c r="BR149" i="13" s="1"/>
  <c r="BR150" i="13" s="1"/>
  <c r="BR151" i="13" s="1"/>
  <c r="BR152" i="13" s="1"/>
  <c r="BR153" i="13" s="1"/>
  <c r="AO138" i="14"/>
  <c r="AT138" i="14" s="1"/>
  <c r="AT139" i="14" s="1"/>
  <c r="AT140" i="14" s="1"/>
  <c r="AT141" i="14" s="1"/>
  <c r="AT142" i="14" s="1"/>
  <c r="AT143" i="14" s="1"/>
  <c r="AT144" i="14" s="1"/>
  <c r="AT145" i="14" s="1"/>
  <c r="AT146" i="14" s="1"/>
  <c r="AT147" i="14" s="1"/>
  <c r="AT148" i="14" s="1"/>
  <c r="AT149" i="14" s="1"/>
  <c r="AT150" i="14" s="1"/>
  <c r="AT151" i="14" s="1"/>
  <c r="AT152" i="14" s="1"/>
  <c r="AT153" i="14" s="1"/>
  <c r="H47" i="18"/>
  <c r="N131" i="9"/>
  <c r="H39" i="18"/>
  <c r="N123" i="9"/>
  <c r="F33" i="18"/>
  <c r="BP139" i="15"/>
  <c r="BP140" i="15" s="1"/>
  <c r="BP141" i="15" s="1"/>
  <c r="BP142" i="15" s="1"/>
  <c r="BP143" i="15" s="1"/>
  <c r="BP144" i="15" s="1"/>
  <c r="BP145" i="15" s="1"/>
  <c r="BP146" i="15" s="1"/>
  <c r="BP147" i="15" s="1"/>
  <c r="BP148" i="15" s="1"/>
  <c r="BP149" i="15" s="1"/>
  <c r="BP150" i="15" s="1"/>
  <c r="BP151" i="15" s="1"/>
  <c r="BP152" i="15" s="1"/>
  <c r="BP153" i="15" s="1"/>
  <c r="AI162" i="15" s="1"/>
  <c r="F41" i="18"/>
  <c r="F36" i="18"/>
  <c r="D41" i="18"/>
  <c r="P15" i="17" s="1"/>
  <c r="K47" i="18"/>
  <c r="Q21" i="17" s="1"/>
  <c r="H45" i="18"/>
  <c r="D36" i="18"/>
  <c r="P10" i="17" s="1"/>
  <c r="D37" i="18"/>
  <c r="P11" i="17" s="1"/>
  <c r="F42" i="18"/>
  <c r="L42" i="18"/>
  <c r="R117" i="9"/>
  <c r="R118" i="9" s="1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R129" i="9" s="1"/>
  <c r="R130" i="9" s="1"/>
  <c r="R131" i="9" s="1"/>
  <c r="R132" i="9" s="1"/>
  <c r="H8" i="11" s="1"/>
  <c r="H43" i="18"/>
  <c r="H33" i="18"/>
  <c r="F34" i="18"/>
  <c r="F43" i="18"/>
  <c r="G39" i="18"/>
  <c r="O40" i="18"/>
  <c r="H35" i="18"/>
  <c r="H48" i="18"/>
  <c r="D35" i="18"/>
  <c r="P9" i="17" s="1"/>
  <c r="K34" i="18"/>
  <c r="Q8" i="17" s="1"/>
  <c r="D34" i="18"/>
  <c r="P8" i="17" s="1"/>
  <c r="D40" i="18"/>
  <c r="P14" i="17" s="1"/>
  <c r="H42" i="18"/>
  <c r="O45" i="18"/>
  <c r="O47" i="18"/>
  <c r="O42" i="18"/>
  <c r="H40" i="18"/>
  <c r="F46" i="18"/>
  <c r="M46" i="18"/>
  <c r="F40" i="18"/>
  <c r="M36" i="18"/>
  <c r="F35" i="18"/>
  <c r="M34" i="18"/>
  <c r="M33" i="18"/>
  <c r="D47" i="18"/>
  <c r="P21" i="17" s="1"/>
  <c r="D43" i="18"/>
  <c r="P17" i="17" s="1"/>
  <c r="D39" i="18"/>
  <c r="P13" i="17" s="1"/>
  <c r="D42" i="18"/>
  <c r="P16" i="17" s="1"/>
  <c r="D48" i="18"/>
  <c r="P22" i="17" s="1"/>
  <c r="K42" i="18"/>
  <c r="Q16" i="17" s="1"/>
  <c r="O41" i="18"/>
  <c r="T139" i="15"/>
  <c r="T140" i="15" s="1"/>
  <c r="T141" i="15" s="1"/>
  <c r="T142" i="15" s="1"/>
  <c r="T143" i="15" s="1"/>
  <c r="T144" i="15" s="1"/>
  <c r="T145" i="15" s="1"/>
  <c r="T146" i="15" s="1"/>
  <c r="T147" i="15" s="1"/>
  <c r="T148" i="15" s="1"/>
  <c r="T149" i="15" s="1"/>
  <c r="T150" i="15" s="1"/>
  <c r="T151" i="15" s="1"/>
  <c r="T152" i="15" s="1"/>
  <c r="T153" i="15" s="1"/>
  <c r="AG162" i="15" s="1"/>
  <c r="H37" i="18"/>
  <c r="H41" i="18"/>
  <c r="G44" i="18"/>
  <c r="N44" i="18"/>
  <c r="N39" i="18"/>
  <c r="G34" i="18"/>
  <c r="F39" i="18"/>
  <c r="F45" i="18"/>
  <c r="F47" i="18"/>
  <c r="E42" i="18"/>
  <c r="E47" i="18"/>
  <c r="K149" i="9"/>
  <c r="P149" i="9" s="1"/>
  <c r="J152" i="9"/>
  <c r="O152" i="9" s="1"/>
  <c r="O38" i="18"/>
  <c r="M39" i="18"/>
  <c r="M47" i="18"/>
  <c r="M45" i="18"/>
  <c r="L47" i="18"/>
  <c r="M42" i="18"/>
  <c r="O35" i="18"/>
  <c r="O48" i="18"/>
  <c r="J145" i="9"/>
  <c r="O145" i="9" s="1"/>
  <c r="J148" i="9"/>
  <c r="O148" i="9" s="1"/>
  <c r="O37" i="18"/>
  <c r="M41" i="18"/>
  <c r="K157" i="9"/>
  <c r="P157" i="9" s="1"/>
  <c r="O33" i="18"/>
  <c r="M40" i="18"/>
  <c r="M35" i="18"/>
  <c r="O43" i="18"/>
  <c r="O34" i="18"/>
  <c r="M48" i="18"/>
  <c r="N34" i="18"/>
  <c r="DI139" i="16"/>
  <c r="DI140" i="16" s="1"/>
  <c r="DI141" i="16" s="1"/>
  <c r="DI142" i="16" s="1"/>
  <c r="DI143" i="16" s="1"/>
  <c r="DI144" i="16" s="1"/>
  <c r="DI145" i="16" s="1"/>
  <c r="DI146" i="16" s="1"/>
  <c r="DI147" i="16" s="1"/>
  <c r="DI148" i="16" s="1"/>
  <c r="DI149" i="16" s="1"/>
  <c r="DI150" i="16" s="1"/>
  <c r="DI151" i="16" s="1"/>
  <c r="DI152" i="16" s="1"/>
  <c r="DI153" i="16" s="1"/>
  <c r="K73" i="13"/>
  <c r="M73" i="13" s="1"/>
  <c r="R73" i="13" s="1"/>
  <c r="DK78" i="16"/>
  <c r="DM78" i="16" s="1"/>
  <c r="DL139" i="15"/>
  <c r="DL140" i="15" s="1"/>
  <c r="DL141" i="15" s="1"/>
  <c r="DL142" i="15" s="1"/>
  <c r="DL143" i="15" s="1"/>
  <c r="DL144" i="15" s="1"/>
  <c r="DL145" i="15" s="1"/>
  <c r="DL146" i="15" s="1"/>
  <c r="DL147" i="15" s="1"/>
  <c r="DL148" i="15" s="1"/>
  <c r="DL149" i="15" s="1"/>
  <c r="DL150" i="15" s="1"/>
  <c r="DL151" i="15" s="1"/>
  <c r="DL152" i="15" s="1"/>
  <c r="DL153" i="15" s="1"/>
  <c r="AK162" i="15" s="1"/>
  <c r="BP139" i="13"/>
  <c r="BP140" i="13" s="1"/>
  <c r="BP141" i="13" s="1"/>
  <c r="BP142" i="13" s="1"/>
  <c r="BP143" i="13" s="1"/>
  <c r="BP144" i="13" s="1"/>
  <c r="BP145" i="13" s="1"/>
  <c r="BP146" i="13" s="1"/>
  <c r="BP147" i="13" s="1"/>
  <c r="BP148" i="13" s="1"/>
  <c r="BP149" i="13" s="1"/>
  <c r="BP150" i="13" s="1"/>
  <c r="BP151" i="13" s="1"/>
  <c r="BP152" i="13" s="1"/>
  <c r="BP153" i="13" s="1"/>
  <c r="AI162" i="13" s="1"/>
  <c r="AR139" i="13"/>
  <c r="AR140" i="13" s="1"/>
  <c r="AR141" i="13" s="1"/>
  <c r="AR142" i="13" s="1"/>
  <c r="AR143" i="13" s="1"/>
  <c r="AR144" i="13" s="1"/>
  <c r="AR145" i="13" s="1"/>
  <c r="AR146" i="13" s="1"/>
  <c r="AR147" i="13" s="1"/>
  <c r="AR148" i="13" s="1"/>
  <c r="AR149" i="13" s="1"/>
  <c r="AR150" i="13" s="1"/>
  <c r="AR151" i="13" s="1"/>
  <c r="AR152" i="13" s="1"/>
  <c r="AR153" i="13" s="1"/>
  <c r="AH162" i="13" s="1"/>
  <c r="DH140" i="16"/>
  <c r="DH141" i="16" s="1"/>
  <c r="DH142" i="16" s="1"/>
  <c r="DH143" i="16" s="1"/>
  <c r="DH144" i="16" s="1"/>
  <c r="DH145" i="16" s="1"/>
  <c r="DH146" i="16" s="1"/>
  <c r="DH147" i="16" s="1"/>
  <c r="DH148" i="16" s="1"/>
  <c r="DH149" i="16" s="1"/>
  <c r="DH150" i="16" s="1"/>
  <c r="DH151" i="16" s="1"/>
  <c r="DH152" i="16" s="1"/>
  <c r="DH153" i="16" s="1"/>
  <c r="AK162" i="16" s="1"/>
  <c r="DL139" i="14"/>
  <c r="DL140" i="14" s="1"/>
  <c r="DL141" i="14" s="1"/>
  <c r="DL142" i="14" s="1"/>
  <c r="DL143" i="14" s="1"/>
  <c r="DL144" i="14" s="1"/>
  <c r="DL145" i="14" s="1"/>
  <c r="DL146" i="14" s="1"/>
  <c r="DL147" i="14" s="1"/>
  <c r="DL148" i="14" s="1"/>
  <c r="DL149" i="14" s="1"/>
  <c r="DL150" i="14" s="1"/>
  <c r="DL151" i="14" s="1"/>
  <c r="DL152" i="14" s="1"/>
  <c r="DL153" i="14" s="1"/>
  <c r="AK162" i="14" s="1"/>
  <c r="V139" i="15"/>
  <c r="V140" i="15" s="1"/>
  <c r="V141" i="15" s="1"/>
  <c r="V142" i="15" s="1"/>
  <c r="V143" i="15" s="1"/>
  <c r="V144" i="15" s="1"/>
  <c r="V145" i="15" s="1"/>
  <c r="V146" i="15" s="1"/>
  <c r="V147" i="15" s="1"/>
  <c r="V148" i="15" s="1"/>
  <c r="V149" i="15" s="1"/>
  <c r="V150" i="15" s="1"/>
  <c r="V151" i="15" s="1"/>
  <c r="V152" i="15" s="1"/>
  <c r="V153" i="15" s="1"/>
  <c r="AS139" i="16"/>
  <c r="AS140" i="16" s="1"/>
  <c r="AS141" i="16" s="1"/>
  <c r="AS142" i="16" s="1"/>
  <c r="AS143" i="16" s="1"/>
  <c r="AS144" i="16" s="1"/>
  <c r="AS145" i="16" s="1"/>
  <c r="AS146" i="16" s="1"/>
  <c r="AS147" i="16" s="1"/>
  <c r="AS148" i="16" s="1"/>
  <c r="AS149" i="16" s="1"/>
  <c r="AS150" i="16" s="1"/>
  <c r="AS151" i="16" s="1"/>
  <c r="AS152" i="16" s="1"/>
  <c r="AS153" i="16" s="1"/>
  <c r="CN139" i="14"/>
  <c r="CN140" i="14" s="1"/>
  <c r="CN141" i="14" s="1"/>
  <c r="CN142" i="14" s="1"/>
  <c r="CN143" i="14" s="1"/>
  <c r="CN144" i="14" s="1"/>
  <c r="CN145" i="14" s="1"/>
  <c r="CN146" i="14" s="1"/>
  <c r="CN147" i="14" s="1"/>
  <c r="CN148" i="14" s="1"/>
  <c r="CN149" i="14" s="1"/>
  <c r="CN150" i="14" s="1"/>
  <c r="CN151" i="14" s="1"/>
  <c r="CN152" i="14" s="1"/>
  <c r="CN153" i="14" s="1"/>
  <c r="AJ162" i="14" s="1"/>
  <c r="BP139" i="14"/>
  <c r="BP140" i="14" s="1"/>
  <c r="BP141" i="14" s="1"/>
  <c r="BP142" i="14" s="1"/>
  <c r="BP143" i="14" s="1"/>
  <c r="BP144" i="14" s="1"/>
  <c r="BP145" i="14" s="1"/>
  <c r="BP146" i="14" s="1"/>
  <c r="BP147" i="14" s="1"/>
  <c r="BP148" i="14" s="1"/>
  <c r="BP149" i="14" s="1"/>
  <c r="BP150" i="14" s="1"/>
  <c r="BP151" i="14" s="1"/>
  <c r="BP152" i="14" s="1"/>
  <c r="BP153" i="14" s="1"/>
  <c r="AI162" i="14" s="1"/>
  <c r="AS139" i="15"/>
  <c r="AS140" i="15" s="1"/>
  <c r="AS141" i="15" s="1"/>
  <c r="AS142" i="15" s="1"/>
  <c r="AS143" i="15" s="1"/>
  <c r="AS144" i="15" s="1"/>
  <c r="AS145" i="15" s="1"/>
  <c r="AS146" i="15" s="1"/>
  <c r="AS147" i="15" s="1"/>
  <c r="AS148" i="15" s="1"/>
  <c r="AS149" i="15" s="1"/>
  <c r="AS150" i="15" s="1"/>
  <c r="AS151" i="15" s="1"/>
  <c r="AS152" i="15" s="1"/>
  <c r="AS153" i="15" s="1"/>
  <c r="AR139" i="14"/>
  <c r="AR140" i="14" s="1"/>
  <c r="AR141" i="14" s="1"/>
  <c r="AR142" i="14" s="1"/>
  <c r="AR143" i="14" s="1"/>
  <c r="AR144" i="14" s="1"/>
  <c r="AR145" i="14" s="1"/>
  <c r="AR146" i="14" s="1"/>
  <c r="AR147" i="14" s="1"/>
  <c r="AR148" i="14" s="1"/>
  <c r="AR149" i="14" s="1"/>
  <c r="AR150" i="14" s="1"/>
  <c r="AR151" i="14" s="1"/>
  <c r="AR152" i="14" s="1"/>
  <c r="AR153" i="14" s="1"/>
  <c r="AH162" i="14" s="1"/>
  <c r="U139" i="13"/>
  <c r="U140" i="13" s="1"/>
  <c r="U141" i="13" s="1"/>
  <c r="U142" i="13" s="1"/>
  <c r="U143" i="13" s="1"/>
  <c r="U144" i="13" s="1"/>
  <c r="U145" i="13" s="1"/>
  <c r="U146" i="13" s="1"/>
  <c r="U147" i="13" s="1"/>
  <c r="U148" i="13" s="1"/>
  <c r="U149" i="13" s="1"/>
  <c r="U150" i="13" s="1"/>
  <c r="U151" i="13" s="1"/>
  <c r="U152" i="13" s="1"/>
  <c r="U153" i="13" s="1"/>
  <c r="CP139" i="15"/>
  <c r="CP140" i="15" s="1"/>
  <c r="CP141" i="15" s="1"/>
  <c r="CP142" i="15" s="1"/>
  <c r="CP143" i="15" s="1"/>
  <c r="CP144" i="15" s="1"/>
  <c r="CP145" i="15" s="1"/>
  <c r="CP146" i="15" s="1"/>
  <c r="CP147" i="15" s="1"/>
  <c r="CP148" i="15" s="1"/>
  <c r="CP149" i="15" s="1"/>
  <c r="CP150" i="15" s="1"/>
  <c r="CP151" i="15" s="1"/>
  <c r="CP152" i="15" s="1"/>
  <c r="CP153" i="15" s="1"/>
  <c r="BN139" i="16"/>
  <c r="BN140" i="16" s="1"/>
  <c r="BN141" i="16" s="1"/>
  <c r="BN142" i="16" s="1"/>
  <c r="BN143" i="16" s="1"/>
  <c r="BN144" i="16" s="1"/>
  <c r="BN145" i="16" s="1"/>
  <c r="BN146" i="16" s="1"/>
  <c r="BN147" i="16" s="1"/>
  <c r="BN148" i="16" s="1"/>
  <c r="BN149" i="16" s="1"/>
  <c r="BN150" i="16" s="1"/>
  <c r="BN151" i="16" s="1"/>
  <c r="BN152" i="16" s="1"/>
  <c r="BN153" i="16" s="1"/>
  <c r="AI162" i="16" s="1"/>
  <c r="V139" i="13"/>
  <c r="V140" i="13" s="1"/>
  <c r="V141" i="13" s="1"/>
  <c r="V142" i="13" s="1"/>
  <c r="V143" i="13" s="1"/>
  <c r="V144" i="13" s="1"/>
  <c r="V145" i="13" s="1"/>
  <c r="V146" i="13" s="1"/>
  <c r="V147" i="13" s="1"/>
  <c r="V148" i="13" s="1"/>
  <c r="V149" i="13" s="1"/>
  <c r="V150" i="13" s="1"/>
  <c r="V151" i="13" s="1"/>
  <c r="V152" i="13" s="1"/>
  <c r="V153" i="13" s="1"/>
  <c r="AT139" i="15"/>
  <c r="AT140" i="15" s="1"/>
  <c r="AT141" i="15" s="1"/>
  <c r="AT142" i="15" s="1"/>
  <c r="AT143" i="15" s="1"/>
  <c r="AT144" i="15" s="1"/>
  <c r="AT145" i="15" s="1"/>
  <c r="AT146" i="15" s="1"/>
  <c r="AT147" i="15" s="1"/>
  <c r="AT148" i="15" s="1"/>
  <c r="AT149" i="15" s="1"/>
  <c r="AT150" i="15" s="1"/>
  <c r="AT151" i="15" s="1"/>
  <c r="AT152" i="15" s="1"/>
  <c r="AT153" i="15" s="1"/>
  <c r="CN139" i="13"/>
  <c r="CN140" i="13" s="1"/>
  <c r="CN141" i="13" s="1"/>
  <c r="CN142" i="13" s="1"/>
  <c r="CN143" i="13" s="1"/>
  <c r="CN144" i="13" s="1"/>
  <c r="CN145" i="13" s="1"/>
  <c r="CN146" i="13" s="1"/>
  <c r="CN147" i="13" s="1"/>
  <c r="CN148" i="13" s="1"/>
  <c r="CN149" i="13" s="1"/>
  <c r="CN150" i="13" s="1"/>
  <c r="CN151" i="13" s="1"/>
  <c r="CN152" i="13" s="1"/>
  <c r="CN153" i="13" s="1"/>
  <c r="AJ162" i="13" s="1"/>
  <c r="AQ139" i="16"/>
  <c r="AQ140" i="16" s="1"/>
  <c r="AQ141" i="16" s="1"/>
  <c r="AQ142" i="16" s="1"/>
  <c r="AQ143" i="16" s="1"/>
  <c r="AQ144" i="16" s="1"/>
  <c r="AQ145" i="16" s="1"/>
  <c r="AQ146" i="16" s="1"/>
  <c r="AQ147" i="16" s="1"/>
  <c r="AQ148" i="16" s="1"/>
  <c r="AQ149" i="16" s="1"/>
  <c r="AQ150" i="16" s="1"/>
  <c r="AQ151" i="16" s="1"/>
  <c r="AQ152" i="16" s="1"/>
  <c r="AQ153" i="16" s="1"/>
  <c r="AH162" i="16" s="1"/>
  <c r="T139" i="16"/>
  <c r="T140" i="16" s="1"/>
  <c r="T141" i="16" s="1"/>
  <c r="T142" i="16" s="1"/>
  <c r="T143" i="16" s="1"/>
  <c r="T144" i="16" s="1"/>
  <c r="T145" i="16" s="1"/>
  <c r="T146" i="16" s="1"/>
  <c r="T147" i="16" s="1"/>
  <c r="T148" i="16" s="1"/>
  <c r="T149" i="16" s="1"/>
  <c r="T150" i="16" s="1"/>
  <c r="T151" i="16" s="1"/>
  <c r="T152" i="16" s="1"/>
  <c r="T153" i="16" s="1"/>
  <c r="AG162" i="16" s="1"/>
  <c r="DN139" i="14"/>
  <c r="DN140" i="14" s="1"/>
  <c r="DN141" i="14" s="1"/>
  <c r="DN142" i="14" s="1"/>
  <c r="DN143" i="14" s="1"/>
  <c r="DN144" i="14" s="1"/>
  <c r="DN145" i="14" s="1"/>
  <c r="DN146" i="14" s="1"/>
  <c r="DN147" i="14" s="1"/>
  <c r="DN148" i="14" s="1"/>
  <c r="DN149" i="14" s="1"/>
  <c r="DN150" i="14" s="1"/>
  <c r="DN151" i="14" s="1"/>
  <c r="DN152" i="14" s="1"/>
  <c r="DN153" i="14" s="1"/>
  <c r="DL139" i="13"/>
  <c r="DL140" i="13" s="1"/>
  <c r="DL141" i="13" s="1"/>
  <c r="DL142" i="13" s="1"/>
  <c r="DL143" i="13" s="1"/>
  <c r="DL144" i="13" s="1"/>
  <c r="DL145" i="13" s="1"/>
  <c r="DL146" i="13" s="1"/>
  <c r="DL147" i="13" s="1"/>
  <c r="DL148" i="13" s="1"/>
  <c r="DL149" i="13" s="1"/>
  <c r="DL150" i="13" s="1"/>
  <c r="DL151" i="13" s="1"/>
  <c r="DL152" i="13" s="1"/>
  <c r="DL153" i="13" s="1"/>
  <c r="AK162" i="13" s="1"/>
  <c r="CK139" i="16"/>
  <c r="CK140" i="16" s="1"/>
  <c r="CK141" i="16" s="1"/>
  <c r="CK142" i="16" s="1"/>
  <c r="CK143" i="16" s="1"/>
  <c r="CK144" i="16" s="1"/>
  <c r="CK145" i="16" s="1"/>
  <c r="CK146" i="16" s="1"/>
  <c r="CK147" i="16" s="1"/>
  <c r="CK148" i="16" s="1"/>
  <c r="CK149" i="16" s="1"/>
  <c r="CK150" i="16" s="1"/>
  <c r="CK151" i="16" s="1"/>
  <c r="CK152" i="16" s="1"/>
  <c r="CK153" i="16" s="1"/>
  <c r="AJ162" i="16" s="1"/>
  <c r="T139" i="13"/>
  <c r="T140" i="13" s="1"/>
  <c r="T141" i="13" s="1"/>
  <c r="T142" i="13" s="1"/>
  <c r="T143" i="13" s="1"/>
  <c r="T144" i="13" s="1"/>
  <c r="T145" i="13" s="1"/>
  <c r="T146" i="13" s="1"/>
  <c r="T147" i="13" s="1"/>
  <c r="T148" i="13" s="1"/>
  <c r="T149" i="13" s="1"/>
  <c r="T150" i="13" s="1"/>
  <c r="T151" i="13" s="1"/>
  <c r="T152" i="13" s="1"/>
  <c r="T153" i="13" s="1"/>
  <c r="AG162" i="13" s="1"/>
  <c r="AR139" i="15"/>
  <c r="AR140" i="15" s="1"/>
  <c r="AR141" i="15" s="1"/>
  <c r="AR142" i="15" s="1"/>
  <c r="AR143" i="15" s="1"/>
  <c r="AR144" i="15" s="1"/>
  <c r="AR145" i="15" s="1"/>
  <c r="AR146" i="15" s="1"/>
  <c r="AR147" i="15" s="1"/>
  <c r="AR148" i="15" s="1"/>
  <c r="AR149" i="15" s="1"/>
  <c r="AR150" i="15" s="1"/>
  <c r="AR151" i="15" s="1"/>
  <c r="AR152" i="15" s="1"/>
  <c r="AR153" i="15" s="1"/>
  <c r="AH162" i="15" s="1"/>
  <c r="AT140" i="13"/>
  <c r="AT141" i="13" s="1"/>
  <c r="AT142" i="13" s="1"/>
  <c r="AT143" i="13" s="1"/>
  <c r="AT144" i="13" s="1"/>
  <c r="AT145" i="13" s="1"/>
  <c r="AT146" i="13" s="1"/>
  <c r="AT147" i="13" s="1"/>
  <c r="AT148" i="13" s="1"/>
  <c r="AT149" i="13" s="1"/>
  <c r="AT150" i="13" s="1"/>
  <c r="AT151" i="13" s="1"/>
  <c r="AT152" i="13" s="1"/>
  <c r="AT153" i="13" s="1"/>
  <c r="CN139" i="15"/>
  <c r="CN140" i="15" s="1"/>
  <c r="CN141" i="15" s="1"/>
  <c r="CN142" i="15" s="1"/>
  <c r="CN143" i="15" s="1"/>
  <c r="CN144" i="15" s="1"/>
  <c r="CN145" i="15" s="1"/>
  <c r="CN146" i="15" s="1"/>
  <c r="CN147" i="15" s="1"/>
  <c r="CN148" i="15" s="1"/>
  <c r="CN149" i="15" s="1"/>
  <c r="CN150" i="15" s="1"/>
  <c r="CN151" i="15" s="1"/>
  <c r="CN152" i="15" s="1"/>
  <c r="CN153" i="15" s="1"/>
  <c r="AJ162" i="15" s="1"/>
  <c r="T139" i="14"/>
  <c r="T140" i="14" s="1"/>
  <c r="T141" i="14" s="1"/>
  <c r="T142" i="14" s="1"/>
  <c r="T143" i="14" s="1"/>
  <c r="T144" i="14" s="1"/>
  <c r="T145" i="14" s="1"/>
  <c r="T146" i="14" s="1"/>
  <c r="T147" i="14" s="1"/>
  <c r="T148" i="14" s="1"/>
  <c r="T149" i="14" s="1"/>
  <c r="T150" i="14" s="1"/>
  <c r="T151" i="14" s="1"/>
  <c r="T152" i="14" s="1"/>
  <c r="T153" i="14" s="1"/>
  <c r="AG162" i="14" s="1"/>
  <c r="DM139" i="14"/>
  <c r="DM140" i="14" s="1"/>
  <c r="DM141" i="14" s="1"/>
  <c r="DM142" i="14" s="1"/>
  <c r="DM143" i="14" s="1"/>
  <c r="DM144" i="14" s="1"/>
  <c r="DM145" i="14" s="1"/>
  <c r="DM146" i="14" s="1"/>
  <c r="DM147" i="14" s="1"/>
  <c r="DM148" i="14" s="1"/>
  <c r="DM149" i="14" s="1"/>
  <c r="DM150" i="14" s="1"/>
  <c r="DM151" i="14" s="1"/>
  <c r="DM152" i="14" s="1"/>
  <c r="DM153" i="14" s="1"/>
  <c r="DK76" i="15"/>
  <c r="CK76" i="16"/>
  <c r="CM76" i="16" s="1"/>
  <c r="K71" i="14"/>
  <c r="M71" i="14" s="1"/>
  <c r="R71" i="14" s="1"/>
  <c r="CK71" i="15"/>
  <c r="AK71" i="16"/>
  <c r="AM71" i="16" s="1"/>
  <c r="CK63" i="14"/>
  <c r="CM63" i="14" s="1"/>
  <c r="CR63" i="14" s="1"/>
  <c r="K63" i="16"/>
  <c r="M63" i="16" s="1"/>
  <c r="R63" i="16" s="1"/>
  <c r="AK63" i="15"/>
  <c r="CK63" i="13"/>
  <c r="CM63" i="13" s="1"/>
  <c r="BK63" i="16"/>
  <c r="BM63" i="16" s="1"/>
  <c r="BR63" i="16" s="1"/>
  <c r="I143" i="9"/>
  <c r="K63" i="13"/>
  <c r="M63" i="13" s="1"/>
  <c r="R63" i="13" s="1"/>
  <c r="DK63" i="13"/>
  <c r="DM63" i="13" s="1"/>
  <c r="DR63" i="13" s="1"/>
  <c r="CK63" i="16"/>
  <c r="CM63" i="16" s="1"/>
  <c r="CR63" i="16" s="1"/>
  <c r="K63" i="15"/>
  <c r="M63" i="15" s="1"/>
  <c r="R63" i="15" s="1"/>
  <c r="DK63" i="14"/>
  <c r="DM63" i="14" s="1"/>
  <c r="DR63" i="14" s="1"/>
  <c r="AK76" i="15"/>
  <c r="DK76" i="13"/>
  <c r="DM76" i="13" s="1"/>
  <c r="DR76" i="13" s="1"/>
  <c r="CK76" i="14"/>
  <c r="CM76" i="14" s="1"/>
  <c r="K76" i="14"/>
  <c r="M76" i="14" s="1"/>
  <c r="AK76" i="14"/>
  <c r="AM76" i="14" s="1"/>
  <c r="AR76" i="14" s="1"/>
  <c r="I156" i="9"/>
  <c r="N156" i="9" s="1"/>
  <c r="CK76" i="15"/>
  <c r="K76" i="15"/>
  <c r="M76" i="15" s="1"/>
  <c r="BK76" i="13"/>
  <c r="BM76" i="13" s="1"/>
  <c r="BR76" i="13" s="1"/>
  <c r="BK76" i="14"/>
  <c r="BM76" i="14" s="1"/>
  <c r="AK76" i="16"/>
  <c r="AM76" i="16" s="1"/>
  <c r="CK63" i="15"/>
  <c r="AK63" i="13"/>
  <c r="AM63" i="13" s="1"/>
  <c r="AR63" i="13" s="1"/>
  <c r="AK63" i="14"/>
  <c r="AM63" i="14" s="1"/>
  <c r="AR63" i="14" s="1"/>
  <c r="BK63" i="15"/>
  <c r="DK63" i="16"/>
  <c r="DM63" i="16" s="1"/>
  <c r="DR63" i="16" s="1"/>
  <c r="AK76" i="13"/>
  <c r="AM76" i="13" s="1"/>
  <c r="BK76" i="15"/>
  <c r="DK76" i="16"/>
  <c r="DM76" i="16" s="1"/>
  <c r="DR76" i="16" s="1"/>
  <c r="K76" i="13"/>
  <c r="M76" i="13" s="1"/>
  <c r="K76" i="16"/>
  <c r="M76" i="16" s="1"/>
  <c r="CK76" i="13"/>
  <c r="CM76" i="13" s="1"/>
  <c r="CR76" i="13" s="1"/>
  <c r="DK76" i="14"/>
  <c r="DM76" i="14" s="1"/>
  <c r="DK63" i="15"/>
  <c r="K63" i="14"/>
  <c r="M63" i="14" s="1"/>
  <c r="R63" i="14" s="1"/>
  <c r="BK63" i="13"/>
  <c r="BM63" i="13" s="1"/>
  <c r="BR63" i="13" s="1"/>
  <c r="BK63" i="14"/>
  <c r="BM63" i="14" s="1"/>
  <c r="BR63" i="14" s="1"/>
  <c r="K78" i="14"/>
  <c r="M78" i="14" s="1"/>
  <c r="DK71" i="13"/>
  <c r="DM71" i="13" s="1"/>
  <c r="DR71" i="13" s="1"/>
  <c r="DK73" i="16"/>
  <c r="DM73" i="16" s="1"/>
  <c r="CK71" i="14"/>
  <c r="CM71" i="14" s="1"/>
  <c r="CR71" i="14" s="1"/>
  <c r="CK78" i="13"/>
  <c r="CM78" i="13" s="1"/>
  <c r="CR78" i="13" s="1"/>
  <c r="K71" i="15"/>
  <c r="M71" i="15" s="1"/>
  <c r="R71" i="15" s="1"/>
  <c r="BK71" i="15"/>
  <c r="K71" i="13"/>
  <c r="M71" i="13" s="1"/>
  <c r="AK71" i="15"/>
  <c r="CK71" i="13"/>
  <c r="CM71" i="13" s="1"/>
  <c r="CR71" i="13" s="1"/>
  <c r="DK71" i="14"/>
  <c r="DM71" i="14" s="1"/>
  <c r="DK71" i="16"/>
  <c r="DM71" i="16" s="1"/>
  <c r="AK73" i="14"/>
  <c r="AM73" i="14" s="1"/>
  <c r="AR73" i="14" s="1"/>
  <c r="CK73" i="16"/>
  <c r="CM73" i="16" s="1"/>
  <c r="CR73" i="16" s="1"/>
  <c r="AK71" i="13"/>
  <c r="AM71" i="13" s="1"/>
  <c r="AR71" i="13" s="1"/>
  <c r="AK71" i="14"/>
  <c r="AM71" i="14" s="1"/>
  <c r="AR71" i="14" s="1"/>
  <c r="BK71" i="16"/>
  <c r="BM71" i="16" s="1"/>
  <c r="BK73" i="13"/>
  <c r="BM73" i="13" s="1"/>
  <c r="BR73" i="13" s="1"/>
  <c r="I151" i="9"/>
  <c r="N151" i="9" s="1"/>
  <c r="K71" i="16"/>
  <c r="M71" i="16" s="1"/>
  <c r="BK71" i="13"/>
  <c r="BM71" i="13" s="1"/>
  <c r="BK71" i="14"/>
  <c r="BM71" i="14" s="1"/>
  <c r="DK71" i="15"/>
  <c r="CK73" i="13"/>
  <c r="CM73" i="13" s="1"/>
  <c r="CR73" i="13" s="1"/>
  <c r="I153" i="9"/>
  <c r="N153" i="9" s="1"/>
  <c r="K73" i="16"/>
  <c r="M73" i="16" s="1"/>
  <c r="R73" i="16" s="1"/>
  <c r="DK73" i="14"/>
  <c r="DM73" i="14" s="1"/>
  <c r="AK73" i="15"/>
  <c r="CK73" i="14"/>
  <c r="CM73" i="14" s="1"/>
  <c r="CK73" i="15"/>
  <c r="K73" i="14"/>
  <c r="M73" i="14" s="1"/>
  <c r="BK73" i="15"/>
  <c r="DK73" i="13"/>
  <c r="DM73" i="13" s="1"/>
  <c r="DR73" i="13" s="1"/>
  <c r="AK73" i="16"/>
  <c r="AM73" i="16" s="1"/>
  <c r="DK73" i="15"/>
  <c r="K73" i="15"/>
  <c r="M73" i="15" s="1"/>
  <c r="AK73" i="13"/>
  <c r="AM73" i="13" s="1"/>
  <c r="BK73" i="14"/>
  <c r="BM73" i="14" s="1"/>
  <c r="DK78" i="13"/>
  <c r="DM78" i="13" s="1"/>
  <c r="DR78" i="13" s="1"/>
  <c r="K78" i="15"/>
  <c r="M78" i="15" s="1"/>
  <c r="I158" i="9"/>
  <c r="N158" i="9" s="1"/>
  <c r="DK78" i="14"/>
  <c r="DM78" i="14" s="1"/>
  <c r="DR78" i="14" s="1"/>
  <c r="BK78" i="15"/>
  <c r="CK78" i="15"/>
  <c r="CK78" i="14"/>
  <c r="CM78" i="14" s="1"/>
  <c r="CR78" i="14" s="1"/>
  <c r="AK78" i="16"/>
  <c r="AM78" i="16" s="1"/>
  <c r="AK78" i="13"/>
  <c r="AM78" i="13" s="1"/>
  <c r="AR78" i="13" s="1"/>
  <c r="AK78" i="14"/>
  <c r="AM78" i="14" s="1"/>
  <c r="DK78" i="15"/>
  <c r="K78" i="16"/>
  <c r="M78" i="16" s="1"/>
  <c r="BK78" i="16"/>
  <c r="BM78" i="16" s="1"/>
  <c r="BK78" i="13"/>
  <c r="BM78" i="13" s="1"/>
  <c r="BR78" i="13" s="1"/>
  <c r="BK78" i="14"/>
  <c r="BM78" i="14" s="1"/>
  <c r="K78" i="13"/>
  <c r="M78" i="13" s="1"/>
  <c r="R78" i="13" s="1"/>
  <c r="AK78" i="15"/>
  <c r="N10" i="17"/>
  <c r="N11" i="17" s="1"/>
  <c r="N12" i="17" s="1"/>
  <c r="N13" i="17" s="1"/>
  <c r="N14" i="17" s="1"/>
  <c r="N15" i="17" s="1"/>
  <c r="N16" i="17" s="1"/>
  <c r="N17" i="17" s="1"/>
  <c r="N18" i="17" s="1"/>
  <c r="N19" i="17" s="1"/>
  <c r="N20" i="17" s="1"/>
  <c r="N21" i="17" s="1"/>
  <c r="N22" i="17" s="1"/>
  <c r="C29" i="17" s="1"/>
  <c r="J155" i="9"/>
  <c r="O155" i="9" s="1"/>
  <c r="J154" i="9"/>
  <c r="O154" i="9" s="1"/>
  <c r="O8" i="17"/>
  <c r="O9" i="17" s="1"/>
  <c r="O10" i="17" s="1"/>
  <c r="O11" i="17" s="1"/>
  <c r="O12" i="17" s="1"/>
  <c r="O13" i="17" s="1"/>
  <c r="O14" i="17" s="1"/>
  <c r="O15" i="17" s="1"/>
  <c r="O16" i="17" s="1"/>
  <c r="O17" i="17" s="1"/>
  <c r="O18" i="17" s="1"/>
  <c r="O19" i="17" s="1"/>
  <c r="O20" i="17" s="1"/>
  <c r="O21" i="17" s="1"/>
  <c r="O22" i="17" s="1"/>
  <c r="C30" i="17" s="1"/>
  <c r="CN78" i="16"/>
  <c r="CS78" i="16" s="1"/>
  <c r="CO78" i="16"/>
  <c r="CT78" i="16" s="1"/>
  <c r="N65" i="14"/>
  <c r="S65" i="14" s="1"/>
  <c r="O65" i="14"/>
  <c r="T65" i="14" s="1"/>
  <c r="AN65" i="13"/>
  <c r="AS65" i="13" s="1"/>
  <c r="AO65" i="13"/>
  <c r="AT65" i="13" s="1"/>
  <c r="AN65" i="14"/>
  <c r="AS65" i="14" s="1"/>
  <c r="AO65" i="14"/>
  <c r="AT65" i="14" s="1"/>
  <c r="BN65" i="16"/>
  <c r="BS65" i="16" s="1"/>
  <c r="BO65" i="16"/>
  <c r="BT65" i="16" s="1"/>
  <c r="N65" i="15"/>
  <c r="S65" i="15" s="1"/>
  <c r="O65" i="15"/>
  <c r="T65" i="15" s="1"/>
  <c r="N65" i="13"/>
  <c r="S65" i="13" s="1"/>
  <c r="O65" i="13"/>
  <c r="T65" i="13" s="1"/>
  <c r="BN65" i="13"/>
  <c r="BS65" i="13" s="1"/>
  <c r="BO65" i="13"/>
  <c r="BT65" i="13" s="1"/>
  <c r="BN65" i="14"/>
  <c r="BS65" i="14" s="1"/>
  <c r="BO65" i="14"/>
  <c r="BT65" i="14" s="1"/>
  <c r="DN65" i="16"/>
  <c r="DS65" i="16" s="1"/>
  <c r="DO65" i="16"/>
  <c r="DT65" i="16" s="1"/>
  <c r="K145" i="9"/>
  <c r="P145" i="9" s="1"/>
  <c r="DM65" i="15"/>
  <c r="DR65" i="15" s="1"/>
  <c r="BM65" i="15"/>
  <c r="BR65" i="15" s="1"/>
  <c r="CM65" i="15"/>
  <c r="CR65" i="15" s="1"/>
  <c r="AM65" i="15"/>
  <c r="AR65" i="15" s="1"/>
  <c r="N65" i="16"/>
  <c r="S65" i="16" s="1"/>
  <c r="O65" i="16"/>
  <c r="T65" i="16" s="1"/>
  <c r="CN65" i="13"/>
  <c r="CS65" i="13" s="1"/>
  <c r="CO65" i="13"/>
  <c r="CT65" i="13" s="1"/>
  <c r="DN65" i="14"/>
  <c r="DS65" i="14" s="1"/>
  <c r="DO65" i="14"/>
  <c r="DT65" i="14" s="1"/>
  <c r="AN65" i="16"/>
  <c r="AS65" i="16" s="1"/>
  <c r="AO65" i="16"/>
  <c r="AT65" i="16" s="1"/>
  <c r="DN65" i="13"/>
  <c r="DS65" i="13" s="1"/>
  <c r="DO65" i="13"/>
  <c r="DT65" i="13" s="1"/>
  <c r="CN65" i="14"/>
  <c r="CS65" i="14" s="1"/>
  <c r="CO65" i="14"/>
  <c r="CT65" i="14" s="1"/>
  <c r="CN65" i="16"/>
  <c r="CS65" i="16" s="1"/>
  <c r="CO65" i="16"/>
  <c r="CT65" i="16" s="1"/>
  <c r="AN63" i="16"/>
  <c r="AS63" i="16" s="1"/>
  <c r="AO63" i="16"/>
  <c r="AT63" i="16" s="1"/>
  <c r="BN77" i="13"/>
  <c r="BS77" i="13" s="1"/>
  <c r="BO77" i="13"/>
  <c r="BT77" i="13" s="1"/>
  <c r="N77" i="15"/>
  <c r="S77" i="15" s="1"/>
  <c r="O77" i="15"/>
  <c r="T77" i="15" s="1"/>
  <c r="CN77" i="13"/>
  <c r="CS77" i="13" s="1"/>
  <c r="CO77" i="13"/>
  <c r="CT77" i="13" s="1"/>
  <c r="DN77" i="14"/>
  <c r="DS77" i="14" s="1"/>
  <c r="DO77" i="14"/>
  <c r="DT77" i="14" s="1"/>
  <c r="BN77" i="16"/>
  <c r="BS77" i="16" s="1"/>
  <c r="BO77" i="16"/>
  <c r="BT77" i="16" s="1"/>
  <c r="N77" i="14"/>
  <c r="S77" i="14" s="1"/>
  <c r="O77" i="14"/>
  <c r="T77" i="14" s="1"/>
  <c r="AN77" i="16"/>
  <c r="AS77" i="16" s="1"/>
  <c r="AO77" i="16"/>
  <c r="AT77" i="16" s="1"/>
  <c r="N77" i="16"/>
  <c r="S77" i="16" s="1"/>
  <c r="O77" i="16"/>
  <c r="T77" i="16" s="1"/>
  <c r="DN77" i="13"/>
  <c r="DS77" i="13" s="1"/>
  <c r="DO77" i="13"/>
  <c r="DT77" i="13" s="1"/>
  <c r="CN77" i="14"/>
  <c r="CS77" i="14" s="1"/>
  <c r="CO77" i="14"/>
  <c r="CT77" i="14" s="1"/>
  <c r="CN77" i="16"/>
  <c r="CS77" i="16" s="1"/>
  <c r="CO77" i="16"/>
  <c r="CT77" i="16" s="1"/>
  <c r="BN77" i="14"/>
  <c r="BS77" i="14" s="1"/>
  <c r="BO77" i="14"/>
  <c r="BT77" i="14" s="1"/>
  <c r="J157" i="9"/>
  <c r="O157" i="9" s="1"/>
  <c r="DM77" i="15"/>
  <c r="DR77" i="15" s="1"/>
  <c r="CM77" i="15"/>
  <c r="CR77" i="15" s="1"/>
  <c r="BM77" i="15"/>
  <c r="BR77" i="15" s="1"/>
  <c r="AM77" i="15"/>
  <c r="AR77" i="15" s="1"/>
  <c r="AN77" i="13"/>
  <c r="AS77" i="13" s="1"/>
  <c r="AO77" i="13"/>
  <c r="AT77" i="13" s="1"/>
  <c r="AN77" i="14"/>
  <c r="AS77" i="14" s="1"/>
  <c r="AO77" i="14"/>
  <c r="AT77" i="14" s="1"/>
  <c r="N77" i="13"/>
  <c r="S77" i="13" s="1"/>
  <c r="O77" i="13"/>
  <c r="T77" i="13" s="1"/>
  <c r="DN77" i="16"/>
  <c r="DS77" i="16" s="1"/>
  <c r="DO77" i="16"/>
  <c r="DT77" i="16" s="1"/>
  <c r="BN76" i="16"/>
  <c r="BS76" i="16" s="1"/>
  <c r="BO76" i="16"/>
  <c r="BT76" i="16" s="1"/>
  <c r="N75" i="14"/>
  <c r="S75" i="14" s="1"/>
  <c r="O75" i="14"/>
  <c r="T75" i="14" s="1"/>
  <c r="AN75" i="13"/>
  <c r="AS75" i="13" s="1"/>
  <c r="AO75" i="13"/>
  <c r="AT75" i="13" s="1"/>
  <c r="AN75" i="14"/>
  <c r="AS75" i="14" s="1"/>
  <c r="AO75" i="14"/>
  <c r="AT75" i="14" s="1"/>
  <c r="N75" i="13"/>
  <c r="S75" i="13" s="1"/>
  <c r="O75" i="13"/>
  <c r="T75" i="13" s="1"/>
  <c r="AN75" i="16"/>
  <c r="AS75" i="16" s="1"/>
  <c r="AO75" i="16"/>
  <c r="AT75" i="16" s="1"/>
  <c r="K155" i="9"/>
  <c r="P155" i="9" s="1"/>
  <c r="CM75" i="15"/>
  <c r="CR75" i="15" s="1"/>
  <c r="DM75" i="15"/>
  <c r="DR75" i="15" s="1"/>
  <c r="BM75" i="15"/>
  <c r="BR75" i="15" s="1"/>
  <c r="AM75" i="15"/>
  <c r="AR75" i="15" s="1"/>
  <c r="N75" i="15"/>
  <c r="S75" i="15" s="1"/>
  <c r="O75" i="15"/>
  <c r="T75" i="15" s="1"/>
  <c r="BN75" i="13"/>
  <c r="BS75" i="13" s="1"/>
  <c r="BO75" i="13"/>
  <c r="BT75" i="13" s="1"/>
  <c r="BN75" i="14"/>
  <c r="BS75" i="14" s="1"/>
  <c r="BO75" i="14"/>
  <c r="BT75" i="14" s="1"/>
  <c r="BN75" i="16"/>
  <c r="BS75" i="16" s="1"/>
  <c r="BO75" i="16"/>
  <c r="BT75" i="16" s="1"/>
  <c r="N75" i="16"/>
  <c r="S75" i="16" s="1"/>
  <c r="O75" i="16"/>
  <c r="T75" i="16" s="1"/>
  <c r="CN75" i="13"/>
  <c r="CS75" i="13" s="1"/>
  <c r="CO75" i="13"/>
  <c r="CT75" i="13" s="1"/>
  <c r="DN75" i="14"/>
  <c r="DS75" i="14" s="1"/>
  <c r="DO75" i="14"/>
  <c r="DT75" i="14" s="1"/>
  <c r="CN75" i="16"/>
  <c r="CS75" i="16" s="1"/>
  <c r="CO75" i="16"/>
  <c r="CT75" i="16" s="1"/>
  <c r="DN75" i="13"/>
  <c r="DS75" i="13" s="1"/>
  <c r="DO75" i="13"/>
  <c r="DT75" i="13" s="1"/>
  <c r="CN75" i="14"/>
  <c r="CS75" i="14" s="1"/>
  <c r="CO75" i="14"/>
  <c r="CT75" i="14" s="1"/>
  <c r="DN75" i="16"/>
  <c r="DS75" i="16" s="1"/>
  <c r="DO75" i="16"/>
  <c r="DT75" i="16" s="1"/>
  <c r="N74" i="14"/>
  <c r="S74" i="14" s="1"/>
  <c r="O74" i="14"/>
  <c r="T74" i="14" s="1"/>
  <c r="CN74" i="13"/>
  <c r="CS74" i="13" s="1"/>
  <c r="CO74" i="13"/>
  <c r="CT74" i="13" s="1"/>
  <c r="DN74" i="14"/>
  <c r="DS74" i="14" s="1"/>
  <c r="DO74" i="14"/>
  <c r="DT74" i="14" s="1"/>
  <c r="BN74" i="16"/>
  <c r="BS74" i="16" s="1"/>
  <c r="BO74" i="16"/>
  <c r="BT74" i="16" s="1"/>
  <c r="N74" i="15"/>
  <c r="S74" i="15" s="1"/>
  <c r="O74" i="15"/>
  <c r="T74" i="15" s="1"/>
  <c r="N74" i="13"/>
  <c r="S74" i="13" s="1"/>
  <c r="O74" i="13"/>
  <c r="T74" i="13" s="1"/>
  <c r="DN74" i="13"/>
  <c r="DS74" i="13" s="1"/>
  <c r="DO74" i="13"/>
  <c r="DT74" i="13" s="1"/>
  <c r="CN74" i="14"/>
  <c r="CS74" i="14" s="1"/>
  <c r="CO74" i="14"/>
  <c r="CT74" i="14" s="1"/>
  <c r="CN74" i="16"/>
  <c r="CS74" i="16" s="1"/>
  <c r="CO74" i="16"/>
  <c r="CT74" i="16" s="1"/>
  <c r="N74" i="16"/>
  <c r="S74" i="16" s="1"/>
  <c r="O74" i="16"/>
  <c r="T74" i="16" s="1"/>
  <c r="AN74" i="13"/>
  <c r="AS74" i="13" s="1"/>
  <c r="AO74" i="13"/>
  <c r="AT74" i="13" s="1"/>
  <c r="AN74" i="14"/>
  <c r="AS74" i="14" s="1"/>
  <c r="AO74" i="14"/>
  <c r="AT74" i="14" s="1"/>
  <c r="DN74" i="16"/>
  <c r="DS74" i="16" s="1"/>
  <c r="DO74" i="16"/>
  <c r="DT74" i="16" s="1"/>
  <c r="BN74" i="13"/>
  <c r="BS74" i="13" s="1"/>
  <c r="BO74" i="13"/>
  <c r="BT74" i="13" s="1"/>
  <c r="BN74" i="14"/>
  <c r="BS74" i="14" s="1"/>
  <c r="BO74" i="14"/>
  <c r="BT74" i="14" s="1"/>
  <c r="AN74" i="16"/>
  <c r="AS74" i="16" s="1"/>
  <c r="AO74" i="16"/>
  <c r="AT74" i="16" s="1"/>
  <c r="K154" i="9"/>
  <c r="P154" i="9" s="1"/>
  <c r="CM74" i="15"/>
  <c r="CR74" i="15" s="1"/>
  <c r="BM74" i="15"/>
  <c r="BR74" i="15" s="1"/>
  <c r="DM74" i="15"/>
  <c r="DR74" i="15" s="1"/>
  <c r="AM74" i="15"/>
  <c r="AR74" i="15" s="1"/>
  <c r="BN73" i="16"/>
  <c r="BS73" i="16" s="1"/>
  <c r="BO73" i="16"/>
  <c r="BT73" i="16" s="1"/>
  <c r="N72" i="15"/>
  <c r="S72" i="15" s="1"/>
  <c r="O72" i="15"/>
  <c r="T72" i="15" s="1"/>
  <c r="BN72" i="13"/>
  <c r="BS72" i="13" s="1"/>
  <c r="BO72" i="13"/>
  <c r="BT72" i="13" s="1"/>
  <c r="BN72" i="14"/>
  <c r="BS72" i="14" s="1"/>
  <c r="BO72" i="14"/>
  <c r="BT72" i="14" s="1"/>
  <c r="AN72" i="16"/>
  <c r="AS72" i="16" s="1"/>
  <c r="AO72" i="16"/>
  <c r="AT72" i="16" s="1"/>
  <c r="N72" i="13"/>
  <c r="S72" i="13" s="1"/>
  <c r="O72" i="13"/>
  <c r="T72" i="13" s="1"/>
  <c r="N72" i="16"/>
  <c r="S72" i="16" s="1"/>
  <c r="O72" i="16"/>
  <c r="T72" i="16" s="1"/>
  <c r="CN72" i="13"/>
  <c r="CS72" i="13" s="1"/>
  <c r="CO72" i="13"/>
  <c r="CT72" i="13" s="1"/>
  <c r="DN72" i="14"/>
  <c r="DS72" i="14" s="1"/>
  <c r="DO72" i="14"/>
  <c r="DT72" i="14" s="1"/>
  <c r="BN72" i="16"/>
  <c r="BS72" i="16" s="1"/>
  <c r="BO72" i="16"/>
  <c r="BT72" i="16" s="1"/>
  <c r="DN72" i="13"/>
  <c r="DS72" i="13" s="1"/>
  <c r="DO72" i="13"/>
  <c r="DT72" i="13" s="1"/>
  <c r="CN72" i="14"/>
  <c r="CS72" i="14" s="1"/>
  <c r="CO72" i="14"/>
  <c r="CT72" i="14" s="1"/>
  <c r="DN72" i="16"/>
  <c r="DS72" i="16" s="1"/>
  <c r="DO72" i="16"/>
  <c r="DT72" i="16" s="1"/>
  <c r="AM72" i="15"/>
  <c r="AR72" i="15" s="1"/>
  <c r="DM72" i="15"/>
  <c r="DR72" i="15" s="1"/>
  <c r="CM72" i="15"/>
  <c r="CR72" i="15" s="1"/>
  <c r="BM72" i="15"/>
  <c r="BR72" i="15" s="1"/>
  <c r="N72" i="14"/>
  <c r="S72" i="14" s="1"/>
  <c r="O72" i="14"/>
  <c r="T72" i="14" s="1"/>
  <c r="AN72" i="13"/>
  <c r="AS72" i="13" s="1"/>
  <c r="AO72" i="13"/>
  <c r="AT72" i="13" s="1"/>
  <c r="AN72" i="14"/>
  <c r="AS72" i="14" s="1"/>
  <c r="AO72" i="14"/>
  <c r="AT72" i="14" s="1"/>
  <c r="CN72" i="16"/>
  <c r="CS72" i="16" s="1"/>
  <c r="CO72" i="16"/>
  <c r="CT72" i="16" s="1"/>
  <c r="CN71" i="16"/>
  <c r="CS71" i="16" s="1"/>
  <c r="CO71" i="16"/>
  <c r="CT71" i="16" s="1"/>
  <c r="N70" i="14"/>
  <c r="S70" i="14" s="1"/>
  <c r="O70" i="14"/>
  <c r="T70" i="14" s="1"/>
  <c r="CN70" i="13"/>
  <c r="CS70" i="13" s="1"/>
  <c r="CO70" i="13"/>
  <c r="CT70" i="13" s="1"/>
  <c r="DN70" i="14"/>
  <c r="DS70" i="14" s="1"/>
  <c r="DO70" i="14"/>
  <c r="DT70" i="14" s="1"/>
  <c r="BN70" i="16"/>
  <c r="BS70" i="16" s="1"/>
  <c r="BO70" i="16"/>
  <c r="BT70" i="16" s="1"/>
  <c r="DN70" i="15"/>
  <c r="DS70" i="15" s="1"/>
  <c r="DO70" i="15"/>
  <c r="DT70" i="15" s="1"/>
  <c r="N70" i="15"/>
  <c r="S70" i="15" s="1"/>
  <c r="O70" i="15"/>
  <c r="T70" i="15" s="1"/>
  <c r="N70" i="13"/>
  <c r="S70" i="13" s="1"/>
  <c r="O70" i="13"/>
  <c r="T70" i="13" s="1"/>
  <c r="DN70" i="13"/>
  <c r="DS70" i="13" s="1"/>
  <c r="DO70" i="13"/>
  <c r="DT70" i="13" s="1"/>
  <c r="CN70" i="14"/>
  <c r="CS70" i="14" s="1"/>
  <c r="CO70" i="14"/>
  <c r="CT70" i="14" s="1"/>
  <c r="DN70" i="16"/>
  <c r="DS70" i="16" s="1"/>
  <c r="DO70" i="16"/>
  <c r="DT70" i="16" s="1"/>
  <c r="BN70" i="15"/>
  <c r="BS70" i="15" s="1"/>
  <c r="BO70" i="15"/>
  <c r="BT70" i="15" s="1"/>
  <c r="N70" i="16"/>
  <c r="S70" i="16" s="1"/>
  <c r="O70" i="16"/>
  <c r="T70" i="16" s="1"/>
  <c r="AN70" i="13"/>
  <c r="AS70" i="13" s="1"/>
  <c r="AO70" i="13"/>
  <c r="AT70" i="13" s="1"/>
  <c r="AN70" i="14"/>
  <c r="AS70" i="14" s="1"/>
  <c r="AO70" i="14"/>
  <c r="AT70" i="14" s="1"/>
  <c r="CN70" i="16"/>
  <c r="CS70" i="16" s="1"/>
  <c r="CO70" i="16"/>
  <c r="CT70" i="16" s="1"/>
  <c r="CN70" i="15"/>
  <c r="CS70" i="15" s="1"/>
  <c r="CO70" i="15"/>
  <c r="CT70" i="15" s="1"/>
  <c r="BN70" i="13"/>
  <c r="BS70" i="13" s="1"/>
  <c r="BO70" i="13"/>
  <c r="BT70" i="13" s="1"/>
  <c r="BN70" i="14"/>
  <c r="BS70" i="14" s="1"/>
  <c r="BO70" i="14"/>
  <c r="BT70" i="14" s="1"/>
  <c r="AN70" i="16"/>
  <c r="AS70" i="16" s="1"/>
  <c r="AO70" i="16"/>
  <c r="AT70" i="16" s="1"/>
  <c r="AN70" i="15"/>
  <c r="AS70" i="15" s="1"/>
  <c r="AO70" i="15"/>
  <c r="AT70" i="15" s="1"/>
  <c r="DN69" i="13"/>
  <c r="DS69" i="13" s="1"/>
  <c r="DO69" i="13"/>
  <c r="DT69" i="13" s="1"/>
  <c r="CN69" i="14"/>
  <c r="CS69" i="14" s="1"/>
  <c r="CO69" i="14"/>
  <c r="CT69" i="14" s="1"/>
  <c r="AN69" i="16"/>
  <c r="AS69" i="16" s="1"/>
  <c r="AO69" i="16"/>
  <c r="AT69" i="16" s="1"/>
  <c r="CN69" i="13"/>
  <c r="CS69" i="13" s="1"/>
  <c r="CO69" i="13"/>
  <c r="CT69" i="13" s="1"/>
  <c r="DN69" i="14"/>
  <c r="DS69" i="14" s="1"/>
  <c r="DO69" i="14"/>
  <c r="DT69" i="14" s="1"/>
  <c r="CN69" i="16"/>
  <c r="CS69" i="16" s="1"/>
  <c r="CO69" i="16"/>
  <c r="CT69" i="16" s="1"/>
  <c r="AN69" i="13"/>
  <c r="AS69" i="13" s="1"/>
  <c r="AO69" i="13"/>
  <c r="AT69" i="13" s="1"/>
  <c r="AN69" i="14"/>
  <c r="AS69" i="14" s="1"/>
  <c r="AO69" i="14"/>
  <c r="AT69" i="14" s="1"/>
  <c r="N69" i="15"/>
  <c r="S69" i="15" s="1"/>
  <c r="O69" i="15"/>
  <c r="T69" i="15" s="1"/>
  <c r="N69" i="13"/>
  <c r="S69" i="13" s="1"/>
  <c r="O69" i="13"/>
  <c r="T69" i="13" s="1"/>
  <c r="DN69" i="16"/>
  <c r="DS69" i="16" s="1"/>
  <c r="DO69" i="16"/>
  <c r="DT69" i="16" s="1"/>
  <c r="J149" i="9"/>
  <c r="O149" i="9" s="1"/>
  <c r="DM69" i="15"/>
  <c r="DR69" i="15" s="1"/>
  <c r="CM69" i="15"/>
  <c r="CR69" i="15" s="1"/>
  <c r="BM69" i="15"/>
  <c r="BR69" i="15" s="1"/>
  <c r="AM69" i="15"/>
  <c r="AR69" i="15" s="1"/>
  <c r="BN69" i="13"/>
  <c r="BS69" i="13" s="1"/>
  <c r="BO69" i="13"/>
  <c r="BT69" i="13" s="1"/>
  <c r="BN69" i="14"/>
  <c r="BS69" i="14" s="1"/>
  <c r="BO69" i="14"/>
  <c r="BT69" i="14" s="1"/>
  <c r="N69" i="14"/>
  <c r="S69" i="14" s="1"/>
  <c r="O69" i="14"/>
  <c r="T69" i="14" s="1"/>
  <c r="BN69" i="16"/>
  <c r="BS69" i="16" s="1"/>
  <c r="BO69" i="16"/>
  <c r="BT69" i="16" s="1"/>
  <c r="N69" i="16"/>
  <c r="S69" i="16" s="1"/>
  <c r="O69" i="16"/>
  <c r="T69" i="16" s="1"/>
  <c r="N68" i="14"/>
  <c r="S68" i="14" s="1"/>
  <c r="O68" i="14"/>
  <c r="T68" i="14" s="1"/>
  <c r="DN68" i="13"/>
  <c r="DS68" i="13" s="1"/>
  <c r="DO68" i="13"/>
  <c r="DT68" i="13" s="1"/>
  <c r="CN68" i="14"/>
  <c r="CS68" i="14" s="1"/>
  <c r="CO68" i="14"/>
  <c r="CT68" i="14" s="1"/>
  <c r="CN68" i="16"/>
  <c r="CS68" i="16" s="1"/>
  <c r="CO68" i="16"/>
  <c r="CT68" i="16" s="1"/>
  <c r="N68" i="15"/>
  <c r="S68" i="15" s="1"/>
  <c r="O68" i="15"/>
  <c r="T68" i="15" s="1"/>
  <c r="AN68" i="13"/>
  <c r="AS68" i="13" s="1"/>
  <c r="AO68" i="13"/>
  <c r="AT68" i="13" s="1"/>
  <c r="AN68" i="14"/>
  <c r="AS68" i="14" s="1"/>
  <c r="AO68" i="14"/>
  <c r="AT68" i="14" s="1"/>
  <c r="DN68" i="16"/>
  <c r="DS68" i="16" s="1"/>
  <c r="DO68" i="16"/>
  <c r="DT68" i="16" s="1"/>
  <c r="N68" i="13"/>
  <c r="S68" i="13" s="1"/>
  <c r="O68" i="13"/>
  <c r="T68" i="13" s="1"/>
  <c r="N68" i="16"/>
  <c r="S68" i="16" s="1"/>
  <c r="O68" i="16"/>
  <c r="T68" i="16" s="1"/>
  <c r="BN68" i="13"/>
  <c r="BS68" i="13" s="1"/>
  <c r="BO68" i="13"/>
  <c r="BT68" i="13" s="1"/>
  <c r="BN68" i="14"/>
  <c r="BS68" i="14" s="1"/>
  <c r="BO68" i="14"/>
  <c r="BT68" i="14" s="1"/>
  <c r="AN68" i="16"/>
  <c r="AS68" i="16" s="1"/>
  <c r="AO68" i="16"/>
  <c r="AT68" i="16" s="1"/>
  <c r="K148" i="9"/>
  <c r="P148" i="9" s="1"/>
  <c r="AM68" i="15"/>
  <c r="AR68" i="15" s="1"/>
  <c r="DM68" i="15"/>
  <c r="DR68" i="15" s="1"/>
  <c r="CM68" i="15"/>
  <c r="CR68" i="15" s="1"/>
  <c r="BM68" i="15"/>
  <c r="BR68" i="15" s="1"/>
  <c r="CN68" i="13"/>
  <c r="CS68" i="13" s="1"/>
  <c r="CO68" i="13"/>
  <c r="CT68" i="13" s="1"/>
  <c r="DN68" i="14"/>
  <c r="DS68" i="14" s="1"/>
  <c r="DO68" i="14"/>
  <c r="DT68" i="14" s="1"/>
  <c r="BN68" i="16"/>
  <c r="BS68" i="16" s="1"/>
  <c r="BO68" i="16"/>
  <c r="BT68" i="16" s="1"/>
  <c r="DM67" i="15"/>
  <c r="DR67" i="15" s="1"/>
  <c r="BM67" i="15"/>
  <c r="BR67" i="15" s="1"/>
  <c r="CM67" i="15"/>
  <c r="CR67" i="15" s="1"/>
  <c r="AM67" i="15"/>
  <c r="AR67" i="15" s="1"/>
  <c r="N67" i="13"/>
  <c r="S67" i="13" s="1"/>
  <c r="O67" i="13"/>
  <c r="T67" i="13" s="1"/>
  <c r="CN67" i="13"/>
  <c r="CS67" i="13" s="1"/>
  <c r="CO67" i="13"/>
  <c r="CT67" i="13" s="1"/>
  <c r="DN67" i="14"/>
  <c r="DS67" i="14" s="1"/>
  <c r="DO67" i="14"/>
  <c r="DT67" i="14" s="1"/>
  <c r="AN67" i="16"/>
  <c r="AS67" i="16" s="1"/>
  <c r="AO67" i="16"/>
  <c r="AT67" i="16" s="1"/>
  <c r="N67" i="14"/>
  <c r="S67" i="14" s="1"/>
  <c r="O67" i="14"/>
  <c r="T67" i="14" s="1"/>
  <c r="DN67" i="13"/>
  <c r="DS67" i="13" s="1"/>
  <c r="DO67" i="13"/>
  <c r="DT67" i="13" s="1"/>
  <c r="CN67" i="14"/>
  <c r="CS67" i="14" s="1"/>
  <c r="CO67" i="14"/>
  <c r="CT67" i="14" s="1"/>
  <c r="BN67" i="16"/>
  <c r="BS67" i="16" s="1"/>
  <c r="BO67" i="16"/>
  <c r="BT67" i="16" s="1"/>
  <c r="N67" i="15"/>
  <c r="S67" i="15" s="1"/>
  <c r="O67" i="15"/>
  <c r="T67" i="15" s="1"/>
  <c r="AN67" i="13"/>
  <c r="AS67" i="13" s="1"/>
  <c r="AO67" i="13"/>
  <c r="AT67" i="13" s="1"/>
  <c r="AN67" i="14"/>
  <c r="AS67" i="14" s="1"/>
  <c r="AO67" i="14"/>
  <c r="AT67" i="14" s="1"/>
  <c r="CN67" i="16"/>
  <c r="CS67" i="16" s="1"/>
  <c r="CO67" i="16"/>
  <c r="CT67" i="16" s="1"/>
  <c r="N67" i="16"/>
  <c r="S67" i="16" s="1"/>
  <c r="O67" i="16"/>
  <c r="T67" i="16" s="1"/>
  <c r="BN67" i="13"/>
  <c r="BS67" i="13" s="1"/>
  <c r="BO67" i="13"/>
  <c r="BT67" i="13" s="1"/>
  <c r="BN67" i="14"/>
  <c r="BS67" i="14" s="1"/>
  <c r="BO67" i="14"/>
  <c r="BT67" i="14" s="1"/>
  <c r="DN67" i="16"/>
  <c r="DS67" i="16" s="1"/>
  <c r="DO67" i="16"/>
  <c r="DT67" i="16" s="1"/>
  <c r="AN66" i="15"/>
  <c r="AS66" i="15" s="1"/>
  <c r="AO66" i="15"/>
  <c r="AT66" i="15" s="1"/>
  <c r="N66" i="16"/>
  <c r="S66" i="16" s="1"/>
  <c r="O66" i="16"/>
  <c r="T66" i="16" s="1"/>
  <c r="BN66" i="13"/>
  <c r="BS66" i="13" s="1"/>
  <c r="BO66" i="13"/>
  <c r="BT66" i="13" s="1"/>
  <c r="BN66" i="14"/>
  <c r="BS66" i="14" s="1"/>
  <c r="BO66" i="14"/>
  <c r="BT66" i="14" s="1"/>
  <c r="DN66" i="16"/>
  <c r="DS66" i="16" s="1"/>
  <c r="DO66" i="16"/>
  <c r="DT66" i="16" s="1"/>
  <c r="DN66" i="15"/>
  <c r="DS66" i="15" s="1"/>
  <c r="DO66" i="15"/>
  <c r="DT66" i="15" s="1"/>
  <c r="CN66" i="13"/>
  <c r="CS66" i="13" s="1"/>
  <c r="CO66" i="13"/>
  <c r="CT66" i="13" s="1"/>
  <c r="DN66" i="14"/>
  <c r="DS66" i="14" s="1"/>
  <c r="DO66" i="14"/>
  <c r="DT66" i="14" s="1"/>
  <c r="AN66" i="16"/>
  <c r="AS66" i="16" s="1"/>
  <c r="AO66" i="16"/>
  <c r="AT66" i="16" s="1"/>
  <c r="CN66" i="15"/>
  <c r="CS66" i="15" s="1"/>
  <c r="CO66" i="15"/>
  <c r="CT66" i="15" s="1"/>
  <c r="N66" i="14"/>
  <c r="S66" i="14" s="1"/>
  <c r="O66" i="14"/>
  <c r="T66" i="14" s="1"/>
  <c r="N66" i="13"/>
  <c r="S66" i="13" s="1"/>
  <c r="O66" i="13"/>
  <c r="T66" i="13" s="1"/>
  <c r="DN66" i="13"/>
  <c r="DS66" i="13" s="1"/>
  <c r="DO66" i="13"/>
  <c r="DT66" i="13" s="1"/>
  <c r="CN66" i="14"/>
  <c r="CS66" i="14" s="1"/>
  <c r="CO66" i="14"/>
  <c r="CT66" i="14" s="1"/>
  <c r="BN66" i="16"/>
  <c r="BS66" i="16" s="1"/>
  <c r="BO66" i="16"/>
  <c r="BT66" i="16" s="1"/>
  <c r="BN66" i="15"/>
  <c r="BS66" i="15" s="1"/>
  <c r="BO66" i="15"/>
  <c r="BT66" i="15" s="1"/>
  <c r="N66" i="15"/>
  <c r="S66" i="15" s="1"/>
  <c r="O66" i="15"/>
  <c r="T66" i="15" s="1"/>
  <c r="AN66" i="13"/>
  <c r="AS66" i="13" s="1"/>
  <c r="AO66" i="13"/>
  <c r="AT66" i="13" s="1"/>
  <c r="AN66" i="14"/>
  <c r="AS66" i="14" s="1"/>
  <c r="AO66" i="14"/>
  <c r="AT66" i="14" s="1"/>
  <c r="CN66" i="16"/>
  <c r="CS66" i="16" s="1"/>
  <c r="CO66" i="16"/>
  <c r="CT66" i="16" s="1"/>
  <c r="CN64" i="13"/>
  <c r="CS64" i="13" s="1"/>
  <c r="CO64" i="13"/>
  <c r="CT64" i="13" s="1"/>
  <c r="N64" i="16"/>
  <c r="S64" i="16" s="1"/>
  <c r="O64" i="16"/>
  <c r="T64" i="16" s="1"/>
  <c r="CN64" i="16"/>
  <c r="CS64" i="16" s="1"/>
  <c r="CO64" i="16"/>
  <c r="CT64" i="16" s="1"/>
  <c r="CN64" i="14"/>
  <c r="CS64" i="14" s="1"/>
  <c r="CO64" i="14"/>
  <c r="CT64" i="14" s="1"/>
  <c r="DN64" i="16"/>
  <c r="DS64" i="16" s="1"/>
  <c r="DO64" i="16"/>
  <c r="DT64" i="16" s="1"/>
  <c r="K144" i="9"/>
  <c r="P144" i="9" s="1"/>
  <c r="DM64" i="15"/>
  <c r="DR64" i="15" s="1"/>
  <c r="CM64" i="15"/>
  <c r="CR64" i="15" s="1"/>
  <c r="BM64" i="15"/>
  <c r="BR64" i="15" s="1"/>
  <c r="AM64" i="15"/>
  <c r="AR64" i="15" s="1"/>
  <c r="AN64" i="13"/>
  <c r="AS64" i="13" s="1"/>
  <c r="AO64" i="13"/>
  <c r="AT64" i="13" s="1"/>
  <c r="AN64" i="14"/>
  <c r="AS64" i="14" s="1"/>
  <c r="AO64" i="14"/>
  <c r="AT64" i="14" s="1"/>
  <c r="N64" i="14"/>
  <c r="S64" i="14" s="1"/>
  <c r="O64" i="14"/>
  <c r="T64" i="14" s="1"/>
  <c r="AN64" i="16"/>
  <c r="AS64" i="16" s="1"/>
  <c r="AO64" i="16"/>
  <c r="AT64" i="16" s="1"/>
  <c r="DN64" i="14"/>
  <c r="DS64" i="14" s="1"/>
  <c r="DO64" i="14"/>
  <c r="DT64" i="14" s="1"/>
  <c r="DN64" i="13"/>
  <c r="DS64" i="13" s="1"/>
  <c r="DO64" i="13"/>
  <c r="DT64" i="13" s="1"/>
  <c r="N64" i="13"/>
  <c r="S64" i="13" s="1"/>
  <c r="O64" i="13"/>
  <c r="T64" i="13" s="1"/>
  <c r="BN64" i="13"/>
  <c r="BS64" i="13" s="1"/>
  <c r="BO64" i="13"/>
  <c r="BT64" i="13" s="1"/>
  <c r="BN64" i="14"/>
  <c r="BS64" i="14" s="1"/>
  <c r="BO64" i="14"/>
  <c r="BT64" i="14" s="1"/>
  <c r="N64" i="15"/>
  <c r="S64" i="15" s="1"/>
  <c r="O64" i="15"/>
  <c r="T64" i="15" s="1"/>
  <c r="BN64" i="16"/>
  <c r="BS64" i="16" s="1"/>
  <c r="BO64" i="16"/>
  <c r="BT64" i="16" s="1"/>
  <c r="J144" i="9"/>
  <c r="O144" i="9" s="1"/>
  <c r="K152" i="9"/>
  <c r="P152" i="9" s="1"/>
  <c r="T13" i="8"/>
  <c r="U13" i="8"/>
  <c r="K147" i="9"/>
  <c r="P147" i="9" s="1"/>
  <c r="J147" i="9"/>
  <c r="O147" i="9" s="1"/>
  <c r="DC102" i="16"/>
  <c r="DC98" i="16"/>
  <c r="CT94" i="16"/>
  <c r="DC94" i="16" s="1"/>
  <c r="CT90" i="16"/>
  <c r="DC90" i="16" s="1"/>
  <c r="CF102" i="16"/>
  <c r="CF98" i="16"/>
  <c r="BW94" i="16"/>
  <c r="CF94" i="16" s="1"/>
  <c r="BW90" i="16"/>
  <c r="CF90" i="16" s="1"/>
  <c r="BI102" i="16"/>
  <c r="BI98" i="16"/>
  <c r="AZ94" i="16"/>
  <c r="BI94" i="16" s="1"/>
  <c r="AZ90" i="16"/>
  <c r="BI90" i="16" s="1"/>
  <c r="AL102" i="16"/>
  <c r="AL98" i="16"/>
  <c r="AC94" i="16"/>
  <c r="AL94" i="16" s="1"/>
  <c r="AC90" i="16"/>
  <c r="AL90" i="16" s="1"/>
  <c r="O102" i="16"/>
  <c r="O98" i="16"/>
  <c r="F94" i="16"/>
  <c r="O94" i="16" s="1"/>
  <c r="F90" i="16"/>
  <c r="O90" i="16" s="1"/>
  <c r="DG102" i="15"/>
  <c r="DG98" i="15"/>
  <c r="CX94" i="15"/>
  <c r="DG94" i="15" s="1"/>
  <c r="CX90" i="15"/>
  <c r="DG90" i="15" s="1"/>
  <c r="CI102" i="15"/>
  <c r="CI98" i="15"/>
  <c r="BZ94" i="15"/>
  <c r="CI94" i="15" s="1"/>
  <c r="BZ90" i="15"/>
  <c r="CI90" i="15" s="1"/>
  <c r="BK102" i="15"/>
  <c r="BK98" i="15"/>
  <c r="BB94" i="15"/>
  <c r="BK94" i="15" s="1"/>
  <c r="BB90" i="15"/>
  <c r="BK90" i="15" s="1"/>
  <c r="AM102" i="15"/>
  <c r="AM98" i="15"/>
  <c r="AD94" i="15"/>
  <c r="AM94" i="15" s="1"/>
  <c r="AD90" i="15"/>
  <c r="AM90" i="15" s="1"/>
  <c r="O102" i="15"/>
  <c r="O98" i="15"/>
  <c r="F94" i="15"/>
  <c r="O94" i="15" s="1"/>
  <c r="F90" i="15"/>
  <c r="O90" i="15" s="1"/>
  <c r="DG102" i="14"/>
  <c r="DG98" i="14"/>
  <c r="CX94" i="14"/>
  <c r="DG94" i="14" s="1"/>
  <c r="CX90" i="14"/>
  <c r="DG90" i="14" s="1"/>
  <c r="CI102" i="14"/>
  <c r="CI98" i="14"/>
  <c r="BZ94" i="14"/>
  <c r="CI94" i="14" s="1"/>
  <c r="BZ90" i="14"/>
  <c r="CI90" i="14" s="1"/>
  <c r="BK102" i="14"/>
  <c r="BK98" i="14"/>
  <c r="BB94" i="14"/>
  <c r="BK94" i="14" s="1"/>
  <c r="BB90" i="14"/>
  <c r="BK90" i="14" s="1"/>
  <c r="AM102" i="14"/>
  <c r="AM98" i="14"/>
  <c r="AD94" i="14"/>
  <c r="AM94" i="14" s="1"/>
  <c r="AD90" i="14"/>
  <c r="AM90" i="14" s="1"/>
  <c r="O102" i="14"/>
  <c r="O98" i="14"/>
  <c r="F94" i="14"/>
  <c r="O94" i="14" s="1"/>
  <c r="F90" i="14"/>
  <c r="O90" i="14" s="1"/>
  <c r="CX102" i="13"/>
  <c r="DG102" i="13" s="1"/>
  <c r="CX98" i="13"/>
  <c r="DG98" i="13" s="1"/>
  <c r="CX94" i="13"/>
  <c r="DG94" i="13" s="1"/>
  <c r="CX90" i="13"/>
  <c r="DG90" i="13" s="1"/>
  <c r="CI102" i="13"/>
  <c r="CI98" i="13"/>
  <c r="BZ94" i="13"/>
  <c r="CI94" i="13" s="1"/>
  <c r="BZ90" i="13"/>
  <c r="CI90" i="13" s="1"/>
  <c r="BK102" i="13"/>
  <c r="BK98" i="13"/>
  <c r="BB94" i="13"/>
  <c r="BK94" i="13" s="1"/>
  <c r="BB90" i="13"/>
  <c r="BK90" i="13" s="1"/>
  <c r="AM102" i="13"/>
  <c r="AM98" i="13"/>
  <c r="AD94" i="13"/>
  <c r="AM94" i="13" s="1"/>
  <c r="AD90" i="13"/>
  <c r="AM90" i="13" s="1"/>
  <c r="F89" i="13"/>
  <c r="O89" i="13" s="1"/>
  <c r="F93" i="13"/>
  <c r="O93" i="13" s="1"/>
  <c r="F97" i="13"/>
  <c r="O97" i="13" s="1"/>
  <c r="O101" i="13"/>
  <c r="DC100" i="16"/>
  <c r="CT96" i="16"/>
  <c r="DC96" i="16" s="1"/>
  <c r="CT92" i="16"/>
  <c r="DC92" i="16" s="1"/>
  <c r="CT88" i="16"/>
  <c r="DC88" i="16" s="1"/>
  <c r="CF100" i="16"/>
  <c r="BW96" i="16"/>
  <c r="CF96" i="16" s="1"/>
  <c r="BW92" i="16"/>
  <c r="CF92" i="16" s="1"/>
  <c r="BW88" i="16"/>
  <c r="CF88" i="16" s="1"/>
  <c r="BI100" i="16"/>
  <c r="AZ96" i="16"/>
  <c r="BI96" i="16" s="1"/>
  <c r="AZ92" i="16"/>
  <c r="BI92" i="16" s="1"/>
  <c r="AZ88" i="16"/>
  <c r="BI88" i="16" s="1"/>
  <c r="AL100" i="16"/>
  <c r="AC96" i="16"/>
  <c r="AL96" i="16" s="1"/>
  <c r="AC92" i="16"/>
  <c r="AL92" i="16" s="1"/>
  <c r="AC88" i="16"/>
  <c r="AL88" i="16" s="1"/>
  <c r="O100" i="16"/>
  <c r="F96" i="16"/>
  <c r="O96" i="16" s="1"/>
  <c r="F92" i="16"/>
  <c r="O92" i="16" s="1"/>
  <c r="F88" i="16"/>
  <c r="O88" i="16" s="1"/>
  <c r="DG100" i="15"/>
  <c r="CX96" i="15"/>
  <c r="DG96" i="15" s="1"/>
  <c r="CX92" i="15"/>
  <c r="DG92" i="15" s="1"/>
  <c r="CX88" i="15"/>
  <c r="DG88" i="15" s="1"/>
  <c r="CI100" i="15"/>
  <c r="BZ96" i="15"/>
  <c r="CI96" i="15" s="1"/>
  <c r="BZ92" i="15"/>
  <c r="CI92" i="15" s="1"/>
  <c r="BZ88" i="15"/>
  <c r="CI88" i="15" s="1"/>
  <c r="BK100" i="15"/>
  <c r="BB96" i="15"/>
  <c r="BK96" i="15" s="1"/>
  <c r="BB92" i="15"/>
  <c r="BK92" i="15" s="1"/>
  <c r="BB88" i="15"/>
  <c r="BK88" i="15" s="1"/>
  <c r="AM100" i="15"/>
  <c r="AD96" i="15"/>
  <c r="AM96" i="15" s="1"/>
  <c r="AD92" i="15"/>
  <c r="AM92" i="15" s="1"/>
  <c r="AD88" i="15"/>
  <c r="AM88" i="15" s="1"/>
  <c r="O100" i="15"/>
  <c r="F96" i="15"/>
  <c r="O96" i="15" s="1"/>
  <c r="F92" i="15"/>
  <c r="O92" i="15" s="1"/>
  <c r="F88" i="15"/>
  <c r="O88" i="15" s="1"/>
  <c r="DG100" i="14"/>
  <c r="CX96" i="14"/>
  <c r="DG96" i="14" s="1"/>
  <c r="CX92" i="14"/>
  <c r="DG92" i="14" s="1"/>
  <c r="CX88" i="14"/>
  <c r="DG88" i="14" s="1"/>
  <c r="CI100" i="14"/>
  <c r="BZ96" i="14"/>
  <c r="CI96" i="14" s="1"/>
  <c r="BZ92" i="14"/>
  <c r="CI92" i="14" s="1"/>
  <c r="BZ88" i="14"/>
  <c r="CI88" i="14" s="1"/>
  <c r="BK100" i="14"/>
  <c r="BB96" i="14"/>
  <c r="BK96" i="14" s="1"/>
  <c r="BB92" i="14"/>
  <c r="BK92" i="14" s="1"/>
  <c r="BB88" i="14"/>
  <c r="BK88" i="14" s="1"/>
  <c r="AM100" i="14"/>
  <c r="AD96" i="14"/>
  <c r="AM96" i="14" s="1"/>
  <c r="AD92" i="14"/>
  <c r="AM92" i="14" s="1"/>
  <c r="AD88" i="14"/>
  <c r="AM88" i="14" s="1"/>
  <c r="O100" i="14"/>
  <c r="F96" i="14"/>
  <c r="O96" i="14" s="1"/>
  <c r="F92" i="14"/>
  <c r="O92" i="14" s="1"/>
  <c r="F88" i="14"/>
  <c r="O88" i="14" s="1"/>
  <c r="CX100" i="13"/>
  <c r="DG100" i="13" s="1"/>
  <c r="CX96" i="13"/>
  <c r="DG96" i="13" s="1"/>
  <c r="CX92" i="13"/>
  <c r="DG92" i="13" s="1"/>
  <c r="CX88" i="13"/>
  <c r="DG88" i="13" s="1"/>
  <c r="CI100" i="13"/>
  <c r="BZ96" i="13"/>
  <c r="CI96" i="13" s="1"/>
  <c r="BZ92" i="13"/>
  <c r="CI92" i="13" s="1"/>
  <c r="BZ88" i="13"/>
  <c r="CI88" i="13" s="1"/>
  <c r="BK100" i="13"/>
  <c r="BB96" i="13"/>
  <c r="BK96" i="13" s="1"/>
  <c r="BB92" i="13"/>
  <c r="BK92" i="13" s="1"/>
  <c r="BB88" i="13"/>
  <c r="BK88" i="13" s="1"/>
  <c r="AM100" i="13"/>
  <c r="AD96" i="13"/>
  <c r="AM96" i="13" s="1"/>
  <c r="AD92" i="13"/>
  <c r="AM92" i="13" s="1"/>
  <c r="AD88" i="13"/>
  <c r="AM88" i="13" s="1"/>
  <c r="F91" i="13"/>
  <c r="O91" i="13" s="1"/>
  <c r="F95" i="13"/>
  <c r="O95" i="13" s="1"/>
  <c r="O99" i="13"/>
  <c r="O103" i="13"/>
  <c r="CT97" i="16"/>
  <c r="DC97" i="16" s="1"/>
  <c r="CT89" i="16"/>
  <c r="DC89" i="16" s="1"/>
  <c r="BW97" i="16"/>
  <c r="CF97" i="16" s="1"/>
  <c r="BW89" i="16"/>
  <c r="CF89" i="16" s="1"/>
  <c r="AZ97" i="16"/>
  <c r="BI97" i="16" s="1"/>
  <c r="AZ89" i="16"/>
  <c r="BI89" i="16" s="1"/>
  <c r="AC97" i="16"/>
  <c r="AL97" i="16" s="1"/>
  <c r="AC89" i="16"/>
  <c r="AL89" i="16" s="1"/>
  <c r="F97" i="16"/>
  <c r="O97" i="16" s="1"/>
  <c r="F89" i="16"/>
  <c r="O89" i="16" s="1"/>
  <c r="CX97" i="15"/>
  <c r="DG97" i="15" s="1"/>
  <c r="CX89" i="15"/>
  <c r="DG89" i="15" s="1"/>
  <c r="BZ97" i="15"/>
  <c r="CI97" i="15" s="1"/>
  <c r="BZ89" i="15"/>
  <c r="CI89" i="15" s="1"/>
  <c r="BB97" i="15"/>
  <c r="BK97" i="15" s="1"/>
  <c r="BB89" i="15"/>
  <c r="BK89" i="15" s="1"/>
  <c r="AD97" i="15"/>
  <c r="AM97" i="15" s="1"/>
  <c r="AD89" i="15"/>
  <c r="AM89" i="15" s="1"/>
  <c r="F97" i="15"/>
  <c r="O97" i="15" s="1"/>
  <c r="F89" i="15"/>
  <c r="O89" i="15" s="1"/>
  <c r="CX97" i="14"/>
  <c r="DG97" i="14" s="1"/>
  <c r="CX89" i="14"/>
  <c r="DG89" i="14" s="1"/>
  <c r="BZ97" i="14"/>
  <c r="CI97" i="14" s="1"/>
  <c r="BZ89" i="14"/>
  <c r="CI89" i="14" s="1"/>
  <c r="BB97" i="14"/>
  <c r="BK97" i="14" s="1"/>
  <c r="BB89" i="14"/>
  <c r="BK89" i="14" s="1"/>
  <c r="AD97" i="14"/>
  <c r="AM97" i="14" s="1"/>
  <c r="AD89" i="14"/>
  <c r="AM89" i="14" s="1"/>
  <c r="F97" i="14"/>
  <c r="O97" i="14" s="1"/>
  <c r="F89" i="14"/>
  <c r="O89" i="14" s="1"/>
  <c r="CX97" i="13"/>
  <c r="DG97" i="13" s="1"/>
  <c r="CX89" i="13"/>
  <c r="DG89" i="13" s="1"/>
  <c r="BZ97" i="13"/>
  <c r="CI97" i="13" s="1"/>
  <c r="BZ89" i="13"/>
  <c r="CI89" i="13" s="1"/>
  <c r="BB97" i="13"/>
  <c r="BK97" i="13" s="1"/>
  <c r="BB89" i="13"/>
  <c r="BK89" i="13" s="1"/>
  <c r="AD97" i="13"/>
  <c r="AM97" i="13" s="1"/>
  <c r="AD89" i="13"/>
  <c r="AM89" i="13" s="1"/>
  <c r="F96" i="13"/>
  <c r="O96" i="13" s="1"/>
  <c r="F88" i="13"/>
  <c r="O88" i="13" s="1"/>
  <c r="DC101" i="16"/>
  <c r="CT93" i="16"/>
  <c r="DC93" i="16" s="1"/>
  <c r="CF101" i="16"/>
  <c r="BW93" i="16"/>
  <c r="CF93" i="16" s="1"/>
  <c r="BI101" i="16"/>
  <c r="AZ93" i="16"/>
  <c r="BI93" i="16" s="1"/>
  <c r="AL101" i="16"/>
  <c r="AC93" i="16"/>
  <c r="AL93" i="16" s="1"/>
  <c r="O101" i="16"/>
  <c r="F93" i="16"/>
  <c r="O93" i="16" s="1"/>
  <c r="DG101" i="15"/>
  <c r="CX93" i="15"/>
  <c r="DG93" i="15" s="1"/>
  <c r="CI101" i="15"/>
  <c r="BZ93" i="15"/>
  <c r="CI93" i="15" s="1"/>
  <c r="BK101" i="15"/>
  <c r="BB93" i="15"/>
  <c r="BK93" i="15" s="1"/>
  <c r="AM101" i="15"/>
  <c r="AD93" i="15"/>
  <c r="AM93" i="15" s="1"/>
  <c r="O101" i="15"/>
  <c r="F93" i="15"/>
  <c r="O93" i="15" s="1"/>
  <c r="DG101" i="14"/>
  <c r="CX93" i="14"/>
  <c r="DG93" i="14" s="1"/>
  <c r="CI101" i="14"/>
  <c r="BZ93" i="14"/>
  <c r="CI93" i="14" s="1"/>
  <c r="BK101" i="14"/>
  <c r="BB93" i="14"/>
  <c r="BK93" i="14" s="1"/>
  <c r="AM101" i="14"/>
  <c r="AD93" i="14"/>
  <c r="AM93" i="14" s="1"/>
  <c r="O101" i="14"/>
  <c r="F93" i="14"/>
  <c r="O93" i="14" s="1"/>
  <c r="CX101" i="13"/>
  <c r="DG101" i="13" s="1"/>
  <c r="CX93" i="13"/>
  <c r="DG93" i="13" s="1"/>
  <c r="CI101" i="13"/>
  <c r="BZ93" i="13"/>
  <c r="CI93" i="13" s="1"/>
  <c r="BK101" i="13"/>
  <c r="BB93" i="13"/>
  <c r="BK93" i="13" s="1"/>
  <c r="AM101" i="13"/>
  <c r="AD93" i="13"/>
  <c r="AM93" i="13" s="1"/>
  <c r="F92" i="13"/>
  <c r="O92" i="13" s="1"/>
  <c r="O100" i="13"/>
  <c r="DC103" i="16"/>
  <c r="CF103" i="16"/>
  <c r="BI103" i="16"/>
  <c r="AL103" i="16"/>
  <c r="O103" i="16"/>
  <c r="DG103" i="15"/>
  <c r="CI103" i="15"/>
  <c r="BK103" i="15"/>
  <c r="AM103" i="15"/>
  <c r="O103" i="15"/>
  <c r="DG103" i="14"/>
  <c r="CI103" i="14"/>
  <c r="BK103" i="14"/>
  <c r="AM103" i="14"/>
  <c r="O103" i="14"/>
  <c r="CX103" i="13"/>
  <c r="DG103" i="13" s="1"/>
  <c r="CI103" i="13"/>
  <c r="BK103" i="13"/>
  <c r="AM103" i="13"/>
  <c r="F90" i="13"/>
  <c r="O90" i="13" s="1"/>
  <c r="CT95" i="16"/>
  <c r="DC95" i="16" s="1"/>
  <c r="BW95" i="16"/>
  <c r="CF95" i="16" s="1"/>
  <c r="AZ95" i="16"/>
  <c r="BI95" i="16" s="1"/>
  <c r="AC95" i="16"/>
  <c r="AL95" i="16" s="1"/>
  <c r="F95" i="16"/>
  <c r="O95" i="16" s="1"/>
  <c r="CX95" i="15"/>
  <c r="DG95" i="15" s="1"/>
  <c r="BZ95" i="15"/>
  <c r="CI95" i="15" s="1"/>
  <c r="BB95" i="15"/>
  <c r="BK95" i="15" s="1"/>
  <c r="AD95" i="15"/>
  <c r="AM95" i="15" s="1"/>
  <c r="F95" i="15"/>
  <c r="O95" i="15" s="1"/>
  <c r="CX95" i="14"/>
  <c r="DG95" i="14" s="1"/>
  <c r="BZ95" i="14"/>
  <c r="CI95" i="14" s="1"/>
  <c r="BB95" i="14"/>
  <c r="BK95" i="14" s="1"/>
  <c r="AD95" i="14"/>
  <c r="AM95" i="14" s="1"/>
  <c r="F95" i="14"/>
  <c r="O95" i="14" s="1"/>
  <c r="CX95" i="13"/>
  <c r="DG95" i="13" s="1"/>
  <c r="BZ95" i="13"/>
  <c r="CI95" i="13" s="1"/>
  <c r="BB95" i="13"/>
  <c r="BK95" i="13" s="1"/>
  <c r="AD95" i="13"/>
  <c r="AM95" i="13" s="1"/>
  <c r="O98" i="13"/>
  <c r="CT91" i="16"/>
  <c r="DC91" i="16" s="1"/>
  <c r="BW91" i="16"/>
  <c r="CF91" i="16" s="1"/>
  <c r="AZ91" i="16"/>
  <c r="BI91" i="16" s="1"/>
  <c r="AC91" i="16"/>
  <c r="AL91" i="16" s="1"/>
  <c r="F91" i="16"/>
  <c r="O91" i="16" s="1"/>
  <c r="CX91" i="15"/>
  <c r="DG91" i="15" s="1"/>
  <c r="BZ91" i="15"/>
  <c r="CI91" i="15" s="1"/>
  <c r="BB91" i="15"/>
  <c r="BK91" i="15" s="1"/>
  <c r="AD91" i="15"/>
  <c r="AM91" i="15" s="1"/>
  <c r="F91" i="15"/>
  <c r="O91" i="15" s="1"/>
  <c r="CX91" i="14"/>
  <c r="DG91" i="14" s="1"/>
  <c r="BZ91" i="14"/>
  <c r="CI91" i="14" s="1"/>
  <c r="BB91" i="14"/>
  <c r="BK91" i="14" s="1"/>
  <c r="AD91" i="14"/>
  <c r="AM91" i="14" s="1"/>
  <c r="F91" i="14"/>
  <c r="O91" i="14" s="1"/>
  <c r="CX91" i="13"/>
  <c r="DG91" i="13" s="1"/>
  <c r="BZ91" i="13"/>
  <c r="CI91" i="13" s="1"/>
  <c r="BB91" i="13"/>
  <c r="BK91" i="13" s="1"/>
  <c r="AD91" i="13"/>
  <c r="AM91" i="13" s="1"/>
  <c r="O102" i="13"/>
  <c r="DC99" i="16"/>
  <c r="O99" i="16"/>
  <c r="AM99" i="15"/>
  <c r="BK99" i="14"/>
  <c r="CI99" i="13"/>
  <c r="F94" i="13"/>
  <c r="O94" i="13" s="1"/>
  <c r="CF99" i="16"/>
  <c r="DG99" i="15"/>
  <c r="O99" i="15"/>
  <c r="AM99" i="14"/>
  <c r="BK99" i="13"/>
  <c r="BI99" i="16"/>
  <c r="CI99" i="15"/>
  <c r="DG99" i="14"/>
  <c r="O99" i="14"/>
  <c r="AM99" i="13"/>
  <c r="AL99" i="16"/>
  <c r="BK99" i="15"/>
  <c r="CI99" i="14"/>
  <c r="CX99" i="13"/>
  <c r="DG99" i="13" s="1"/>
  <c r="CT128" i="16"/>
  <c r="DC128" i="16" s="1"/>
  <c r="CT124" i="16"/>
  <c r="DC124" i="16" s="1"/>
  <c r="CT120" i="16"/>
  <c r="DC120" i="16" s="1"/>
  <c r="CT116" i="16"/>
  <c r="DC116" i="16" s="1"/>
  <c r="BW128" i="16"/>
  <c r="CF128" i="16" s="1"/>
  <c r="BW124" i="16"/>
  <c r="CF124" i="16" s="1"/>
  <c r="BW120" i="16"/>
  <c r="CF120" i="16" s="1"/>
  <c r="BW116" i="16"/>
  <c r="CF116" i="16" s="1"/>
  <c r="AZ128" i="16"/>
  <c r="BI128" i="16" s="1"/>
  <c r="AZ124" i="16"/>
  <c r="BI124" i="16" s="1"/>
  <c r="AZ120" i="16"/>
  <c r="BI120" i="16" s="1"/>
  <c r="AZ116" i="16"/>
  <c r="BI116" i="16" s="1"/>
  <c r="AC128" i="16"/>
  <c r="AL128" i="16" s="1"/>
  <c r="AC124" i="16"/>
  <c r="AL124" i="16" s="1"/>
  <c r="AC120" i="16"/>
  <c r="AL120" i="16" s="1"/>
  <c r="AC116" i="16"/>
  <c r="AL116" i="16" s="1"/>
  <c r="F128" i="16"/>
  <c r="O128" i="16" s="1"/>
  <c r="F124" i="16"/>
  <c r="O124" i="16" s="1"/>
  <c r="F120" i="16"/>
  <c r="O120" i="16" s="1"/>
  <c r="F116" i="16"/>
  <c r="O116" i="16" s="1"/>
  <c r="CX128" i="15"/>
  <c r="DG128" i="15" s="1"/>
  <c r="CX124" i="15"/>
  <c r="DG124" i="15" s="1"/>
  <c r="CX120" i="15"/>
  <c r="DG120" i="15" s="1"/>
  <c r="CX116" i="15"/>
  <c r="DG116" i="15" s="1"/>
  <c r="BZ128" i="15"/>
  <c r="CI128" i="15" s="1"/>
  <c r="BZ124" i="15"/>
  <c r="CI124" i="15" s="1"/>
  <c r="BZ120" i="15"/>
  <c r="CI120" i="15" s="1"/>
  <c r="BZ116" i="15"/>
  <c r="CI116" i="15" s="1"/>
  <c r="BB128" i="15"/>
  <c r="BK128" i="15" s="1"/>
  <c r="BB124" i="15"/>
  <c r="BK124" i="15" s="1"/>
  <c r="BB120" i="15"/>
  <c r="BK120" i="15" s="1"/>
  <c r="BB116" i="15"/>
  <c r="BK116" i="15" s="1"/>
  <c r="AD128" i="15"/>
  <c r="AM128" i="15" s="1"/>
  <c r="AD124" i="15"/>
  <c r="AM124" i="15" s="1"/>
  <c r="AD120" i="15"/>
  <c r="AM120" i="15" s="1"/>
  <c r="AD116" i="15"/>
  <c r="AM116" i="15" s="1"/>
  <c r="F128" i="15"/>
  <c r="O128" i="15" s="1"/>
  <c r="F124" i="15"/>
  <c r="O124" i="15" s="1"/>
  <c r="F120" i="15"/>
  <c r="O120" i="15" s="1"/>
  <c r="F116" i="15"/>
  <c r="O116" i="15" s="1"/>
  <c r="CX128" i="14"/>
  <c r="DG128" i="14" s="1"/>
  <c r="CX124" i="14"/>
  <c r="DG124" i="14" s="1"/>
  <c r="CX120" i="14"/>
  <c r="DG120" i="14" s="1"/>
  <c r="CX116" i="14"/>
  <c r="DG116" i="14" s="1"/>
  <c r="BZ128" i="14"/>
  <c r="CI128" i="14" s="1"/>
  <c r="BZ124" i="14"/>
  <c r="CI124" i="14" s="1"/>
  <c r="BZ120" i="14"/>
  <c r="CI120" i="14" s="1"/>
  <c r="BZ116" i="14"/>
  <c r="CI116" i="14" s="1"/>
  <c r="BB114" i="14"/>
  <c r="BK114" i="14" s="1"/>
  <c r="BB118" i="14"/>
  <c r="BK118" i="14" s="1"/>
  <c r="BB122" i="14"/>
  <c r="BK122" i="14" s="1"/>
  <c r="BB126" i="14"/>
  <c r="BK126" i="14" s="1"/>
  <c r="AD114" i="14"/>
  <c r="AM114" i="14" s="1"/>
  <c r="AD118" i="14"/>
  <c r="AM118" i="14" s="1"/>
  <c r="AD122" i="14"/>
  <c r="AM122" i="14" s="1"/>
  <c r="AD126" i="14"/>
  <c r="AM126" i="14" s="1"/>
  <c r="F114" i="14"/>
  <c r="O114" i="14" s="1"/>
  <c r="F118" i="14"/>
  <c r="O118" i="14" s="1"/>
  <c r="F122" i="14"/>
  <c r="O122" i="14" s="1"/>
  <c r="F126" i="14"/>
  <c r="O126" i="14" s="1"/>
  <c r="BB115" i="13"/>
  <c r="BK115" i="13" s="1"/>
  <c r="BB119" i="13"/>
  <c r="BK119" i="13" s="1"/>
  <c r="BB123" i="13"/>
  <c r="BK123" i="13" s="1"/>
  <c r="BB127" i="13"/>
  <c r="BK127" i="13" s="1"/>
  <c r="BZ115" i="13"/>
  <c r="CI115" i="13" s="1"/>
  <c r="BZ119" i="13"/>
  <c r="CI119" i="13" s="1"/>
  <c r="BZ123" i="13"/>
  <c r="CI123" i="13" s="1"/>
  <c r="BZ127" i="13"/>
  <c r="CI127" i="13" s="1"/>
  <c r="CX115" i="13"/>
  <c r="DG115" i="13" s="1"/>
  <c r="CX119" i="13"/>
  <c r="DG119" i="13" s="1"/>
  <c r="CX123" i="13"/>
  <c r="DG123" i="13" s="1"/>
  <c r="CX127" i="13"/>
  <c r="DG127" i="13" s="1"/>
  <c r="AD114" i="13"/>
  <c r="AM114" i="13" s="1"/>
  <c r="AD118" i="13"/>
  <c r="AM118" i="13" s="1"/>
  <c r="AD122" i="13"/>
  <c r="AM122" i="13" s="1"/>
  <c r="AD126" i="13"/>
  <c r="AM126" i="13" s="1"/>
  <c r="F114" i="13"/>
  <c r="O114" i="13" s="1"/>
  <c r="F118" i="13"/>
  <c r="O118" i="13" s="1"/>
  <c r="F122" i="13"/>
  <c r="O122" i="13" s="1"/>
  <c r="F126" i="13"/>
  <c r="O126" i="13" s="1"/>
  <c r="CT127" i="16"/>
  <c r="DC127" i="16" s="1"/>
  <c r="CT126" i="16"/>
  <c r="DC126" i="16" s="1"/>
  <c r="CT122" i="16"/>
  <c r="DC122" i="16" s="1"/>
  <c r="CT118" i="16"/>
  <c r="DC118" i="16" s="1"/>
  <c r="CT114" i="16"/>
  <c r="DC114" i="16" s="1"/>
  <c r="BW126" i="16"/>
  <c r="CF126" i="16" s="1"/>
  <c r="BW122" i="16"/>
  <c r="CF122" i="16" s="1"/>
  <c r="BW118" i="16"/>
  <c r="CF118" i="16" s="1"/>
  <c r="BW114" i="16"/>
  <c r="CF114" i="16" s="1"/>
  <c r="AZ126" i="16"/>
  <c r="BI126" i="16" s="1"/>
  <c r="AZ122" i="16"/>
  <c r="BI122" i="16" s="1"/>
  <c r="AZ118" i="16"/>
  <c r="BI118" i="16" s="1"/>
  <c r="AZ114" i="16"/>
  <c r="BI114" i="16" s="1"/>
  <c r="AC126" i="16"/>
  <c r="AL126" i="16" s="1"/>
  <c r="AC122" i="16"/>
  <c r="AL122" i="16" s="1"/>
  <c r="AC118" i="16"/>
  <c r="AL118" i="16" s="1"/>
  <c r="AC114" i="16"/>
  <c r="AL114" i="16" s="1"/>
  <c r="F126" i="16"/>
  <c r="O126" i="16" s="1"/>
  <c r="F122" i="16"/>
  <c r="O122" i="16" s="1"/>
  <c r="F118" i="16"/>
  <c r="O118" i="16" s="1"/>
  <c r="F114" i="16"/>
  <c r="O114" i="16" s="1"/>
  <c r="CX126" i="15"/>
  <c r="DG126" i="15" s="1"/>
  <c r="CX122" i="15"/>
  <c r="DG122" i="15" s="1"/>
  <c r="CX118" i="15"/>
  <c r="DG118" i="15" s="1"/>
  <c r="CX114" i="15"/>
  <c r="DG114" i="15" s="1"/>
  <c r="BZ126" i="15"/>
  <c r="CI126" i="15" s="1"/>
  <c r="BZ122" i="15"/>
  <c r="CI122" i="15" s="1"/>
  <c r="BZ118" i="15"/>
  <c r="CI118" i="15" s="1"/>
  <c r="BZ114" i="15"/>
  <c r="CI114" i="15" s="1"/>
  <c r="BB126" i="15"/>
  <c r="BK126" i="15" s="1"/>
  <c r="BB122" i="15"/>
  <c r="BK122" i="15" s="1"/>
  <c r="BB118" i="15"/>
  <c r="BK118" i="15" s="1"/>
  <c r="BB114" i="15"/>
  <c r="BK114" i="15" s="1"/>
  <c r="AD126" i="15"/>
  <c r="AM126" i="15" s="1"/>
  <c r="AD122" i="15"/>
  <c r="AM122" i="15" s="1"/>
  <c r="AD118" i="15"/>
  <c r="AM118" i="15" s="1"/>
  <c r="AD114" i="15"/>
  <c r="AM114" i="15" s="1"/>
  <c r="F126" i="15"/>
  <c r="O126" i="15" s="1"/>
  <c r="F122" i="15"/>
  <c r="O122" i="15" s="1"/>
  <c r="F118" i="15"/>
  <c r="O118" i="15" s="1"/>
  <c r="F114" i="15"/>
  <c r="O114" i="15" s="1"/>
  <c r="CX126" i="14"/>
  <c r="DG126" i="14" s="1"/>
  <c r="CX122" i="14"/>
  <c r="DG122" i="14" s="1"/>
  <c r="CX118" i="14"/>
  <c r="DG118" i="14" s="1"/>
  <c r="CX114" i="14"/>
  <c r="DG114" i="14" s="1"/>
  <c r="BZ126" i="14"/>
  <c r="CI126" i="14" s="1"/>
  <c r="BZ122" i="14"/>
  <c r="CI122" i="14" s="1"/>
  <c r="BZ118" i="14"/>
  <c r="CI118" i="14" s="1"/>
  <c r="BZ114" i="14"/>
  <c r="CI114" i="14" s="1"/>
  <c r="BB116" i="14"/>
  <c r="BK116" i="14" s="1"/>
  <c r="BB120" i="14"/>
  <c r="BK120" i="14" s="1"/>
  <c r="BB124" i="14"/>
  <c r="BK124" i="14" s="1"/>
  <c r="BB128" i="14"/>
  <c r="BK128" i="14" s="1"/>
  <c r="AD116" i="14"/>
  <c r="AM116" i="14" s="1"/>
  <c r="AD120" i="14"/>
  <c r="AM120" i="14" s="1"/>
  <c r="AD124" i="14"/>
  <c r="AM124" i="14" s="1"/>
  <c r="AD128" i="14"/>
  <c r="AM128" i="14" s="1"/>
  <c r="F116" i="14"/>
  <c r="O116" i="14" s="1"/>
  <c r="F120" i="14"/>
  <c r="O120" i="14" s="1"/>
  <c r="F124" i="14"/>
  <c r="O124" i="14" s="1"/>
  <c r="F128" i="14"/>
  <c r="O128" i="14" s="1"/>
  <c r="BB117" i="13"/>
  <c r="BK117" i="13" s="1"/>
  <c r="BB121" i="13"/>
  <c r="BK121" i="13" s="1"/>
  <c r="BB125" i="13"/>
  <c r="BK125" i="13" s="1"/>
  <c r="BB113" i="13"/>
  <c r="BK113" i="13" s="1"/>
  <c r="BZ117" i="13"/>
  <c r="CI117" i="13" s="1"/>
  <c r="BZ121" i="13"/>
  <c r="CI121" i="13" s="1"/>
  <c r="BZ125" i="13"/>
  <c r="CI125" i="13" s="1"/>
  <c r="BZ113" i="13"/>
  <c r="CI113" i="13" s="1"/>
  <c r="CX117" i="13"/>
  <c r="DG117" i="13" s="1"/>
  <c r="CX121" i="13"/>
  <c r="DG121" i="13" s="1"/>
  <c r="CX125" i="13"/>
  <c r="DG125" i="13" s="1"/>
  <c r="CX113" i="13"/>
  <c r="DG113" i="13" s="1"/>
  <c r="AD116" i="13"/>
  <c r="AM116" i="13" s="1"/>
  <c r="AD120" i="13"/>
  <c r="AM120" i="13" s="1"/>
  <c r="AD124" i="13"/>
  <c r="AM124" i="13" s="1"/>
  <c r="AD128" i="13"/>
  <c r="AM128" i="13" s="1"/>
  <c r="F116" i="13"/>
  <c r="O116" i="13" s="1"/>
  <c r="F120" i="13"/>
  <c r="O120" i="13" s="1"/>
  <c r="F124" i="13"/>
  <c r="O124" i="13" s="1"/>
  <c r="F128" i="13"/>
  <c r="O128" i="13" s="1"/>
  <c r="CT125" i="16"/>
  <c r="DC125" i="16" s="1"/>
  <c r="CT123" i="16"/>
  <c r="DC123" i="16" s="1"/>
  <c r="CT115" i="16"/>
  <c r="DC115" i="16" s="1"/>
  <c r="BW123" i="16"/>
  <c r="CF123" i="16" s="1"/>
  <c r="BW115" i="16"/>
  <c r="CF115" i="16" s="1"/>
  <c r="AZ123" i="16"/>
  <c r="BI123" i="16" s="1"/>
  <c r="AZ115" i="16"/>
  <c r="BI115" i="16" s="1"/>
  <c r="AC123" i="16"/>
  <c r="AL123" i="16" s="1"/>
  <c r="AC115" i="16"/>
  <c r="AL115" i="16" s="1"/>
  <c r="F123" i="16"/>
  <c r="O123" i="16" s="1"/>
  <c r="F115" i="16"/>
  <c r="O115" i="16" s="1"/>
  <c r="CX123" i="15"/>
  <c r="DG123" i="15" s="1"/>
  <c r="CX115" i="15"/>
  <c r="DG115" i="15" s="1"/>
  <c r="BZ123" i="15"/>
  <c r="CI123" i="15" s="1"/>
  <c r="BZ115" i="15"/>
  <c r="CI115" i="15" s="1"/>
  <c r="BB123" i="15"/>
  <c r="BK123" i="15" s="1"/>
  <c r="BB115" i="15"/>
  <c r="BK115" i="15" s="1"/>
  <c r="AD123" i="15"/>
  <c r="AM123" i="15" s="1"/>
  <c r="AD115" i="15"/>
  <c r="AM115" i="15" s="1"/>
  <c r="F123" i="15"/>
  <c r="O123" i="15" s="1"/>
  <c r="F115" i="15"/>
  <c r="O115" i="15" s="1"/>
  <c r="CX123" i="14"/>
  <c r="DG123" i="14" s="1"/>
  <c r="CX115" i="14"/>
  <c r="DG115" i="14" s="1"/>
  <c r="BZ123" i="14"/>
  <c r="CI123" i="14" s="1"/>
  <c r="BZ115" i="14"/>
  <c r="CI115" i="14" s="1"/>
  <c r="BB119" i="14"/>
  <c r="BK119" i="14" s="1"/>
  <c r="BB127" i="14"/>
  <c r="BK127" i="14" s="1"/>
  <c r="AD119" i="14"/>
  <c r="AM119" i="14" s="1"/>
  <c r="AD127" i="14"/>
  <c r="AM127" i="14" s="1"/>
  <c r="F119" i="14"/>
  <c r="O119" i="14" s="1"/>
  <c r="F127" i="14"/>
  <c r="O127" i="14" s="1"/>
  <c r="BB120" i="13"/>
  <c r="BK120" i="13" s="1"/>
  <c r="BB128" i="13"/>
  <c r="BK128" i="13" s="1"/>
  <c r="BZ120" i="13"/>
  <c r="CI120" i="13" s="1"/>
  <c r="BZ128" i="13"/>
  <c r="CI128" i="13" s="1"/>
  <c r="CX120" i="13"/>
  <c r="DG120" i="13" s="1"/>
  <c r="CX128" i="13"/>
  <c r="DG128" i="13" s="1"/>
  <c r="AD115" i="13"/>
  <c r="AM115" i="13" s="1"/>
  <c r="AD123" i="13"/>
  <c r="AM123" i="13" s="1"/>
  <c r="F115" i="13"/>
  <c r="O115" i="13" s="1"/>
  <c r="F123" i="13"/>
  <c r="O123" i="13" s="1"/>
  <c r="CT119" i="16"/>
  <c r="DC119" i="16" s="1"/>
  <c r="BW127" i="16"/>
  <c r="CF127" i="16" s="1"/>
  <c r="BW119" i="16"/>
  <c r="CF119" i="16" s="1"/>
  <c r="AZ127" i="16"/>
  <c r="BI127" i="16" s="1"/>
  <c r="AZ119" i="16"/>
  <c r="BI119" i="16" s="1"/>
  <c r="AC127" i="16"/>
  <c r="AL127" i="16" s="1"/>
  <c r="AC119" i="16"/>
  <c r="AL119" i="16" s="1"/>
  <c r="F127" i="16"/>
  <c r="O127" i="16" s="1"/>
  <c r="F119" i="16"/>
  <c r="O119" i="16" s="1"/>
  <c r="CX127" i="15"/>
  <c r="DG127" i="15" s="1"/>
  <c r="CX119" i="15"/>
  <c r="DG119" i="15" s="1"/>
  <c r="BZ127" i="15"/>
  <c r="CI127" i="15" s="1"/>
  <c r="BZ119" i="15"/>
  <c r="CI119" i="15" s="1"/>
  <c r="BB127" i="15"/>
  <c r="BK127" i="15" s="1"/>
  <c r="BB119" i="15"/>
  <c r="BK119" i="15" s="1"/>
  <c r="AD127" i="15"/>
  <c r="AM127" i="15" s="1"/>
  <c r="AD119" i="15"/>
  <c r="AM119" i="15" s="1"/>
  <c r="F127" i="15"/>
  <c r="O127" i="15" s="1"/>
  <c r="F119" i="15"/>
  <c r="O119" i="15" s="1"/>
  <c r="CX127" i="14"/>
  <c r="DG127" i="14" s="1"/>
  <c r="CX119" i="14"/>
  <c r="DG119" i="14" s="1"/>
  <c r="BZ127" i="14"/>
  <c r="CI127" i="14" s="1"/>
  <c r="BZ119" i="14"/>
  <c r="CI119" i="14" s="1"/>
  <c r="BB115" i="14"/>
  <c r="BK115" i="14" s="1"/>
  <c r="BB123" i="14"/>
  <c r="BK123" i="14" s="1"/>
  <c r="AD115" i="14"/>
  <c r="AM115" i="14" s="1"/>
  <c r="AD123" i="14"/>
  <c r="AM123" i="14" s="1"/>
  <c r="F115" i="14"/>
  <c r="O115" i="14" s="1"/>
  <c r="F123" i="14"/>
  <c r="O123" i="14" s="1"/>
  <c r="BB116" i="13"/>
  <c r="BK116" i="13" s="1"/>
  <c r="BB124" i="13"/>
  <c r="BK124" i="13" s="1"/>
  <c r="BZ116" i="13"/>
  <c r="CI116" i="13" s="1"/>
  <c r="BZ124" i="13"/>
  <c r="CI124" i="13" s="1"/>
  <c r="CX116" i="13"/>
  <c r="DG116" i="13" s="1"/>
  <c r="CX124" i="13"/>
  <c r="DG124" i="13" s="1"/>
  <c r="AD119" i="13"/>
  <c r="AM119" i="13" s="1"/>
  <c r="AD127" i="13"/>
  <c r="AM127" i="13" s="1"/>
  <c r="F119" i="13"/>
  <c r="O119" i="13" s="1"/>
  <c r="F127" i="13"/>
  <c r="O127" i="13" s="1"/>
  <c r="CT121" i="16"/>
  <c r="DC121" i="16" s="1"/>
  <c r="BW121" i="16"/>
  <c r="CF121" i="16" s="1"/>
  <c r="AZ121" i="16"/>
  <c r="BI121" i="16" s="1"/>
  <c r="AC121" i="16"/>
  <c r="AL121" i="16" s="1"/>
  <c r="F121" i="16"/>
  <c r="O121" i="16" s="1"/>
  <c r="CX121" i="15"/>
  <c r="DG121" i="15" s="1"/>
  <c r="BZ121" i="15"/>
  <c r="CI121" i="15" s="1"/>
  <c r="BB121" i="15"/>
  <c r="BK121" i="15" s="1"/>
  <c r="AD121" i="15"/>
  <c r="AM121" i="15" s="1"/>
  <c r="F121" i="15"/>
  <c r="O121" i="15" s="1"/>
  <c r="CX121" i="14"/>
  <c r="DG121" i="14" s="1"/>
  <c r="BZ121" i="14"/>
  <c r="CI121" i="14" s="1"/>
  <c r="BB121" i="14"/>
  <c r="BK121" i="14" s="1"/>
  <c r="AD121" i="14"/>
  <c r="AM121" i="14" s="1"/>
  <c r="F121" i="14"/>
  <c r="O121" i="14" s="1"/>
  <c r="BB122" i="13"/>
  <c r="BK122" i="13" s="1"/>
  <c r="BZ122" i="13"/>
  <c r="CI122" i="13" s="1"/>
  <c r="CX122" i="13"/>
  <c r="DG122" i="13" s="1"/>
  <c r="AD117" i="13"/>
  <c r="AM117" i="13" s="1"/>
  <c r="F117" i="13"/>
  <c r="O117" i="13" s="1"/>
  <c r="CT117" i="16"/>
  <c r="DC117" i="16" s="1"/>
  <c r="BW117" i="16"/>
  <c r="CF117" i="16" s="1"/>
  <c r="AZ117" i="16"/>
  <c r="BI117" i="16" s="1"/>
  <c r="AC117" i="16"/>
  <c r="AL117" i="16" s="1"/>
  <c r="F117" i="16"/>
  <c r="O117" i="16" s="1"/>
  <c r="CX117" i="15"/>
  <c r="DG117" i="15" s="1"/>
  <c r="BZ117" i="15"/>
  <c r="CI117" i="15" s="1"/>
  <c r="BB117" i="15"/>
  <c r="BK117" i="15" s="1"/>
  <c r="AD117" i="15"/>
  <c r="AM117" i="15" s="1"/>
  <c r="F117" i="15"/>
  <c r="O117" i="15" s="1"/>
  <c r="CT113" i="16"/>
  <c r="DC113" i="16" s="1"/>
  <c r="BW113" i="16"/>
  <c r="CF113" i="16" s="1"/>
  <c r="AZ113" i="16"/>
  <c r="BI113" i="16" s="1"/>
  <c r="AC113" i="16"/>
  <c r="AL113" i="16" s="1"/>
  <c r="F113" i="16"/>
  <c r="O113" i="16" s="1"/>
  <c r="CX113" i="15"/>
  <c r="DG113" i="15" s="1"/>
  <c r="BZ113" i="15"/>
  <c r="CI113" i="15" s="1"/>
  <c r="BB113" i="15"/>
  <c r="BK113" i="15" s="1"/>
  <c r="AD113" i="15"/>
  <c r="AM113" i="15" s="1"/>
  <c r="F113" i="15"/>
  <c r="O113" i="15" s="1"/>
  <c r="CX113" i="14"/>
  <c r="DG113" i="14" s="1"/>
  <c r="BZ113" i="14"/>
  <c r="CI113" i="14" s="1"/>
  <c r="BB113" i="14"/>
  <c r="BK113" i="14" s="1"/>
  <c r="AD113" i="14"/>
  <c r="AM113" i="14" s="1"/>
  <c r="F113" i="14"/>
  <c r="O113" i="14" s="1"/>
  <c r="BB114" i="13"/>
  <c r="BK114" i="13" s="1"/>
  <c r="BZ114" i="13"/>
  <c r="CI114" i="13" s="1"/>
  <c r="CX114" i="13"/>
  <c r="DG114" i="13" s="1"/>
  <c r="AD125" i="13"/>
  <c r="AM125" i="13" s="1"/>
  <c r="F125" i="13"/>
  <c r="O125" i="13" s="1"/>
  <c r="BW125" i="16"/>
  <c r="CF125" i="16" s="1"/>
  <c r="AZ125" i="16"/>
  <c r="BI125" i="16" s="1"/>
  <c r="AC125" i="16"/>
  <c r="AL125" i="16" s="1"/>
  <c r="F125" i="16"/>
  <c r="O125" i="16" s="1"/>
  <c r="CX125" i="15"/>
  <c r="DG125" i="15" s="1"/>
  <c r="F125" i="15"/>
  <c r="O125" i="15" s="1"/>
  <c r="BZ117" i="14"/>
  <c r="CI117" i="14" s="1"/>
  <c r="AD125" i="14"/>
  <c r="AM125" i="14" s="1"/>
  <c r="BZ126" i="13"/>
  <c r="CI126" i="13" s="1"/>
  <c r="AD121" i="13"/>
  <c r="AM121" i="13" s="1"/>
  <c r="BZ125" i="15"/>
  <c r="CI125" i="15" s="1"/>
  <c r="CX125" i="14"/>
  <c r="DG125" i="14" s="1"/>
  <c r="BB117" i="14"/>
  <c r="BK117" i="14" s="1"/>
  <c r="F117" i="14"/>
  <c r="O117" i="14" s="1"/>
  <c r="BB118" i="13"/>
  <c r="BK118" i="13" s="1"/>
  <c r="CX118" i="13"/>
  <c r="DG118" i="13" s="1"/>
  <c r="AD113" i="13"/>
  <c r="AM113" i="13" s="1"/>
  <c r="BB125" i="15"/>
  <c r="BK125" i="15" s="1"/>
  <c r="CX117" i="14"/>
  <c r="DG117" i="14" s="1"/>
  <c r="BB125" i="14"/>
  <c r="BK125" i="14" s="1"/>
  <c r="F125" i="14"/>
  <c r="O125" i="14" s="1"/>
  <c r="BB126" i="13"/>
  <c r="BK126" i="13" s="1"/>
  <c r="CX126" i="13"/>
  <c r="DG126" i="13" s="1"/>
  <c r="F121" i="13"/>
  <c r="O121" i="13" s="1"/>
  <c r="AD125" i="15"/>
  <c r="AM125" i="15" s="1"/>
  <c r="BZ125" i="14"/>
  <c r="CI125" i="14" s="1"/>
  <c r="AD117" i="14"/>
  <c r="AM117" i="14" s="1"/>
  <c r="BZ118" i="13"/>
  <c r="CI118" i="13" s="1"/>
  <c r="F113" i="13"/>
  <c r="O113" i="13" s="1"/>
  <c r="AW63" i="16"/>
  <c r="V14" i="8"/>
  <c r="AF16" i="2"/>
  <c r="W14" i="8" s="1"/>
  <c r="K18" i="2"/>
  <c r="Q17" i="8" s="1"/>
  <c r="R18" i="2"/>
  <c r="S17" i="8" s="1"/>
  <c r="Q20" i="2"/>
  <c r="Q22" i="2" s="1"/>
  <c r="Q26" i="2"/>
  <c r="R26" i="2" s="1"/>
  <c r="Q29" i="2"/>
  <c r="X16" i="2"/>
  <c r="AE20" i="2"/>
  <c r="X20" i="2"/>
  <c r="J23" i="2"/>
  <c r="J42" i="2" s="1"/>
  <c r="Q23" i="2"/>
  <c r="R23" i="2" s="1"/>
  <c r="Q24" i="2"/>
  <c r="AN78" i="14" l="1"/>
  <c r="AS78" i="14" s="1"/>
  <c r="AR78" i="14"/>
  <c r="N78" i="15"/>
  <c r="S78" i="15" s="1"/>
  <c r="R78" i="15"/>
  <c r="N71" i="13"/>
  <c r="S71" i="13" s="1"/>
  <c r="R71" i="13"/>
  <c r="AN76" i="16"/>
  <c r="AS76" i="16" s="1"/>
  <c r="AR76" i="16"/>
  <c r="CO76" i="14"/>
  <c r="CT76" i="14" s="1"/>
  <c r="CR76" i="14"/>
  <c r="N73" i="14"/>
  <c r="S73" i="14" s="1"/>
  <c r="R73" i="14"/>
  <c r="BO76" i="14"/>
  <c r="BT76" i="14" s="1"/>
  <c r="BR76" i="14"/>
  <c r="CN76" i="16"/>
  <c r="CS76" i="16" s="1"/>
  <c r="CR76" i="16"/>
  <c r="DN78" i="16"/>
  <c r="DS78" i="16" s="1"/>
  <c r="DR78" i="16"/>
  <c r="AO78" i="16"/>
  <c r="AT78" i="16" s="1"/>
  <c r="AR78" i="16"/>
  <c r="BN73" i="14"/>
  <c r="BS73" i="14" s="1"/>
  <c r="BR73" i="14"/>
  <c r="BN71" i="14"/>
  <c r="BS71" i="14" s="1"/>
  <c r="BR71" i="14"/>
  <c r="AO76" i="13"/>
  <c r="AT76" i="13" s="1"/>
  <c r="AR76" i="13"/>
  <c r="CO63" i="13"/>
  <c r="CT63" i="13" s="1"/>
  <c r="CR63" i="13"/>
  <c r="BN78" i="14"/>
  <c r="BS78" i="14" s="1"/>
  <c r="BR78" i="14"/>
  <c r="AN73" i="13"/>
  <c r="AS73" i="13" s="1"/>
  <c r="AR73" i="13"/>
  <c r="CN73" i="14"/>
  <c r="CS73" i="14" s="1"/>
  <c r="CR73" i="14"/>
  <c r="BN71" i="13"/>
  <c r="BS71" i="13" s="1"/>
  <c r="BR71" i="13"/>
  <c r="N76" i="15"/>
  <c r="S76" i="15" s="1"/>
  <c r="R76" i="15"/>
  <c r="CN76" i="14"/>
  <c r="CS76" i="14" s="1"/>
  <c r="N73" i="15"/>
  <c r="S73" i="15" s="1"/>
  <c r="R73" i="15"/>
  <c r="N71" i="16"/>
  <c r="S71" i="16" s="1"/>
  <c r="R71" i="16"/>
  <c r="DN71" i="16"/>
  <c r="DS71" i="16" s="1"/>
  <c r="DR71" i="16"/>
  <c r="DN76" i="14"/>
  <c r="DS76" i="14" s="1"/>
  <c r="DR76" i="14"/>
  <c r="BO78" i="16"/>
  <c r="BT78" i="16" s="1"/>
  <c r="BR78" i="16"/>
  <c r="DO73" i="14"/>
  <c r="DT73" i="14" s="1"/>
  <c r="DR73" i="14"/>
  <c r="DO71" i="14"/>
  <c r="DT71" i="14" s="1"/>
  <c r="DR71" i="14"/>
  <c r="DN73" i="16"/>
  <c r="DS73" i="16" s="1"/>
  <c r="DR73" i="16"/>
  <c r="N78" i="16"/>
  <c r="S78" i="16" s="1"/>
  <c r="R78" i="16"/>
  <c r="AN73" i="16"/>
  <c r="AS73" i="16" s="1"/>
  <c r="AR73" i="16"/>
  <c r="N76" i="16"/>
  <c r="S76" i="16" s="1"/>
  <c r="R76" i="16"/>
  <c r="AO71" i="16"/>
  <c r="AT71" i="16" s="1"/>
  <c r="AR71" i="16"/>
  <c r="BN71" i="16"/>
  <c r="BS71" i="16" s="1"/>
  <c r="BR71" i="16"/>
  <c r="N78" i="14"/>
  <c r="S78" i="14" s="1"/>
  <c r="R78" i="14"/>
  <c r="N76" i="13"/>
  <c r="S76" i="13" s="1"/>
  <c r="R76" i="13"/>
  <c r="N76" i="14"/>
  <c r="S76" i="14" s="1"/>
  <c r="R76" i="14"/>
  <c r="O63" i="15"/>
  <c r="T63" i="15" s="1"/>
  <c r="W63" i="15"/>
  <c r="W64" i="15" s="1"/>
  <c r="W65" i="15" s="1"/>
  <c r="W66" i="15" s="1"/>
  <c r="W67" i="15" s="1"/>
  <c r="W68" i="15" s="1"/>
  <c r="W69" i="15" s="1"/>
  <c r="W70" i="15" s="1"/>
  <c r="W71" i="15" s="1"/>
  <c r="W72" i="15" s="1"/>
  <c r="CN78" i="13"/>
  <c r="CS78" i="13" s="1"/>
  <c r="DO78" i="16"/>
  <c r="DT78" i="16" s="1"/>
  <c r="O71" i="14"/>
  <c r="T71" i="14" s="1"/>
  <c r="N71" i="14"/>
  <c r="S71" i="14" s="1"/>
  <c r="O73" i="13"/>
  <c r="T73" i="13" s="1"/>
  <c r="N73" i="13"/>
  <c r="S73" i="13" s="1"/>
  <c r="BM71" i="15"/>
  <c r="BR71" i="15" s="1"/>
  <c r="K156" i="9"/>
  <c r="P156" i="9" s="1"/>
  <c r="CM76" i="15"/>
  <c r="CR76" i="15" s="1"/>
  <c r="J158" i="9"/>
  <c r="O158" i="9" s="1"/>
  <c r="K153" i="9"/>
  <c r="P153" i="9" s="1"/>
  <c r="CM63" i="15"/>
  <c r="N143" i="9"/>
  <c r="AK163" i="15"/>
  <c r="AK165" i="15" s="1"/>
  <c r="AK167" i="15" s="1"/>
  <c r="AK164" i="15"/>
  <c r="D33" i="12" s="1"/>
  <c r="AK164" i="16"/>
  <c r="D40" i="12" s="1"/>
  <c r="AK163" i="16"/>
  <c r="CN63" i="14"/>
  <c r="CS63" i="14" s="1"/>
  <c r="CW63" i="14"/>
  <c r="CW64" i="14" s="1"/>
  <c r="CW65" i="14" s="1"/>
  <c r="CW66" i="14" s="1"/>
  <c r="CW67" i="14" s="1"/>
  <c r="CW68" i="14" s="1"/>
  <c r="CW69" i="14" s="1"/>
  <c r="CW70" i="14" s="1"/>
  <c r="CW71" i="14" s="1"/>
  <c r="CW72" i="14" s="1"/>
  <c r="BW63" i="13"/>
  <c r="BW64" i="13" s="1"/>
  <c r="BW65" i="13" s="1"/>
  <c r="BW66" i="13" s="1"/>
  <c r="BW67" i="13" s="1"/>
  <c r="BW68" i="13" s="1"/>
  <c r="BW69" i="13" s="1"/>
  <c r="BW70" i="13" s="1"/>
  <c r="CN63" i="16"/>
  <c r="CS63" i="16" s="1"/>
  <c r="CW63" i="16"/>
  <c r="CW64" i="16" s="1"/>
  <c r="CW65" i="16" s="1"/>
  <c r="CW66" i="16" s="1"/>
  <c r="CW67" i="16" s="1"/>
  <c r="CW68" i="16" s="1"/>
  <c r="CW69" i="16" s="1"/>
  <c r="CW70" i="16" s="1"/>
  <c r="CW71" i="16" s="1"/>
  <c r="CW72" i="16" s="1"/>
  <c r="CW73" i="16" s="1"/>
  <c r="CW74" i="16" s="1"/>
  <c r="CW75" i="16" s="1"/>
  <c r="CO76" i="16"/>
  <c r="CT76" i="16" s="1"/>
  <c r="W63" i="14"/>
  <c r="W64" i="14" s="1"/>
  <c r="W65" i="14" s="1"/>
  <c r="W66" i="14" s="1"/>
  <c r="W67" i="14" s="1"/>
  <c r="W68" i="14" s="1"/>
  <c r="W69" i="14" s="1"/>
  <c r="W70" i="14" s="1"/>
  <c r="W71" i="14" s="1"/>
  <c r="W72" i="14" s="1"/>
  <c r="AW63" i="13"/>
  <c r="AW64" i="13" s="1"/>
  <c r="AW65" i="13" s="1"/>
  <c r="AW66" i="13" s="1"/>
  <c r="AW67" i="13" s="1"/>
  <c r="AW68" i="13" s="1"/>
  <c r="AW69" i="13" s="1"/>
  <c r="AW70" i="13" s="1"/>
  <c r="AW71" i="13" s="1"/>
  <c r="AW72" i="13" s="1"/>
  <c r="DW63" i="13"/>
  <c r="DW64" i="13" s="1"/>
  <c r="DW65" i="13" s="1"/>
  <c r="DW66" i="13" s="1"/>
  <c r="DW67" i="13" s="1"/>
  <c r="DW68" i="13" s="1"/>
  <c r="DW69" i="13" s="1"/>
  <c r="DW70" i="13" s="1"/>
  <c r="DW71" i="13" s="1"/>
  <c r="DW72" i="13" s="1"/>
  <c r="DW73" i="13" s="1"/>
  <c r="DW74" i="13" s="1"/>
  <c r="DW75" i="13" s="1"/>
  <c r="DW76" i="13" s="1"/>
  <c r="DW77" i="13" s="1"/>
  <c r="DW78" i="13" s="1"/>
  <c r="V162" i="13" s="1"/>
  <c r="V163" i="13" s="1"/>
  <c r="V165" i="13" s="1"/>
  <c r="V167" i="13" s="1"/>
  <c r="CW63" i="13"/>
  <c r="CW64" i="13" s="1"/>
  <c r="CW65" i="13" s="1"/>
  <c r="CW66" i="13" s="1"/>
  <c r="CW67" i="13" s="1"/>
  <c r="CW68" i="13" s="1"/>
  <c r="CW69" i="13" s="1"/>
  <c r="CW70" i="13" s="1"/>
  <c r="CW71" i="13" s="1"/>
  <c r="CW72" i="13" s="1"/>
  <c r="CW73" i="13" s="1"/>
  <c r="CW74" i="13" s="1"/>
  <c r="CW75" i="13" s="1"/>
  <c r="CW76" i="13" s="1"/>
  <c r="CW77" i="13" s="1"/>
  <c r="CW78" i="13" s="1"/>
  <c r="U162" i="13" s="1"/>
  <c r="U163" i="13" s="1"/>
  <c r="U165" i="13" s="1"/>
  <c r="U167" i="13" s="1"/>
  <c r="AW63" i="14"/>
  <c r="AW64" i="14" s="1"/>
  <c r="AW65" i="14" s="1"/>
  <c r="AW66" i="14" s="1"/>
  <c r="AW67" i="14" s="1"/>
  <c r="AW68" i="14" s="1"/>
  <c r="AW69" i="14" s="1"/>
  <c r="AW70" i="14" s="1"/>
  <c r="AW71" i="14" s="1"/>
  <c r="AW72" i="14" s="1"/>
  <c r="AW73" i="14" s="1"/>
  <c r="AW74" i="14" s="1"/>
  <c r="AW75" i="14" s="1"/>
  <c r="AW76" i="14" s="1"/>
  <c r="AW77" i="14" s="1"/>
  <c r="BN63" i="16"/>
  <c r="BS63" i="16" s="1"/>
  <c r="BW63" i="16"/>
  <c r="BW64" i="16" s="1"/>
  <c r="BW65" i="16" s="1"/>
  <c r="BW66" i="16" s="1"/>
  <c r="BW67" i="16" s="1"/>
  <c r="BW68" i="16" s="1"/>
  <c r="BW69" i="16" s="1"/>
  <c r="BW70" i="16" s="1"/>
  <c r="AX63" i="16"/>
  <c r="AX64" i="16" s="1"/>
  <c r="AX65" i="16" s="1"/>
  <c r="AX66" i="16" s="1"/>
  <c r="AX67" i="16" s="1"/>
  <c r="AX68" i="16" s="1"/>
  <c r="AX69" i="16" s="1"/>
  <c r="AX70" i="16" s="1"/>
  <c r="DO63" i="16"/>
  <c r="DT63" i="16" s="1"/>
  <c r="DW63" i="16"/>
  <c r="DW64" i="16" s="1"/>
  <c r="DW65" i="16" s="1"/>
  <c r="DW66" i="16" s="1"/>
  <c r="DW67" i="16" s="1"/>
  <c r="DW68" i="16" s="1"/>
  <c r="DW69" i="16" s="1"/>
  <c r="DW70" i="16" s="1"/>
  <c r="DN63" i="14"/>
  <c r="DS63" i="14" s="1"/>
  <c r="DW63" i="14"/>
  <c r="DW64" i="14" s="1"/>
  <c r="DW65" i="14" s="1"/>
  <c r="DW66" i="14" s="1"/>
  <c r="DW67" i="14" s="1"/>
  <c r="DW68" i="14" s="1"/>
  <c r="DW69" i="14" s="1"/>
  <c r="DW70" i="14" s="1"/>
  <c r="W63" i="13"/>
  <c r="W64" i="13" s="1"/>
  <c r="W65" i="13" s="1"/>
  <c r="W66" i="13" s="1"/>
  <c r="W67" i="13" s="1"/>
  <c r="W68" i="13" s="1"/>
  <c r="W69" i="13" s="1"/>
  <c r="W70" i="13" s="1"/>
  <c r="CO63" i="14"/>
  <c r="CT63" i="14" s="1"/>
  <c r="BN63" i="14"/>
  <c r="BS63" i="14" s="1"/>
  <c r="BW63" i="14"/>
  <c r="BW64" i="14" s="1"/>
  <c r="BW65" i="14" s="1"/>
  <c r="BW66" i="14" s="1"/>
  <c r="BW67" i="14" s="1"/>
  <c r="BW68" i="14" s="1"/>
  <c r="BW69" i="14" s="1"/>
  <c r="BW70" i="14" s="1"/>
  <c r="N63" i="16"/>
  <c r="S63" i="16" s="1"/>
  <c r="W63" i="16"/>
  <c r="W64" i="16" s="1"/>
  <c r="W65" i="16" s="1"/>
  <c r="W66" i="16" s="1"/>
  <c r="W67" i="16" s="1"/>
  <c r="W68" i="16" s="1"/>
  <c r="W69" i="16" s="1"/>
  <c r="W70" i="16" s="1"/>
  <c r="AJ164" i="16"/>
  <c r="H40" i="12" s="1"/>
  <c r="AJ163" i="16"/>
  <c r="AG164" i="15"/>
  <c r="AG163" i="15"/>
  <c r="AG165" i="15" s="1"/>
  <c r="AG167" i="15" s="1"/>
  <c r="AI163" i="14"/>
  <c r="AI165" i="14" s="1"/>
  <c r="AI167" i="14" s="1"/>
  <c r="AI164" i="14"/>
  <c r="AJ163" i="15"/>
  <c r="AJ165" i="15" s="1"/>
  <c r="AJ167" i="15" s="1"/>
  <c r="AJ164" i="15"/>
  <c r="AG164" i="13"/>
  <c r="AG163" i="13"/>
  <c r="AG165" i="13" s="1"/>
  <c r="AG167" i="13" s="1"/>
  <c r="AI163" i="13"/>
  <c r="AI165" i="13" s="1"/>
  <c r="AI167" i="13" s="1"/>
  <c r="AI164" i="13"/>
  <c r="AH163" i="16"/>
  <c r="AH164" i="16"/>
  <c r="G40" i="12" s="1"/>
  <c r="AI164" i="15"/>
  <c r="AI163" i="15"/>
  <c r="AI165" i="15" s="1"/>
  <c r="AI167" i="15" s="1"/>
  <c r="AH164" i="15"/>
  <c r="AH163" i="15"/>
  <c r="AH165" i="15" s="1"/>
  <c r="AH167" i="15" s="1"/>
  <c r="AK163" i="13"/>
  <c r="AK165" i="13" s="1"/>
  <c r="AK167" i="13" s="1"/>
  <c r="AK164" i="13"/>
  <c r="AK166" i="15"/>
  <c r="AK168" i="15" s="1"/>
  <c r="AG163" i="16"/>
  <c r="AG164" i="16"/>
  <c r="F40" i="12" s="1"/>
  <c r="AK164" i="14"/>
  <c r="AK163" i="14"/>
  <c r="AK165" i="14" s="1"/>
  <c r="AK167" i="14" s="1"/>
  <c r="AJ164" i="14"/>
  <c r="AJ163" i="14"/>
  <c r="AJ165" i="14" s="1"/>
  <c r="AJ167" i="14" s="1"/>
  <c r="AG164" i="14"/>
  <c r="AG163" i="14"/>
  <c r="AG165" i="14" s="1"/>
  <c r="AG167" i="14" s="1"/>
  <c r="AH164" i="13"/>
  <c r="AH163" i="13"/>
  <c r="AH165" i="13" s="1"/>
  <c r="AH167" i="13" s="1"/>
  <c r="AJ163" i="13"/>
  <c r="AJ165" i="13" s="1"/>
  <c r="AJ167" i="13" s="1"/>
  <c r="AJ164" i="13"/>
  <c r="AI164" i="16"/>
  <c r="E40" i="12" s="1"/>
  <c r="AI163" i="16"/>
  <c r="AH163" i="14"/>
  <c r="AH165" i="14" s="1"/>
  <c r="AH167" i="14" s="1"/>
  <c r="AH164" i="14"/>
  <c r="BM63" i="15"/>
  <c r="BM73" i="15"/>
  <c r="BR73" i="15" s="1"/>
  <c r="DN63" i="16"/>
  <c r="DS63" i="16" s="1"/>
  <c r="CO78" i="13"/>
  <c r="CT78" i="13" s="1"/>
  <c r="O63" i="16"/>
  <c r="T63" i="16" s="1"/>
  <c r="O76" i="13"/>
  <c r="T76" i="13" s="1"/>
  <c r="N63" i="15"/>
  <c r="S63" i="15" s="1"/>
  <c r="AN71" i="16"/>
  <c r="AS71" i="16" s="1"/>
  <c r="AN76" i="13"/>
  <c r="AS76" i="13" s="1"/>
  <c r="O76" i="14"/>
  <c r="T76" i="14" s="1"/>
  <c r="O76" i="15"/>
  <c r="T76" i="15" s="1"/>
  <c r="BN76" i="13"/>
  <c r="BS76" i="13" s="1"/>
  <c r="BO71" i="14"/>
  <c r="BT71" i="14" s="1"/>
  <c r="BN63" i="13"/>
  <c r="BS63" i="13" s="1"/>
  <c r="AO63" i="14"/>
  <c r="AT63" i="14" s="1"/>
  <c r="BO63" i="16"/>
  <c r="BT63" i="16" s="1"/>
  <c r="O73" i="14"/>
  <c r="T73" i="14" s="1"/>
  <c r="DO76" i="13"/>
  <c r="DT76" i="13" s="1"/>
  <c r="CN76" i="13"/>
  <c r="CS76" i="13" s="1"/>
  <c r="AN63" i="14"/>
  <c r="AS63" i="14" s="1"/>
  <c r="AN71" i="13"/>
  <c r="AS71" i="13" s="1"/>
  <c r="DN76" i="13"/>
  <c r="DS76" i="13" s="1"/>
  <c r="CO63" i="16"/>
  <c r="CT63" i="16" s="1"/>
  <c r="DN78" i="13"/>
  <c r="DS78" i="13" s="1"/>
  <c r="BM76" i="15"/>
  <c r="BR76" i="15" s="1"/>
  <c r="BN76" i="14"/>
  <c r="BS76" i="14" s="1"/>
  <c r="BO63" i="13"/>
  <c r="BT63" i="13" s="1"/>
  <c r="N71" i="15"/>
  <c r="S71" i="15" s="1"/>
  <c r="CO73" i="16"/>
  <c r="CT73" i="16" s="1"/>
  <c r="N73" i="16"/>
  <c r="S73" i="16" s="1"/>
  <c r="AO73" i="16"/>
  <c r="AT73" i="16" s="1"/>
  <c r="AO63" i="13"/>
  <c r="AT63" i="13" s="1"/>
  <c r="O63" i="14"/>
  <c r="T63" i="14" s="1"/>
  <c r="AO76" i="14"/>
  <c r="AT76" i="14" s="1"/>
  <c r="AN63" i="13"/>
  <c r="AS63" i="13" s="1"/>
  <c r="CN63" i="13"/>
  <c r="CS63" i="13" s="1"/>
  <c r="N63" i="14"/>
  <c r="S63" i="14" s="1"/>
  <c r="CN73" i="16"/>
  <c r="CS73" i="16" s="1"/>
  <c r="CO71" i="13"/>
  <c r="CT71" i="13" s="1"/>
  <c r="BN73" i="13"/>
  <c r="BS73" i="13" s="1"/>
  <c r="AN76" i="14"/>
  <c r="AS76" i="14" s="1"/>
  <c r="O76" i="16"/>
  <c r="T76" i="16" s="1"/>
  <c r="DO63" i="13"/>
  <c r="DT63" i="13" s="1"/>
  <c r="O63" i="13"/>
  <c r="T63" i="13" s="1"/>
  <c r="DO63" i="14"/>
  <c r="DT63" i="14" s="1"/>
  <c r="O78" i="14"/>
  <c r="T78" i="14" s="1"/>
  <c r="O71" i="15"/>
  <c r="T71" i="15" s="1"/>
  <c r="DN71" i="13"/>
  <c r="DS71" i="13" s="1"/>
  <c r="CN71" i="13"/>
  <c r="CS71" i="13" s="1"/>
  <c r="BO73" i="14"/>
  <c r="BT73" i="14" s="1"/>
  <c r="O73" i="16"/>
  <c r="T73" i="16" s="1"/>
  <c r="BO76" i="13"/>
  <c r="BT76" i="13" s="1"/>
  <c r="DN63" i="13"/>
  <c r="DS63" i="13" s="1"/>
  <c r="N63" i="13"/>
  <c r="S63" i="13" s="1"/>
  <c r="K143" i="9"/>
  <c r="P143" i="9" s="1"/>
  <c r="AM63" i="15"/>
  <c r="AR63" i="15" s="1"/>
  <c r="J143" i="9"/>
  <c r="O143" i="9" s="1"/>
  <c r="DM63" i="15"/>
  <c r="DR63" i="15" s="1"/>
  <c r="DO76" i="16"/>
  <c r="DT76" i="16" s="1"/>
  <c r="DN76" i="16"/>
  <c r="DS76" i="16" s="1"/>
  <c r="DO76" i="14"/>
  <c r="DT76" i="14" s="1"/>
  <c r="AO76" i="16"/>
  <c r="AT76" i="16" s="1"/>
  <c r="DM71" i="15"/>
  <c r="DR71" i="15" s="1"/>
  <c r="DM76" i="15"/>
  <c r="DR76" i="15" s="1"/>
  <c r="BO63" i="14"/>
  <c r="BT63" i="14" s="1"/>
  <c r="J151" i="9"/>
  <c r="O151" i="9" s="1"/>
  <c r="J156" i="9"/>
  <c r="O156" i="9" s="1"/>
  <c r="AM76" i="15"/>
  <c r="AR76" i="15" s="1"/>
  <c r="CO76" i="13"/>
  <c r="CT76" i="13" s="1"/>
  <c r="CO71" i="14"/>
  <c r="CT71" i="14" s="1"/>
  <c r="K151" i="9"/>
  <c r="P151" i="9" s="1"/>
  <c r="CN71" i="14"/>
  <c r="CS71" i="14" s="1"/>
  <c r="AM71" i="15"/>
  <c r="AR71" i="15" s="1"/>
  <c r="DO73" i="16"/>
  <c r="DT73" i="16" s="1"/>
  <c r="DN73" i="14"/>
  <c r="DS73" i="14" s="1"/>
  <c r="AO71" i="14"/>
  <c r="AT71" i="14" s="1"/>
  <c r="DO71" i="13"/>
  <c r="DT71" i="13" s="1"/>
  <c r="DN71" i="14"/>
  <c r="DS71" i="14" s="1"/>
  <c r="CM71" i="15"/>
  <c r="CR71" i="15" s="1"/>
  <c r="BO73" i="13"/>
  <c r="BT73" i="13" s="1"/>
  <c r="AN71" i="14"/>
  <c r="AS71" i="14" s="1"/>
  <c r="AN78" i="13"/>
  <c r="AS78" i="13" s="1"/>
  <c r="O71" i="16"/>
  <c r="T71" i="16" s="1"/>
  <c r="AO71" i="13"/>
  <c r="AT71" i="13" s="1"/>
  <c r="O71" i="13"/>
  <c r="T71" i="13" s="1"/>
  <c r="CN73" i="13"/>
  <c r="CS73" i="13" s="1"/>
  <c r="DO78" i="13"/>
  <c r="DT78" i="13" s="1"/>
  <c r="CO73" i="14"/>
  <c r="CT73" i="14" s="1"/>
  <c r="AO73" i="14"/>
  <c r="AT73" i="14" s="1"/>
  <c r="CM73" i="15"/>
  <c r="CR73" i="15" s="1"/>
  <c r="BO71" i="13"/>
  <c r="BT71" i="13" s="1"/>
  <c r="BO71" i="16"/>
  <c r="BT71" i="16" s="1"/>
  <c r="DO71" i="16"/>
  <c r="DT71" i="16" s="1"/>
  <c r="AN73" i="14"/>
  <c r="AS73" i="14" s="1"/>
  <c r="DM73" i="15"/>
  <c r="DR73" i="15" s="1"/>
  <c r="BM78" i="15"/>
  <c r="BR78" i="15" s="1"/>
  <c r="CO73" i="13"/>
  <c r="CT73" i="13" s="1"/>
  <c r="AM73" i="15"/>
  <c r="J153" i="9"/>
  <c r="O153" i="9" s="1"/>
  <c r="AO78" i="13"/>
  <c r="AT78" i="13" s="1"/>
  <c r="DO73" i="13"/>
  <c r="DT73" i="13" s="1"/>
  <c r="AO73" i="13"/>
  <c r="AT73" i="13" s="1"/>
  <c r="O78" i="13"/>
  <c r="T78" i="13" s="1"/>
  <c r="DN73" i="13"/>
  <c r="DS73" i="13" s="1"/>
  <c r="CM78" i="15"/>
  <c r="CR78" i="15" s="1"/>
  <c r="O73" i="15"/>
  <c r="T73" i="15" s="1"/>
  <c r="O78" i="15"/>
  <c r="T78" i="15" s="1"/>
  <c r="BN78" i="16"/>
  <c r="BS78" i="16" s="1"/>
  <c r="R24" i="2"/>
  <c r="Q42" i="2"/>
  <c r="N78" i="13"/>
  <c r="S78" i="13" s="1"/>
  <c r="J69" i="2"/>
  <c r="Y20" i="2"/>
  <c r="X22" i="2"/>
  <c r="AF20" i="2"/>
  <c r="AE22" i="2"/>
  <c r="AE42" i="2" s="1"/>
  <c r="R29" i="2"/>
  <c r="AM78" i="15"/>
  <c r="AR78" i="15" s="1"/>
  <c r="AN78" i="16"/>
  <c r="AS78" i="16" s="1"/>
  <c r="CN78" i="14"/>
  <c r="CS78" i="14" s="1"/>
  <c r="DN78" i="14"/>
  <c r="DS78" i="14" s="1"/>
  <c r="K158" i="9"/>
  <c r="P158" i="9" s="1"/>
  <c r="CO78" i="14"/>
  <c r="CT78" i="14" s="1"/>
  <c r="DO78" i="14"/>
  <c r="DT78" i="14" s="1"/>
  <c r="DM78" i="15"/>
  <c r="DR78" i="15" s="1"/>
  <c r="AO78" i="14"/>
  <c r="AT78" i="14" s="1"/>
  <c r="BO78" i="13"/>
  <c r="BT78" i="13" s="1"/>
  <c r="BN78" i="13"/>
  <c r="BS78" i="13" s="1"/>
  <c r="O78" i="16"/>
  <c r="T78" i="16" s="1"/>
  <c r="BO78" i="14"/>
  <c r="BT78" i="14" s="1"/>
  <c r="DN65" i="15"/>
  <c r="DS65" i="15" s="1"/>
  <c r="DO65" i="15"/>
  <c r="DT65" i="15" s="1"/>
  <c r="AN65" i="15"/>
  <c r="AS65" i="15" s="1"/>
  <c r="AO65" i="15"/>
  <c r="AT65" i="15" s="1"/>
  <c r="CN65" i="15"/>
  <c r="CS65" i="15" s="1"/>
  <c r="CO65" i="15"/>
  <c r="CT65" i="15" s="1"/>
  <c r="BN65" i="15"/>
  <c r="BS65" i="15" s="1"/>
  <c r="BO65" i="15"/>
  <c r="BT65" i="15" s="1"/>
  <c r="BN77" i="15"/>
  <c r="BS77" i="15" s="1"/>
  <c r="BO77" i="15"/>
  <c r="BT77" i="15" s="1"/>
  <c r="CN77" i="15"/>
  <c r="CS77" i="15" s="1"/>
  <c r="CO77" i="15"/>
  <c r="CT77" i="15" s="1"/>
  <c r="DN77" i="15"/>
  <c r="DS77" i="15" s="1"/>
  <c r="DO77" i="15"/>
  <c r="DT77" i="15" s="1"/>
  <c r="AN77" i="15"/>
  <c r="AS77" i="15" s="1"/>
  <c r="AO77" i="15"/>
  <c r="AT77" i="15" s="1"/>
  <c r="CN75" i="15"/>
  <c r="CS75" i="15" s="1"/>
  <c r="CO75" i="15"/>
  <c r="CT75" i="15" s="1"/>
  <c r="AN75" i="15"/>
  <c r="AS75" i="15" s="1"/>
  <c r="AO75" i="15"/>
  <c r="AT75" i="15" s="1"/>
  <c r="BN75" i="15"/>
  <c r="BS75" i="15" s="1"/>
  <c r="BO75" i="15"/>
  <c r="BT75" i="15" s="1"/>
  <c r="DN75" i="15"/>
  <c r="DS75" i="15" s="1"/>
  <c r="DO75" i="15"/>
  <c r="DT75" i="15" s="1"/>
  <c r="DN74" i="15"/>
  <c r="DS74" i="15" s="1"/>
  <c r="DO74" i="15"/>
  <c r="DT74" i="15" s="1"/>
  <c r="BN74" i="15"/>
  <c r="BS74" i="15" s="1"/>
  <c r="BO74" i="15"/>
  <c r="BT74" i="15" s="1"/>
  <c r="CN74" i="15"/>
  <c r="CS74" i="15" s="1"/>
  <c r="CO74" i="15"/>
  <c r="CT74" i="15" s="1"/>
  <c r="AN74" i="15"/>
  <c r="AS74" i="15" s="1"/>
  <c r="AO74" i="15"/>
  <c r="AT74" i="15" s="1"/>
  <c r="CN72" i="15"/>
  <c r="CS72" i="15" s="1"/>
  <c r="CO72" i="15"/>
  <c r="CT72" i="15" s="1"/>
  <c r="DN72" i="15"/>
  <c r="DS72" i="15" s="1"/>
  <c r="DO72" i="15"/>
  <c r="DT72" i="15" s="1"/>
  <c r="AN72" i="15"/>
  <c r="AS72" i="15" s="1"/>
  <c r="AO72" i="15"/>
  <c r="AT72" i="15" s="1"/>
  <c r="BN72" i="15"/>
  <c r="BS72" i="15" s="1"/>
  <c r="BO72" i="15"/>
  <c r="BT72" i="15" s="1"/>
  <c r="AN69" i="15"/>
  <c r="AS69" i="15" s="1"/>
  <c r="AO69" i="15"/>
  <c r="AT69" i="15" s="1"/>
  <c r="BN69" i="15"/>
  <c r="BS69" i="15" s="1"/>
  <c r="BO69" i="15"/>
  <c r="BT69" i="15" s="1"/>
  <c r="DN69" i="15"/>
  <c r="DS69" i="15" s="1"/>
  <c r="DO69" i="15"/>
  <c r="DT69" i="15" s="1"/>
  <c r="CN69" i="15"/>
  <c r="CS69" i="15" s="1"/>
  <c r="CO69" i="15"/>
  <c r="CT69" i="15" s="1"/>
  <c r="AN68" i="15"/>
  <c r="AS68" i="15" s="1"/>
  <c r="AO68" i="15"/>
  <c r="AT68" i="15" s="1"/>
  <c r="BN68" i="15"/>
  <c r="BS68" i="15" s="1"/>
  <c r="BO68" i="15"/>
  <c r="BT68" i="15" s="1"/>
  <c r="CN68" i="15"/>
  <c r="CS68" i="15" s="1"/>
  <c r="CO68" i="15"/>
  <c r="CT68" i="15" s="1"/>
  <c r="DN68" i="15"/>
  <c r="DS68" i="15" s="1"/>
  <c r="DO68" i="15"/>
  <c r="DT68" i="15" s="1"/>
  <c r="AN67" i="15"/>
  <c r="AS67" i="15" s="1"/>
  <c r="AO67" i="15"/>
  <c r="AT67" i="15" s="1"/>
  <c r="CN67" i="15"/>
  <c r="CS67" i="15" s="1"/>
  <c r="CO67" i="15"/>
  <c r="CT67" i="15" s="1"/>
  <c r="BN67" i="15"/>
  <c r="BS67" i="15" s="1"/>
  <c r="BO67" i="15"/>
  <c r="BT67" i="15" s="1"/>
  <c r="DN67" i="15"/>
  <c r="DS67" i="15" s="1"/>
  <c r="DO67" i="15"/>
  <c r="DT67" i="15" s="1"/>
  <c r="DN64" i="15"/>
  <c r="DS64" i="15" s="1"/>
  <c r="DO64" i="15"/>
  <c r="DT64" i="15" s="1"/>
  <c r="AN64" i="15"/>
  <c r="AS64" i="15" s="1"/>
  <c r="AO64" i="15"/>
  <c r="AT64" i="15" s="1"/>
  <c r="BN64" i="15"/>
  <c r="BS64" i="15" s="1"/>
  <c r="BO64" i="15"/>
  <c r="BT64" i="15" s="1"/>
  <c r="CN64" i="15"/>
  <c r="CS64" i="15" s="1"/>
  <c r="CO64" i="15"/>
  <c r="CT64" i="15" s="1"/>
  <c r="AW64" i="16"/>
  <c r="AW65" i="16" s="1"/>
  <c r="AW66" i="16" s="1"/>
  <c r="AW67" i="16" s="1"/>
  <c r="AW68" i="16" s="1"/>
  <c r="AW69" i="16" s="1"/>
  <c r="AW70" i="16" s="1"/>
  <c r="BC126" i="13"/>
  <c r="BI126" i="13" s="1"/>
  <c r="BN126" i="13" s="1"/>
  <c r="AE121" i="13"/>
  <c r="AK121" i="13" s="1"/>
  <c r="AP121" i="13" s="1"/>
  <c r="BA125" i="16"/>
  <c r="BG125" i="16" s="1"/>
  <c r="BL125" i="16" s="1"/>
  <c r="AR113" i="14"/>
  <c r="AE113" i="14"/>
  <c r="DL113" i="15"/>
  <c r="CY113" i="15"/>
  <c r="BC117" i="15"/>
  <c r="BI117" i="15" s="1"/>
  <c r="BN117" i="15" s="1"/>
  <c r="BC122" i="13"/>
  <c r="BI122" i="13" s="1"/>
  <c r="BN122" i="13" s="1"/>
  <c r="BC121" i="15"/>
  <c r="BI121" i="15" s="1"/>
  <c r="BN121" i="15" s="1"/>
  <c r="CY124" i="13"/>
  <c r="DE124" i="13" s="1"/>
  <c r="DJ124" i="13" s="1"/>
  <c r="AE123" i="14"/>
  <c r="AK123" i="14" s="1"/>
  <c r="AP123" i="14" s="1"/>
  <c r="G119" i="15"/>
  <c r="M119" i="15" s="1"/>
  <c r="R119" i="15" s="1"/>
  <c r="AD119" i="16"/>
  <c r="AJ119" i="16" s="1"/>
  <c r="AO119" i="16" s="1"/>
  <c r="CY120" i="13"/>
  <c r="DE120" i="13" s="1"/>
  <c r="DJ120" i="13" s="1"/>
  <c r="BC120" i="13"/>
  <c r="BI120" i="13" s="1"/>
  <c r="BN120" i="13" s="1"/>
  <c r="G123" i="15"/>
  <c r="M123" i="15" s="1"/>
  <c r="R123" i="15" s="1"/>
  <c r="BC123" i="15"/>
  <c r="BI123" i="15" s="1"/>
  <c r="BN123" i="15" s="1"/>
  <c r="BX123" i="16"/>
  <c r="CD123" i="16" s="1"/>
  <c r="CI123" i="16" s="1"/>
  <c r="G128" i="13"/>
  <c r="M128" i="13" s="1"/>
  <c r="R128" i="13" s="1"/>
  <c r="CN113" i="13"/>
  <c r="CA113" i="13"/>
  <c r="BP113" i="13"/>
  <c r="BC113" i="13"/>
  <c r="BC128" i="14"/>
  <c r="BI128" i="14" s="1"/>
  <c r="BN128" i="14" s="1"/>
  <c r="G114" i="15"/>
  <c r="M114" i="15" s="1"/>
  <c r="R114" i="15" s="1"/>
  <c r="AE114" i="15"/>
  <c r="AK114" i="15" s="1"/>
  <c r="AP114" i="15" s="1"/>
  <c r="CY114" i="15"/>
  <c r="DE114" i="15" s="1"/>
  <c r="DJ114" i="15" s="1"/>
  <c r="G114" i="16"/>
  <c r="M114" i="16" s="1"/>
  <c r="R114" i="16" s="1"/>
  <c r="AD114" i="16"/>
  <c r="AJ114" i="16" s="1"/>
  <c r="AO114" i="16" s="1"/>
  <c r="CU114" i="16"/>
  <c r="DA114" i="16" s="1"/>
  <c r="DF114" i="16" s="1"/>
  <c r="CU127" i="16"/>
  <c r="DA127" i="16" s="1"/>
  <c r="DF127" i="16" s="1"/>
  <c r="CY115" i="13"/>
  <c r="DE115" i="13" s="1"/>
  <c r="DJ115" i="13" s="1"/>
  <c r="CA115" i="13"/>
  <c r="CG115" i="13" s="1"/>
  <c r="CL115" i="13" s="1"/>
  <c r="AE114" i="14"/>
  <c r="AK114" i="14" s="1"/>
  <c r="AP114" i="14" s="1"/>
  <c r="BC114" i="14"/>
  <c r="BI114" i="14" s="1"/>
  <c r="BN114" i="14" s="1"/>
  <c r="G128" i="15"/>
  <c r="M128" i="15" s="1"/>
  <c r="R128" i="15" s="1"/>
  <c r="AE128" i="15"/>
  <c r="AK128" i="15" s="1"/>
  <c r="AP128" i="15" s="1"/>
  <c r="CY128" i="15"/>
  <c r="DE128" i="15" s="1"/>
  <c r="DJ128" i="15" s="1"/>
  <c r="G128" i="16"/>
  <c r="M128" i="16" s="1"/>
  <c r="R128" i="16" s="1"/>
  <c r="BX128" i="16"/>
  <c r="CD128" i="16" s="1"/>
  <c r="CI128" i="16" s="1"/>
  <c r="CA99" i="14"/>
  <c r="CG99" i="14" s="1"/>
  <c r="CL99" i="14" s="1"/>
  <c r="BC99" i="13"/>
  <c r="BI99" i="13" s="1"/>
  <c r="BN99" i="13" s="1"/>
  <c r="AE99" i="15"/>
  <c r="AK99" i="15" s="1"/>
  <c r="AP99" i="15" s="1"/>
  <c r="G91" i="14"/>
  <c r="M91" i="14" s="1"/>
  <c r="R91" i="14" s="1"/>
  <c r="CA91" i="15"/>
  <c r="CG91" i="15" s="1"/>
  <c r="CL91" i="15" s="1"/>
  <c r="G95" i="14"/>
  <c r="M95" i="14" s="1"/>
  <c r="R95" i="14" s="1"/>
  <c r="CA95" i="15"/>
  <c r="CG95" i="15" s="1"/>
  <c r="CL95" i="15" s="1"/>
  <c r="BA95" i="16"/>
  <c r="BG95" i="16" s="1"/>
  <c r="BL95" i="16" s="1"/>
  <c r="CY103" i="14"/>
  <c r="DE103" i="14" s="1"/>
  <c r="DJ103" i="14" s="1"/>
  <c r="CA103" i="15"/>
  <c r="CG103" i="15" s="1"/>
  <c r="CL103" i="15" s="1"/>
  <c r="BC101" i="13"/>
  <c r="BI101" i="13" s="1"/>
  <c r="BN101" i="13" s="1"/>
  <c r="AE101" i="14"/>
  <c r="AK101" i="14" s="1"/>
  <c r="AP101" i="14" s="1"/>
  <c r="CA101" i="14"/>
  <c r="CG101" i="14" s="1"/>
  <c r="CL101" i="14" s="1"/>
  <c r="BC101" i="15"/>
  <c r="BI101" i="15" s="1"/>
  <c r="BN101" i="15" s="1"/>
  <c r="AD101" i="16"/>
  <c r="AJ101" i="16" s="1"/>
  <c r="AO101" i="16" s="1"/>
  <c r="BX101" i="16"/>
  <c r="CD101" i="16" s="1"/>
  <c r="CI101" i="16" s="1"/>
  <c r="BC97" i="13"/>
  <c r="BI97" i="13" s="1"/>
  <c r="BN97" i="13" s="1"/>
  <c r="CY97" i="13"/>
  <c r="DE97" i="13" s="1"/>
  <c r="DJ97" i="13" s="1"/>
  <c r="AE97" i="14"/>
  <c r="AK97" i="14" s="1"/>
  <c r="AP97" i="14" s="1"/>
  <c r="CA97" i="14"/>
  <c r="CG97" i="14" s="1"/>
  <c r="CL97" i="14" s="1"/>
  <c r="G97" i="15"/>
  <c r="M97" i="15" s="1"/>
  <c r="R97" i="15" s="1"/>
  <c r="CY97" i="15"/>
  <c r="DE97" i="15" s="1"/>
  <c r="DJ97" i="15" s="1"/>
  <c r="AD97" i="16"/>
  <c r="AJ97" i="16" s="1"/>
  <c r="AO97" i="16" s="1"/>
  <c r="BX97" i="16"/>
  <c r="CD97" i="16" s="1"/>
  <c r="CI97" i="16" s="1"/>
  <c r="G99" i="13"/>
  <c r="M99" i="13" s="1"/>
  <c r="R99" i="13" s="1"/>
  <c r="AE92" i="13"/>
  <c r="AK92" i="13" s="1"/>
  <c r="AP92" i="13" s="1"/>
  <c r="BC92" i="13"/>
  <c r="BI92" i="13" s="1"/>
  <c r="BN92" i="13" s="1"/>
  <c r="CA92" i="13"/>
  <c r="CG92" i="13" s="1"/>
  <c r="CL92" i="13" s="1"/>
  <c r="CY92" i="13"/>
  <c r="DE92" i="13" s="1"/>
  <c r="DJ92" i="13" s="1"/>
  <c r="G92" i="14"/>
  <c r="M92" i="14" s="1"/>
  <c r="R92" i="14" s="1"/>
  <c r="AE92" i="14"/>
  <c r="AK92" i="14" s="1"/>
  <c r="AP92" i="14" s="1"/>
  <c r="BC92" i="14"/>
  <c r="BI92" i="14" s="1"/>
  <c r="BN92" i="14" s="1"/>
  <c r="CA92" i="14"/>
  <c r="CG92" i="14" s="1"/>
  <c r="CL92" i="14" s="1"/>
  <c r="CY92" i="14"/>
  <c r="DE92" i="14" s="1"/>
  <c r="DJ92" i="14" s="1"/>
  <c r="G92" i="15"/>
  <c r="M92" i="15" s="1"/>
  <c r="R92" i="15" s="1"/>
  <c r="AE92" i="15"/>
  <c r="AK92" i="15" s="1"/>
  <c r="AP92" i="15" s="1"/>
  <c r="BC92" i="15"/>
  <c r="BI92" i="15" s="1"/>
  <c r="BN92" i="15" s="1"/>
  <c r="CA92" i="15"/>
  <c r="CG92" i="15" s="1"/>
  <c r="CL92" i="15" s="1"/>
  <c r="CY92" i="15"/>
  <c r="DE92" i="15" s="1"/>
  <c r="DJ92" i="15" s="1"/>
  <c r="G92" i="16"/>
  <c r="M92" i="16" s="1"/>
  <c r="R92" i="16" s="1"/>
  <c r="AD92" i="16"/>
  <c r="AJ92" i="16" s="1"/>
  <c r="AO92" i="16" s="1"/>
  <c r="BA92" i="16"/>
  <c r="BG92" i="16" s="1"/>
  <c r="BL92" i="16" s="1"/>
  <c r="BX92" i="16"/>
  <c r="CD92" i="16" s="1"/>
  <c r="CI92" i="16" s="1"/>
  <c r="CU92" i="16"/>
  <c r="DA92" i="16" s="1"/>
  <c r="DF92" i="16" s="1"/>
  <c r="G97" i="13"/>
  <c r="M97" i="13" s="1"/>
  <c r="R97" i="13" s="1"/>
  <c r="AE94" i="13"/>
  <c r="AK94" i="13" s="1"/>
  <c r="AP94" i="13" s="1"/>
  <c r="BC94" i="13"/>
  <c r="BI94" i="13" s="1"/>
  <c r="BN94" i="13" s="1"/>
  <c r="CA94" i="13"/>
  <c r="CG94" i="13" s="1"/>
  <c r="CL94" i="13" s="1"/>
  <c r="CY94" i="13"/>
  <c r="DE94" i="13" s="1"/>
  <c r="DJ94" i="13" s="1"/>
  <c r="G94" i="14"/>
  <c r="M94" i="14" s="1"/>
  <c r="R94" i="14" s="1"/>
  <c r="AE94" i="14"/>
  <c r="AK94" i="14" s="1"/>
  <c r="AP94" i="14" s="1"/>
  <c r="BC94" i="14"/>
  <c r="BI94" i="14" s="1"/>
  <c r="BN94" i="14" s="1"/>
  <c r="CA94" i="14"/>
  <c r="CG94" i="14" s="1"/>
  <c r="CL94" i="14" s="1"/>
  <c r="CY94" i="14"/>
  <c r="DE94" i="14" s="1"/>
  <c r="DJ94" i="14" s="1"/>
  <c r="AE94" i="15"/>
  <c r="AK94" i="15" s="1"/>
  <c r="AP94" i="15" s="1"/>
  <c r="BC94" i="15"/>
  <c r="BI94" i="15" s="1"/>
  <c r="BN94" i="15" s="1"/>
  <c r="CA94" i="15"/>
  <c r="CG94" i="15" s="1"/>
  <c r="CL94" i="15" s="1"/>
  <c r="CY94" i="15"/>
  <c r="DE94" i="15" s="1"/>
  <c r="DJ94" i="15" s="1"/>
  <c r="G94" i="16"/>
  <c r="M94" i="16" s="1"/>
  <c r="R94" i="16" s="1"/>
  <c r="AD94" i="16"/>
  <c r="AJ94" i="16" s="1"/>
  <c r="AO94" i="16" s="1"/>
  <c r="BA94" i="16"/>
  <c r="BG94" i="16" s="1"/>
  <c r="BL94" i="16" s="1"/>
  <c r="BX94" i="16"/>
  <c r="CD94" i="16" s="1"/>
  <c r="CI94" i="16" s="1"/>
  <c r="CU94" i="16"/>
  <c r="DA94" i="16" s="1"/>
  <c r="DF94" i="16" s="1"/>
  <c r="T113" i="13"/>
  <c r="G113" i="13"/>
  <c r="AE125" i="15"/>
  <c r="AK125" i="15" s="1"/>
  <c r="AP125" i="15" s="1"/>
  <c r="G125" i="14"/>
  <c r="M125" i="14" s="1"/>
  <c r="R125" i="14" s="1"/>
  <c r="AR113" i="13"/>
  <c r="AE113" i="13"/>
  <c r="BC117" i="14"/>
  <c r="BI117" i="14" s="1"/>
  <c r="BN117" i="14" s="1"/>
  <c r="CA126" i="13"/>
  <c r="CG126" i="13" s="1"/>
  <c r="CL126" i="13" s="1"/>
  <c r="CY125" i="15"/>
  <c r="DE125" i="15" s="1"/>
  <c r="DJ125" i="15" s="1"/>
  <c r="BX125" i="16"/>
  <c r="CD125" i="16" s="1"/>
  <c r="CI125" i="16" s="1"/>
  <c r="CA114" i="13"/>
  <c r="CG114" i="13" s="1"/>
  <c r="CL114" i="13" s="1"/>
  <c r="BP113" i="14"/>
  <c r="BC113" i="14"/>
  <c r="AR113" i="15"/>
  <c r="AE113" i="15"/>
  <c r="T113" i="16"/>
  <c r="G113" i="16"/>
  <c r="DH113" i="16"/>
  <c r="CU113" i="16"/>
  <c r="CA117" i="15"/>
  <c r="CG117" i="15" s="1"/>
  <c r="CL117" i="15" s="1"/>
  <c r="BA117" i="16"/>
  <c r="BG117" i="16" s="1"/>
  <c r="BL117" i="16" s="1"/>
  <c r="AE117" i="13"/>
  <c r="AK117" i="13" s="1"/>
  <c r="AP117" i="13" s="1"/>
  <c r="G121" i="14"/>
  <c r="M121" i="14" s="1"/>
  <c r="R121" i="14" s="1"/>
  <c r="CY121" i="14"/>
  <c r="DE121" i="14" s="1"/>
  <c r="DJ121" i="14" s="1"/>
  <c r="CA121" i="15"/>
  <c r="CG121" i="15" s="1"/>
  <c r="CL121" i="15" s="1"/>
  <c r="BA121" i="16"/>
  <c r="BG121" i="16" s="1"/>
  <c r="BL121" i="16" s="1"/>
  <c r="G119" i="13"/>
  <c r="M119" i="13" s="1"/>
  <c r="R119" i="13" s="1"/>
  <c r="CY116" i="13"/>
  <c r="DE116" i="13" s="1"/>
  <c r="DJ116" i="13" s="1"/>
  <c r="BC116" i="13"/>
  <c r="BI116" i="13" s="1"/>
  <c r="BN116" i="13" s="1"/>
  <c r="AE115" i="14"/>
  <c r="AK115" i="14" s="1"/>
  <c r="AP115" i="14" s="1"/>
  <c r="CA127" i="14"/>
  <c r="CG127" i="14" s="1"/>
  <c r="CL127" i="14" s="1"/>
  <c r="G127" i="15"/>
  <c r="M127" i="15" s="1"/>
  <c r="R127" i="15" s="1"/>
  <c r="BC127" i="15"/>
  <c r="BI127" i="15" s="1"/>
  <c r="BN127" i="15" s="1"/>
  <c r="CY127" i="15"/>
  <c r="DE127" i="15" s="1"/>
  <c r="DJ127" i="15" s="1"/>
  <c r="AD127" i="16"/>
  <c r="AJ127" i="16" s="1"/>
  <c r="AO127" i="16" s="1"/>
  <c r="BX127" i="16"/>
  <c r="CD127" i="16" s="1"/>
  <c r="CI127" i="16" s="1"/>
  <c r="AE123" i="13"/>
  <c r="AK123" i="13" s="1"/>
  <c r="AP123" i="13" s="1"/>
  <c r="CA128" i="13"/>
  <c r="CG128" i="13" s="1"/>
  <c r="CL128" i="13" s="1"/>
  <c r="G127" i="14"/>
  <c r="M127" i="14" s="1"/>
  <c r="R127" i="14" s="1"/>
  <c r="BC127" i="14"/>
  <c r="BI127" i="14" s="1"/>
  <c r="BN127" i="14" s="1"/>
  <c r="CY115" i="14"/>
  <c r="DE115" i="14" s="1"/>
  <c r="DJ115" i="14" s="1"/>
  <c r="AE115" i="15"/>
  <c r="AK115" i="15" s="1"/>
  <c r="AP115" i="15" s="1"/>
  <c r="CA115" i="15"/>
  <c r="CG115" i="15" s="1"/>
  <c r="CL115" i="15" s="1"/>
  <c r="G115" i="16"/>
  <c r="M115" i="16" s="1"/>
  <c r="R115" i="16" s="1"/>
  <c r="BA115" i="16"/>
  <c r="BG115" i="16" s="1"/>
  <c r="BL115" i="16" s="1"/>
  <c r="CU115" i="16"/>
  <c r="DA115" i="16" s="1"/>
  <c r="DF115" i="16" s="1"/>
  <c r="G124" i="13"/>
  <c r="M124" i="13" s="1"/>
  <c r="R124" i="13" s="1"/>
  <c r="AE124" i="13"/>
  <c r="AK124" i="13" s="1"/>
  <c r="AP124" i="13" s="1"/>
  <c r="CY125" i="13"/>
  <c r="DE125" i="13" s="1"/>
  <c r="DJ125" i="13" s="1"/>
  <c r="CA125" i="13"/>
  <c r="CG125" i="13" s="1"/>
  <c r="CL125" i="13" s="1"/>
  <c r="BC125" i="13"/>
  <c r="BI125" i="13" s="1"/>
  <c r="BN125" i="13" s="1"/>
  <c r="G124" i="14"/>
  <c r="M124" i="14" s="1"/>
  <c r="R124" i="14" s="1"/>
  <c r="AE124" i="14"/>
  <c r="AK124" i="14" s="1"/>
  <c r="AP124" i="14" s="1"/>
  <c r="BC124" i="14"/>
  <c r="BI124" i="14" s="1"/>
  <c r="BN124" i="14" s="1"/>
  <c r="CA118" i="14"/>
  <c r="CG118" i="14" s="1"/>
  <c r="CL118" i="14" s="1"/>
  <c r="CY118" i="14"/>
  <c r="DE118" i="14" s="1"/>
  <c r="DJ118" i="14" s="1"/>
  <c r="G118" i="15"/>
  <c r="M118" i="15" s="1"/>
  <c r="R118" i="15" s="1"/>
  <c r="AE118" i="15"/>
  <c r="AK118" i="15" s="1"/>
  <c r="AP118" i="15" s="1"/>
  <c r="BC118" i="15"/>
  <c r="BI118" i="15" s="1"/>
  <c r="BN118" i="15" s="1"/>
  <c r="CA118" i="15"/>
  <c r="CG118" i="15" s="1"/>
  <c r="CL118" i="15" s="1"/>
  <c r="CY118" i="15"/>
  <c r="DE118" i="15" s="1"/>
  <c r="DJ118" i="15" s="1"/>
  <c r="G118" i="16"/>
  <c r="M118" i="16" s="1"/>
  <c r="R118" i="16" s="1"/>
  <c r="AD118" i="16"/>
  <c r="AJ118" i="16" s="1"/>
  <c r="AO118" i="16" s="1"/>
  <c r="BA118" i="16"/>
  <c r="BG118" i="16" s="1"/>
  <c r="BL118" i="16" s="1"/>
  <c r="BX118" i="16"/>
  <c r="CD118" i="16" s="1"/>
  <c r="CI118" i="16" s="1"/>
  <c r="CU118" i="16"/>
  <c r="DA118" i="16" s="1"/>
  <c r="DF118" i="16" s="1"/>
  <c r="G126" i="13"/>
  <c r="M126" i="13" s="1"/>
  <c r="R126" i="13" s="1"/>
  <c r="AE126" i="13"/>
  <c r="AK126" i="13" s="1"/>
  <c r="AP126" i="13" s="1"/>
  <c r="CY127" i="13"/>
  <c r="DE127" i="13" s="1"/>
  <c r="DJ127" i="13" s="1"/>
  <c r="CA127" i="13"/>
  <c r="CG127" i="13" s="1"/>
  <c r="CL127" i="13" s="1"/>
  <c r="BC127" i="13"/>
  <c r="BI127" i="13" s="1"/>
  <c r="BN127" i="13" s="1"/>
  <c r="G126" i="14"/>
  <c r="M126" i="14" s="1"/>
  <c r="R126" i="14" s="1"/>
  <c r="AE126" i="14"/>
  <c r="AK126" i="14" s="1"/>
  <c r="AP126" i="14" s="1"/>
  <c r="BC126" i="14"/>
  <c r="BI126" i="14" s="1"/>
  <c r="BN126" i="14" s="1"/>
  <c r="CA116" i="14"/>
  <c r="CG116" i="14" s="1"/>
  <c r="CL116" i="14" s="1"/>
  <c r="CY116" i="14"/>
  <c r="DE116" i="14" s="1"/>
  <c r="DJ116" i="14" s="1"/>
  <c r="G116" i="15"/>
  <c r="M116" i="15" s="1"/>
  <c r="R116" i="15" s="1"/>
  <c r="AE116" i="15"/>
  <c r="AK116" i="15" s="1"/>
  <c r="AP116" i="15" s="1"/>
  <c r="BC116" i="15"/>
  <c r="BI116" i="15" s="1"/>
  <c r="BN116" i="15" s="1"/>
  <c r="CA116" i="15"/>
  <c r="CG116" i="15" s="1"/>
  <c r="CL116" i="15" s="1"/>
  <c r="CY116" i="15"/>
  <c r="DE116" i="15" s="1"/>
  <c r="DJ116" i="15" s="1"/>
  <c r="G116" i="16"/>
  <c r="M116" i="16" s="1"/>
  <c r="R116" i="16" s="1"/>
  <c r="AD116" i="16"/>
  <c r="AJ116" i="16" s="1"/>
  <c r="AO116" i="16" s="1"/>
  <c r="BA116" i="16"/>
  <c r="BG116" i="16" s="1"/>
  <c r="BL116" i="16" s="1"/>
  <c r="BX116" i="16"/>
  <c r="CD116" i="16" s="1"/>
  <c r="CI116" i="16" s="1"/>
  <c r="CU116" i="16"/>
  <c r="DA116" i="16" s="1"/>
  <c r="DF116" i="16" s="1"/>
  <c r="BC99" i="15"/>
  <c r="BI99" i="15" s="1"/>
  <c r="BN99" i="15" s="1"/>
  <c r="CY99" i="14"/>
  <c r="DE99" i="14" s="1"/>
  <c r="DJ99" i="14" s="1"/>
  <c r="AE99" i="14"/>
  <c r="AK99" i="14" s="1"/>
  <c r="AP99" i="14" s="1"/>
  <c r="G94" i="13"/>
  <c r="M94" i="13" s="1"/>
  <c r="R94" i="13" s="1"/>
  <c r="G99" i="16"/>
  <c r="M99" i="16" s="1"/>
  <c r="R99" i="16" s="1"/>
  <c r="BC91" i="13"/>
  <c r="BI91" i="13" s="1"/>
  <c r="BN91" i="13" s="1"/>
  <c r="AE91" i="14"/>
  <c r="AK91" i="14" s="1"/>
  <c r="AP91" i="14" s="1"/>
  <c r="G91" i="15"/>
  <c r="M91" i="15" s="1"/>
  <c r="R91" i="15" s="1"/>
  <c r="CY91" i="15"/>
  <c r="DE91" i="15" s="1"/>
  <c r="DJ91" i="15" s="1"/>
  <c r="BX91" i="16"/>
  <c r="CD91" i="16" s="1"/>
  <c r="CI91" i="16" s="1"/>
  <c r="BC95" i="13"/>
  <c r="BI95" i="13" s="1"/>
  <c r="BN95" i="13" s="1"/>
  <c r="AE95" i="14"/>
  <c r="AK95" i="14" s="1"/>
  <c r="AP95" i="14" s="1"/>
  <c r="G95" i="15"/>
  <c r="M95" i="15" s="1"/>
  <c r="R95" i="15" s="1"/>
  <c r="CY95" i="15"/>
  <c r="DE95" i="15" s="1"/>
  <c r="DJ95" i="15" s="1"/>
  <c r="BX95" i="16"/>
  <c r="CD95" i="16" s="1"/>
  <c r="CI95" i="16" s="1"/>
  <c r="BC103" i="13"/>
  <c r="BI103" i="13" s="1"/>
  <c r="BN103" i="13" s="1"/>
  <c r="AE103" i="14"/>
  <c r="AK103" i="14" s="1"/>
  <c r="AP103" i="14" s="1"/>
  <c r="G103" i="15"/>
  <c r="M103" i="15" s="1"/>
  <c r="R103" i="15" s="1"/>
  <c r="CY103" i="15"/>
  <c r="DE103" i="15" s="1"/>
  <c r="DJ103" i="15" s="1"/>
  <c r="BX103" i="16"/>
  <c r="CD103" i="16" s="1"/>
  <c r="CI103" i="16" s="1"/>
  <c r="AE93" i="13"/>
  <c r="AK93" i="13" s="1"/>
  <c r="AP93" i="13" s="1"/>
  <c r="CA93" i="13"/>
  <c r="CG93" i="13" s="1"/>
  <c r="CL93" i="13" s="1"/>
  <c r="G93" i="14"/>
  <c r="M93" i="14" s="1"/>
  <c r="R93" i="14" s="1"/>
  <c r="BC93" i="14"/>
  <c r="BI93" i="14" s="1"/>
  <c r="BN93" i="14" s="1"/>
  <c r="CY93" i="14"/>
  <c r="DE93" i="14" s="1"/>
  <c r="DJ93" i="14" s="1"/>
  <c r="AE93" i="15"/>
  <c r="AK93" i="15" s="1"/>
  <c r="AP93" i="15" s="1"/>
  <c r="CA93" i="15"/>
  <c r="CG93" i="15" s="1"/>
  <c r="CL93" i="15" s="1"/>
  <c r="G93" i="16"/>
  <c r="M93" i="16" s="1"/>
  <c r="R93" i="16" s="1"/>
  <c r="BA93" i="16"/>
  <c r="BG93" i="16" s="1"/>
  <c r="BL93" i="16" s="1"/>
  <c r="CU93" i="16"/>
  <c r="DA93" i="16" s="1"/>
  <c r="DF93" i="16" s="1"/>
  <c r="AE89" i="13"/>
  <c r="AK89" i="13" s="1"/>
  <c r="AP89" i="13" s="1"/>
  <c r="CA89" i="13"/>
  <c r="CG89" i="13" s="1"/>
  <c r="CL89" i="13" s="1"/>
  <c r="G89" i="14"/>
  <c r="M89" i="14" s="1"/>
  <c r="R89" i="14" s="1"/>
  <c r="BC89" i="14"/>
  <c r="BI89" i="14" s="1"/>
  <c r="BN89" i="14" s="1"/>
  <c r="CY89" i="14"/>
  <c r="DE89" i="14" s="1"/>
  <c r="DJ89" i="14" s="1"/>
  <c r="AE89" i="15"/>
  <c r="AK89" i="15" s="1"/>
  <c r="AP89" i="15" s="1"/>
  <c r="CA89" i="15"/>
  <c r="CG89" i="15" s="1"/>
  <c r="CL89" i="15" s="1"/>
  <c r="G89" i="16"/>
  <c r="M89" i="16" s="1"/>
  <c r="R89" i="16" s="1"/>
  <c r="BA89" i="16"/>
  <c r="BG89" i="16" s="1"/>
  <c r="BL89" i="16" s="1"/>
  <c r="CU89" i="16"/>
  <c r="DA89" i="16" s="1"/>
  <c r="DF89" i="16" s="1"/>
  <c r="G95" i="13"/>
  <c r="M95" i="13" s="1"/>
  <c r="R95" i="13" s="1"/>
  <c r="AE96" i="13"/>
  <c r="AK96" i="13" s="1"/>
  <c r="AP96" i="13" s="1"/>
  <c r="BC96" i="13"/>
  <c r="BI96" i="13" s="1"/>
  <c r="BN96" i="13" s="1"/>
  <c r="CA96" i="13"/>
  <c r="CG96" i="13" s="1"/>
  <c r="CL96" i="13" s="1"/>
  <c r="CY96" i="13"/>
  <c r="DE96" i="13" s="1"/>
  <c r="DJ96" i="13" s="1"/>
  <c r="G96" i="14"/>
  <c r="M96" i="14" s="1"/>
  <c r="R96" i="14" s="1"/>
  <c r="AE96" i="14"/>
  <c r="AK96" i="14" s="1"/>
  <c r="AP96" i="14" s="1"/>
  <c r="BC96" i="14"/>
  <c r="BI96" i="14" s="1"/>
  <c r="BN96" i="14" s="1"/>
  <c r="CA96" i="14"/>
  <c r="CG96" i="14" s="1"/>
  <c r="CL96" i="14" s="1"/>
  <c r="CY96" i="14"/>
  <c r="DE96" i="14" s="1"/>
  <c r="DJ96" i="14" s="1"/>
  <c r="G96" i="15"/>
  <c r="M96" i="15" s="1"/>
  <c r="R96" i="15" s="1"/>
  <c r="AE96" i="15"/>
  <c r="AK96" i="15" s="1"/>
  <c r="AP96" i="15" s="1"/>
  <c r="BC96" i="15"/>
  <c r="BI96" i="15" s="1"/>
  <c r="BN96" i="15" s="1"/>
  <c r="CA96" i="15"/>
  <c r="CG96" i="15" s="1"/>
  <c r="CL96" i="15" s="1"/>
  <c r="CY96" i="15"/>
  <c r="DE96" i="15" s="1"/>
  <c r="DJ96" i="15" s="1"/>
  <c r="G96" i="16"/>
  <c r="M96" i="16" s="1"/>
  <c r="R96" i="16" s="1"/>
  <c r="AD96" i="16"/>
  <c r="AJ96" i="16" s="1"/>
  <c r="AO96" i="16" s="1"/>
  <c r="BA96" i="16"/>
  <c r="BG96" i="16" s="1"/>
  <c r="BL96" i="16" s="1"/>
  <c r="BX96" i="16"/>
  <c r="CD96" i="16" s="1"/>
  <c r="CI96" i="16" s="1"/>
  <c r="CU96" i="16"/>
  <c r="DA96" i="16" s="1"/>
  <c r="DF96" i="16" s="1"/>
  <c r="G93" i="13"/>
  <c r="M93" i="13" s="1"/>
  <c r="R93" i="13" s="1"/>
  <c r="AE98" i="13"/>
  <c r="AK98" i="13" s="1"/>
  <c r="AP98" i="13" s="1"/>
  <c r="BC98" i="13"/>
  <c r="BI98" i="13" s="1"/>
  <c r="BN98" i="13" s="1"/>
  <c r="CA98" i="13"/>
  <c r="CG98" i="13" s="1"/>
  <c r="CL98" i="13" s="1"/>
  <c r="DE98" i="13"/>
  <c r="DJ98" i="13" s="1"/>
  <c r="G98" i="14"/>
  <c r="M98" i="14" s="1"/>
  <c r="R98" i="14" s="1"/>
  <c r="AE98" i="14"/>
  <c r="AK98" i="14" s="1"/>
  <c r="AP98" i="14" s="1"/>
  <c r="BC98" i="14"/>
  <c r="BI98" i="14" s="1"/>
  <c r="BN98" i="14" s="1"/>
  <c r="CA98" i="14"/>
  <c r="CG98" i="14" s="1"/>
  <c r="CL98" i="14" s="1"/>
  <c r="CY98" i="14"/>
  <c r="DE98" i="14" s="1"/>
  <c r="DJ98" i="14" s="1"/>
  <c r="G98" i="15"/>
  <c r="M98" i="15" s="1"/>
  <c r="R98" i="15" s="1"/>
  <c r="AE98" i="15"/>
  <c r="AK98" i="15" s="1"/>
  <c r="AP98" i="15" s="1"/>
  <c r="BC98" i="15"/>
  <c r="BI98" i="15" s="1"/>
  <c r="BN98" i="15" s="1"/>
  <c r="CA98" i="15"/>
  <c r="CG98" i="15" s="1"/>
  <c r="CL98" i="15" s="1"/>
  <c r="CY98" i="15"/>
  <c r="DE98" i="15" s="1"/>
  <c r="DJ98" i="15" s="1"/>
  <c r="G98" i="16"/>
  <c r="M98" i="16" s="1"/>
  <c r="R98" i="16" s="1"/>
  <c r="AD98" i="16"/>
  <c r="AJ98" i="16" s="1"/>
  <c r="AO98" i="16" s="1"/>
  <c r="BA98" i="16"/>
  <c r="BG98" i="16" s="1"/>
  <c r="BL98" i="16" s="1"/>
  <c r="BX98" i="16"/>
  <c r="CD98" i="16" s="1"/>
  <c r="CI98" i="16" s="1"/>
  <c r="CU98" i="16"/>
  <c r="DA98" i="16" s="1"/>
  <c r="DF98" i="16" s="1"/>
  <c r="G117" i="14"/>
  <c r="M117" i="14" s="1"/>
  <c r="R117" i="14" s="1"/>
  <c r="CY114" i="13"/>
  <c r="DE114" i="13" s="1"/>
  <c r="DJ114" i="13" s="1"/>
  <c r="CK113" i="16"/>
  <c r="CK114" i="16" s="1"/>
  <c r="CK115" i="16" s="1"/>
  <c r="BX113" i="16"/>
  <c r="G117" i="13"/>
  <c r="M117" i="13" s="1"/>
  <c r="R117" i="13" s="1"/>
  <c r="AD121" i="16"/>
  <c r="AJ121" i="16" s="1"/>
  <c r="AO121" i="16" s="1"/>
  <c r="BC124" i="13"/>
  <c r="BI124" i="13" s="1"/>
  <c r="BN124" i="13" s="1"/>
  <c r="BC119" i="15"/>
  <c r="BI119" i="15" s="1"/>
  <c r="BN119" i="15" s="1"/>
  <c r="G115" i="13"/>
  <c r="M115" i="13" s="1"/>
  <c r="R115" i="13" s="1"/>
  <c r="AE119" i="14"/>
  <c r="AK119" i="14" s="1"/>
  <c r="AP119" i="14" s="1"/>
  <c r="CY123" i="15"/>
  <c r="DE123" i="15" s="1"/>
  <c r="DJ123" i="15" s="1"/>
  <c r="AE128" i="13"/>
  <c r="AK128" i="13" s="1"/>
  <c r="AP128" i="13" s="1"/>
  <c r="G128" i="14"/>
  <c r="M128" i="14" s="1"/>
  <c r="R128" i="14" s="1"/>
  <c r="CY114" i="14"/>
  <c r="DE114" i="14" s="1"/>
  <c r="DJ114" i="14" s="1"/>
  <c r="BC114" i="15"/>
  <c r="BI114" i="15" s="1"/>
  <c r="BN114" i="15" s="1"/>
  <c r="BX114" i="16"/>
  <c r="CD114" i="16" s="1"/>
  <c r="CI114" i="16" s="1"/>
  <c r="AE114" i="13"/>
  <c r="AK114" i="13" s="1"/>
  <c r="AP114" i="13" s="1"/>
  <c r="G114" i="14"/>
  <c r="M114" i="14" s="1"/>
  <c r="R114" i="14" s="1"/>
  <c r="CY128" i="14"/>
  <c r="DE128" i="14" s="1"/>
  <c r="DJ128" i="14" s="1"/>
  <c r="BC128" i="15"/>
  <c r="BI128" i="15" s="1"/>
  <c r="BN128" i="15" s="1"/>
  <c r="BA128" i="16"/>
  <c r="BG128" i="16" s="1"/>
  <c r="BL128" i="16" s="1"/>
  <c r="BX99" i="16"/>
  <c r="CD99" i="16" s="1"/>
  <c r="CI99" i="16" s="1"/>
  <c r="CY91" i="14"/>
  <c r="DE91" i="14" s="1"/>
  <c r="DJ91" i="14" s="1"/>
  <c r="AE95" i="13"/>
  <c r="AK95" i="13" s="1"/>
  <c r="AP95" i="13" s="1"/>
  <c r="AE103" i="13"/>
  <c r="AK103" i="13" s="1"/>
  <c r="AP103" i="13" s="1"/>
  <c r="G92" i="13"/>
  <c r="M92" i="13" s="1"/>
  <c r="R92" i="13" s="1"/>
  <c r="CY101" i="15"/>
  <c r="DE101" i="15" s="1"/>
  <c r="DJ101" i="15" s="1"/>
  <c r="W13" i="8"/>
  <c r="V13" i="8"/>
  <c r="CA118" i="13"/>
  <c r="CG118" i="13" s="1"/>
  <c r="CL118" i="13" s="1"/>
  <c r="G121" i="13"/>
  <c r="M121" i="13" s="1"/>
  <c r="R121" i="13" s="1"/>
  <c r="BC125" i="14"/>
  <c r="BI125" i="14" s="1"/>
  <c r="BN125" i="14" s="1"/>
  <c r="CY118" i="13"/>
  <c r="DE118" i="13" s="1"/>
  <c r="DJ118" i="13" s="1"/>
  <c r="CY125" i="14"/>
  <c r="DE125" i="14" s="1"/>
  <c r="DJ125" i="14" s="1"/>
  <c r="AE125" i="14"/>
  <c r="AK125" i="14" s="1"/>
  <c r="AP125" i="14" s="1"/>
  <c r="G125" i="16"/>
  <c r="M125" i="16" s="1"/>
  <c r="R125" i="16" s="1"/>
  <c r="G125" i="13"/>
  <c r="M125" i="13" s="1"/>
  <c r="R125" i="13" s="1"/>
  <c r="BC114" i="13"/>
  <c r="BI114" i="13" s="1"/>
  <c r="BN114" i="13" s="1"/>
  <c r="CN113" i="14"/>
  <c r="CA113" i="14"/>
  <c r="BP113" i="15"/>
  <c r="BC113" i="15"/>
  <c r="AQ113" i="16"/>
  <c r="AQ114" i="16" s="1"/>
  <c r="AD113" i="16"/>
  <c r="G117" i="15"/>
  <c r="M117" i="15" s="1"/>
  <c r="R117" i="15" s="1"/>
  <c r="CY117" i="15"/>
  <c r="DE117" i="15" s="1"/>
  <c r="DJ117" i="15" s="1"/>
  <c r="BX117" i="16"/>
  <c r="CD117" i="16" s="1"/>
  <c r="CI117" i="16" s="1"/>
  <c r="CY122" i="13"/>
  <c r="DE122" i="13" s="1"/>
  <c r="DJ122" i="13" s="1"/>
  <c r="AE121" i="14"/>
  <c r="AK121" i="14" s="1"/>
  <c r="AP121" i="14" s="1"/>
  <c r="G121" i="15"/>
  <c r="M121" i="15" s="1"/>
  <c r="R121" i="15" s="1"/>
  <c r="CY121" i="15"/>
  <c r="DE121" i="15" s="1"/>
  <c r="DJ121" i="15" s="1"/>
  <c r="BX121" i="16"/>
  <c r="CD121" i="16" s="1"/>
  <c r="CI121" i="16" s="1"/>
  <c r="AE127" i="13"/>
  <c r="AK127" i="13" s="1"/>
  <c r="AP127" i="13" s="1"/>
  <c r="CA124" i="13"/>
  <c r="CG124" i="13" s="1"/>
  <c r="CL124" i="13" s="1"/>
  <c r="G123" i="14"/>
  <c r="M123" i="14" s="1"/>
  <c r="R123" i="14" s="1"/>
  <c r="BC123" i="14"/>
  <c r="BI123" i="14" s="1"/>
  <c r="BN123" i="14" s="1"/>
  <c r="CY119" i="14"/>
  <c r="DE119" i="14" s="1"/>
  <c r="DJ119" i="14" s="1"/>
  <c r="AE119" i="15"/>
  <c r="AK119" i="15" s="1"/>
  <c r="AP119" i="15" s="1"/>
  <c r="CA119" i="15"/>
  <c r="CG119" i="15" s="1"/>
  <c r="CL119" i="15" s="1"/>
  <c r="G119" i="16"/>
  <c r="M119" i="16" s="1"/>
  <c r="R119" i="16" s="1"/>
  <c r="BA119" i="16"/>
  <c r="BG119" i="16" s="1"/>
  <c r="BL119" i="16" s="1"/>
  <c r="CU119" i="16"/>
  <c r="DA119" i="16" s="1"/>
  <c r="DF119" i="16" s="1"/>
  <c r="AE115" i="13"/>
  <c r="AK115" i="13" s="1"/>
  <c r="AP115" i="13" s="1"/>
  <c r="CA120" i="13"/>
  <c r="CG120" i="13" s="1"/>
  <c r="CL120" i="13" s="1"/>
  <c r="G119" i="14"/>
  <c r="M119" i="14" s="1"/>
  <c r="R119" i="14" s="1"/>
  <c r="BC119" i="14"/>
  <c r="BI119" i="14" s="1"/>
  <c r="BN119" i="14" s="1"/>
  <c r="CY123" i="14"/>
  <c r="DE123" i="14" s="1"/>
  <c r="DJ123" i="14" s="1"/>
  <c r="AE123" i="15"/>
  <c r="AK123" i="15" s="1"/>
  <c r="AP123" i="15" s="1"/>
  <c r="CA123" i="15"/>
  <c r="CG123" i="15" s="1"/>
  <c r="CL123" i="15" s="1"/>
  <c r="G123" i="16"/>
  <c r="M123" i="16" s="1"/>
  <c r="R123" i="16" s="1"/>
  <c r="BA123" i="16"/>
  <c r="BG123" i="16" s="1"/>
  <c r="BL123" i="16" s="1"/>
  <c r="CU123" i="16"/>
  <c r="DA123" i="16" s="1"/>
  <c r="DF123" i="16" s="1"/>
  <c r="G120" i="13"/>
  <c r="M120" i="13" s="1"/>
  <c r="R120" i="13" s="1"/>
  <c r="AE120" i="13"/>
  <c r="AK120" i="13" s="1"/>
  <c r="AP120" i="13" s="1"/>
  <c r="CY121" i="13"/>
  <c r="DE121" i="13" s="1"/>
  <c r="DJ121" i="13" s="1"/>
  <c r="CA121" i="13"/>
  <c r="CG121" i="13" s="1"/>
  <c r="CL121" i="13" s="1"/>
  <c r="BC121" i="13"/>
  <c r="BI121" i="13" s="1"/>
  <c r="BN121" i="13" s="1"/>
  <c r="G120" i="14"/>
  <c r="M120" i="14" s="1"/>
  <c r="R120" i="14" s="1"/>
  <c r="AE120" i="14"/>
  <c r="AK120" i="14" s="1"/>
  <c r="AP120" i="14" s="1"/>
  <c r="BC120" i="14"/>
  <c r="BI120" i="14" s="1"/>
  <c r="BN120" i="14" s="1"/>
  <c r="CA122" i="14"/>
  <c r="CG122" i="14" s="1"/>
  <c r="CL122" i="14" s="1"/>
  <c r="CY122" i="14"/>
  <c r="DE122" i="14" s="1"/>
  <c r="DJ122" i="14" s="1"/>
  <c r="G122" i="15"/>
  <c r="M122" i="15" s="1"/>
  <c r="R122" i="15" s="1"/>
  <c r="AE122" i="15"/>
  <c r="AK122" i="15" s="1"/>
  <c r="AP122" i="15" s="1"/>
  <c r="BC122" i="15"/>
  <c r="BI122" i="15" s="1"/>
  <c r="BN122" i="15" s="1"/>
  <c r="CA122" i="15"/>
  <c r="CG122" i="15" s="1"/>
  <c r="CL122" i="15" s="1"/>
  <c r="CY122" i="15"/>
  <c r="DE122" i="15" s="1"/>
  <c r="DJ122" i="15" s="1"/>
  <c r="G122" i="16"/>
  <c r="M122" i="16" s="1"/>
  <c r="R122" i="16" s="1"/>
  <c r="AD122" i="16"/>
  <c r="AJ122" i="16" s="1"/>
  <c r="AO122" i="16" s="1"/>
  <c r="BA122" i="16"/>
  <c r="BG122" i="16" s="1"/>
  <c r="BL122" i="16" s="1"/>
  <c r="BX122" i="16"/>
  <c r="CD122" i="16" s="1"/>
  <c r="CI122" i="16" s="1"/>
  <c r="CU122" i="16"/>
  <c r="DA122" i="16" s="1"/>
  <c r="DF122" i="16" s="1"/>
  <c r="G122" i="13"/>
  <c r="M122" i="13" s="1"/>
  <c r="R122" i="13" s="1"/>
  <c r="AE122" i="13"/>
  <c r="AK122" i="13" s="1"/>
  <c r="AP122" i="13" s="1"/>
  <c r="CY123" i="13"/>
  <c r="DE123" i="13" s="1"/>
  <c r="DJ123" i="13" s="1"/>
  <c r="CA123" i="13"/>
  <c r="CG123" i="13" s="1"/>
  <c r="CL123" i="13" s="1"/>
  <c r="BC123" i="13"/>
  <c r="BI123" i="13" s="1"/>
  <c r="BN123" i="13" s="1"/>
  <c r="G122" i="14"/>
  <c r="M122" i="14" s="1"/>
  <c r="R122" i="14" s="1"/>
  <c r="AE122" i="14"/>
  <c r="AK122" i="14" s="1"/>
  <c r="AP122" i="14" s="1"/>
  <c r="BC122" i="14"/>
  <c r="BI122" i="14" s="1"/>
  <c r="BN122" i="14" s="1"/>
  <c r="CA120" i="14"/>
  <c r="CG120" i="14" s="1"/>
  <c r="CL120" i="14" s="1"/>
  <c r="CY120" i="14"/>
  <c r="DE120" i="14" s="1"/>
  <c r="DJ120" i="14" s="1"/>
  <c r="G120" i="15"/>
  <c r="M120" i="15" s="1"/>
  <c r="R120" i="15" s="1"/>
  <c r="AE120" i="15"/>
  <c r="AK120" i="15" s="1"/>
  <c r="AP120" i="15" s="1"/>
  <c r="BC120" i="15"/>
  <c r="BI120" i="15" s="1"/>
  <c r="BN120" i="15" s="1"/>
  <c r="CA120" i="15"/>
  <c r="CG120" i="15" s="1"/>
  <c r="CL120" i="15" s="1"/>
  <c r="CY120" i="15"/>
  <c r="DE120" i="15" s="1"/>
  <c r="DJ120" i="15" s="1"/>
  <c r="G120" i="16"/>
  <c r="M120" i="16" s="1"/>
  <c r="R120" i="16" s="1"/>
  <c r="AD120" i="16"/>
  <c r="AJ120" i="16" s="1"/>
  <c r="AO120" i="16" s="1"/>
  <c r="BA120" i="16"/>
  <c r="BG120" i="16" s="1"/>
  <c r="BL120" i="16" s="1"/>
  <c r="BX120" i="16"/>
  <c r="CD120" i="16" s="1"/>
  <c r="CI120" i="16" s="1"/>
  <c r="CU120" i="16"/>
  <c r="DA120" i="16" s="1"/>
  <c r="DF120" i="16" s="1"/>
  <c r="AD99" i="16"/>
  <c r="AJ99" i="16" s="1"/>
  <c r="AO99" i="16" s="1"/>
  <c r="CA99" i="15"/>
  <c r="CG99" i="15" s="1"/>
  <c r="CL99" i="15" s="1"/>
  <c r="G99" i="15"/>
  <c r="M99" i="15" s="1"/>
  <c r="R99" i="15" s="1"/>
  <c r="CA99" i="13"/>
  <c r="CG99" i="13" s="1"/>
  <c r="CL99" i="13" s="1"/>
  <c r="CU99" i="16"/>
  <c r="DA99" i="16" s="1"/>
  <c r="DF99" i="16" s="1"/>
  <c r="CA91" i="13"/>
  <c r="CG91" i="13" s="1"/>
  <c r="CL91" i="13" s="1"/>
  <c r="BC91" i="14"/>
  <c r="BI91" i="14" s="1"/>
  <c r="BN91" i="14" s="1"/>
  <c r="AE91" i="15"/>
  <c r="AK91" i="15" s="1"/>
  <c r="AP91" i="15" s="1"/>
  <c r="G91" i="16"/>
  <c r="M91" i="16" s="1"/>
  <c r="R91" i="16" s="1"/>
  <c r="CU91" i="16"/>
  <c r="DA91" i="16" s="1"/>
  <c r="DF91" i="16" s="1"/>
  <c r="CA95" i="13"/>
  <c r="CG95" i="13" s="1"/>
  <c r="CL95" i="13" s="1"/>
  <c r="BC95" i="14"/>
  <c r="BI95" i="14" s="1"/>
  <c r="BN95" i="14" s="1"/>
  <c r="AE95" i="15"/>
  <c r="AK95" i="15" s="1"/>
  <c r="AP95" i="15" s="1"/>
  <c r="G95" i="16"/>
  <c r="M95" i="16" s="1"/>
  <c r="R95" i="16" s="1"/>
  <c r="CU95" i="16"/>
  <c r="DA95" i="16" s="1"/>
  <c r="DF95" i="16" s="1"/>
  <c r="CA103" i="13"/>
  <c r="CG103" i="13" s="1"/>
  <c r="CL103" i="13" s="1"/>
  <c r="BC103" i="14"/>
  <c r="BI103" i="14" s="1"/>
  <c r="BN103" i="14" s="1"/>
  <c r="AE103" i="15"/>
  <c r="AK103" i="15" s="1"/>
  <c r="AP103" i="15" s="1"/>
  <c r="G103" i="16"/>
  <c r="M103" i="16" s="1"/>
  <c r="R103" i="16" s="1"/>
  <c r="CU103" i="16"/>
  <c r="DA103" i="16" s="1"/>
  <c r="DF103" i="16" s="1"/>
  <c r="AE101" i="13"/>
  <c r="AK101" i="13" s="1"/>
  <c r="AP101" i="13" s="1"/>
  <c r="CA101" i="13"/>
  <c r="CG101" i="13" s="1"/>
  <c r="CL101" i="13" s="1"/>
  <c r="G101" i="14"/>
  <c r="M101" i="14" s="1"/>
  <c r="R101" i="14" s="1"/>
  <c r="BC101" i="14"/>
  <c r="BI101" i="14" s="1"/>
  <c r="BN101" i="14" s="1"/>
  <c r="CY101" i="14"/>
  <c r="DE101" i="14" s="1"/>
  <c r="DJ101" i="14" s="1"/>
  <c r="AE101" i="15"/>
  <c r="AK101" i="15" s="1"/>
  <c r="AP101" i="15" s="1"/>
  <c r="CA101" i="15"/>
  <c r="CG101" i="15" s="1"/>
  <c r="CL101" i="15" s="1"/>
  <c r="G101" i="16"/>
  <c r="M101" i="16" s="1"/>
  <c r="R101" i="16" s="1"/>
  <c r="BA101" i="16"/>
  <c r="BG101" i="16" s="1"/>
  <c r="BL101" i="16" s="1"/>
  <c r="CU101" i="16"/>
  <c r="DA101" i="16" s="1"/>
  <c r="DF101" i="16" s="1"/>
  <c r="AE97" i="13"/>
  <c r="AK97" i="13" s="1"/>
  <c r="AP97" i="13" s="1"/>
  <c r="CA97" i="13"/>
  <c r="CG97" i="13" s="1"/>
  <c r="CL97" i="13" s="1"/>
  <c r="G97" i="14"/>
  <c r="M97" i="14" s="1"/>
  <c r="R97" i="14" s="1"/>
  <c r="BC97" i="14"/>
  <c r="BI97" i="14" s="1"/>
  <c r="BN97" i="14" s="1"/>
  <c r="CY97" i="14"/>
  <c r="DE97" i="14" s="1"/>
  <c r="DJ97" i="14" s="1"/>
  <c r="AE97" i="15"/>
  <c r="AK97" i="15" s="1"/>
  <c r="AP97" i="15" s="1"/>
  <c r="CA97" i="15"/>
  <c r="CG97" i="15" s="1"/>
  <c r="CL97" i="15" s="1"/>
  <c r="G97" i="16"/>
  <c r="M97" i="16" s="1"/>
  <c r="R97" i="16" s="1"/>
  <c r="BA97" i="16"/>
  <c r="BG97" i="16" s="1"/>
  <c r="BL97" i="16" s="1"/>
  <c r="CU97" i="16"/>
  <c r="DA97" i="16" s="1"/>
  <c r="DF97" i="16" s="1"/>
  <c r="G91" i="13"/>
  <c r="M91" i="13" s="1"/>
  <c r="R91" i="13" s="1"/>
  <c r="AE100" i="13"/>
  <c r="AK100" i="13" s="1"/>
  <c r="AP100" i="13" s="1"/>
  <c r="BC100" i="13"/>
  <c r="BI100" i="13" s="1"/>
  <c r="BN100" i="13" s="1"/>
  <c r="CA100" i="13"/>
  <c r="CG100" i="13" s="1"/>
  <c r="CL100" i="13" s="1"/>
  <c r="DE100" i="13"/>
  <c r="DJ100" i="13" s="1"/>
  <c r="G100" i="14"/>
  <c r="M100" i="14" s="1"/>
  <c r="R100" i="14" s="1"/>
  <c r="AE100" i="14"/>
  <c r="AK100" i="14" s="1"/>
  <c r="AP100" i="14" s="1"/>
  <c r="BC100" i="14"/>
  <c r="BI100" i="14" s="1"/>
  <c r="BN100" i="14" s="1"/>
  <c r="CA100" i="14"/>
  <c r="CG100" i="14" s="1"/>
  <c r="CL100" i="14" s="1"/>
  <c r="CY100" i="14"/>
  <c r="DE100" i="14" s="1"/>
  <c r="DJ100" i="14" s="1"/>
  <c r="G100" i="15"/>
  <c r="M100" i="15" s="1"/>
  <c r="R100" i="15" s="1"/>
  <c r="AE100" i="15"/>
  <c r="AK100" i="15" s="1"/>
  <c r="AP100" i="15" s="1"/>
  <c r="BC100" i="15"/>
  <c r="BI100" i="15" s="1"/>
  <c r="BN100" i="15" s="1"/>
  <c r="CA100" i="15"/>
  <c r="CG100" i="15" s="1"/>
  <c r="CL100" i="15" s="1"/>
  <c r="CY100" i="15"/>
  <c r="DE100" i="15" s="1"/>
  <c r="DJ100" i="15" s="1"/>
  <c r="G100" i="16"/>
  <c r="M100" i="16" s="1"/>
  <c r="R100" i="16" s="1"/>
  <c r="AD100" i="16"/>
  <c r="AJ100" i="16" s="1"/>
  <c r="AO100" i="16" s="1"/>
  <c r="BA100" i="16"/>
  <c r="BG100" i="16" s="1"/>
  <c r="BL100" i="16" s="1"/>
  <c r="BX100" i="16"/>
  <c r="CD100" i="16" s="1"/>
  <c r="CI100" i="16" s="1"/>
  <c r="CU100" i="16"/>
  <c r="DA100" i="16" s="1"/>
  <c r="DF100" i="16" s="1"/>
  <c r="G89" i="13"/>
  <c r="M89" i="13" s="1"/>
  <c r="R89" i="13" s="1"/>
  <c r="AE102" i="13"/>
  <c r="AK102" i="13" s="1"/>
  <c r="AP102" i="13" s="1"/>
  <c r="BC102" i="13"/>
  <c r="BI102" i="13" s="1"/>
  <c r="BN102" i="13" s="1"/>
  <c r="CA102" i="13"/>
  <c r="CG102" i="13" s="1"/>
  <c r="CL102" i="13" s="1"/>
  <c r="DE102" i="13"/>
  <c r="DJ102" i="13" s="1"/>
  <c r="G102" i="14"/>
  <c r="M102" i="14" s="1"/>
  <c r="R102" i="14" s="1"/>
  <c r="AE102" i="14"/>
  <c r="AK102" i="14" s="1"/>
  <c r="AP102" i="14" s="1"/>
  <c r="BC102" i="14"/>
  <c r="BI102" i="14" s="1"/>
  <c r="BN102" i="14" s="1"/>
  <c r="CA102" i="14"/>
  <c r="CG102" i="14" s="1"/>
  <c r="CL102" i="14" s="1"/>
  <c r="CY102" i="14"/>
  <c r="DE102" i="14" s="1"/>
  <c r="DJ102" i="14" s="1"/>
  <c r="G102" i="15"/>
  <c r="M102" i="15" s="1"/>
  <c r="R102" i="15" s="1"/>
  <c r="AE102" i="15"/>
  <c r="AK102" i="15" s="1"/>
  <c r="AP102" i="15" s="1"/>
  <c r="BC102" i="15"/>
  <c r="BI102" i="15" s="1"/>
  <c r="BN102" i="15" s="1"/>
  <c r="CA102" i="15"/>
  <c r="CG102" i="15" s="1"/>
  <c r="CL102" i="15" s="1"/>
  <c r="CY102" i="15"/>
  <c r="DE102" i="15" s="1"/>
  <c r="DJ102" i="15" s="1"/>
  <c r="G102" i="16"/>
  <c r="M102" i="16" s="1"/>
  <c r="R102" i="16" s="1"/>
  <c r="AD102" i="16"/>
  <c r="AJ102" i="16" s="1"/>
  <c r="AO102" i="16" s="1"/>
  <c r="BA102" i="16"/>
  <c r="BG102" i="16" s="1"/>
  <c r="BL102" i="16" s="1"/>
  <c r="BX102" i="16"/>
  <c r="CD102" i="16" s="1"/>
  <c r="CI102" i="16" s="1"/>
  <c r="CU102" i="16"/>
  <c r="DA102" i="16" s="1"/>
  <c r="DF102" i="16" s="1"/>
  <c r="CA125" i="14"/>
  <c r="CG125" i="14" s="1"/>
  <c r="CL125" i="14" s="1"/>
  <c r="BC125" i="15"/>
  <c r="BI125" i="15" s="1"/>
  <c r="BN125" i="15" s="1"/>
  <c r="G125" i="15"/>
  <c r="M125" i="15" s="1"/>
  <c r="R125" i="15" s="1"/>
  <c r="T113" i="15"/>
  <c r="G113" i="15"/>
  <c r="AD117" i="16"/>
  <c r="AJ117" i="16" s="1"/>
  <c r="AO117" i="16" s="1"/>
  <c r="CA121" i="14"/>
  <c r="CG121" i="14" s="1"/>
  <c r="CL121" i="14" s="1"/>
  <c r="G127" i="13"/>
  <c r="M127" i="13" s="1"/>
  <c r="R127" i="13" s="1"/>
  <c r="CA119" i="14"/>
  <c r="CG119" i="14" s="1"/>
  <c r="CL119" i="14" s="1"/>
  <c r="CY119" i="15"/>
  <c r="DE119" i="15" s="1"/>
  <c r="DJ119" i="15" s="1"/>
  <c r="BX119" i="16"/>
  <c r="CD119" i="16" s="1"/>
  <c r="CI119" i="16" s="1"/>
  <c r="CA123" i="14"/>
  <c r="CG123" i="14" s="1"/>
  <c r="CL123" i="14" s="1"/>
  <c r="AD123" i="16"/>
  <c r="AJ123" i="16" s="1"/>
  <c r="AO123" i="16" s="1"/>
  <c r="DL113" i="13"/>
  <c r="CY113" i="13"/>
  <c r="AE128" i="14"/>
  <c r="AK128" i="14" s="1"/>
  <c r="AP128" i="14" s="1"/>
  <c r="CA114" i="14"/>
  <c r="CG114" i="14" s="1"/>
  <c r="CL114" i="14" s="1"/>
  <c r="CA114" i="15"/>
  <c r="CG114" i="15" s="1"/>
  <c r="CL114" i="15" s="1"/>
  <c r="BA114" i="16"/>
  <c r="BG114" i="16" s="1"/>
  <c r="BL114" i="16" s="1"/>
  <c r="G114" i="13"/>
  <c r="M114" i="13" s="1"/>
  <c r="R114" i="13" s="1"/>
  <c r="BC115" i="13"/>
  <c r="BI115" i="13" s="1"/>
  <c r="BN115" i="13" s="1"/>
  <c r="CA128" i="14"/>
  <c r="CG128" i="14" s="1"/>
  <c r="CL128" i="14" s="1"/>
  <c r="CA128" i="15"/>
  <c r="CG128" i="15" s="1"/>
  <c r="CL128" i="15" s="1"/>
  <c r="AD128" i="16"/>
  <c r="AJ128" i="16" s="1"/>
  <c r="AO128" i="16" s="1"/>
  <c r="CU128" i="16"/>
  <c r="DA128" i="16" s="1"/>
  <c r="DF128" i="16" s="1"/>
  <c r="G99" i="14"/>
  <c r="M99" i="14" s="1"/>
  <c r="R99" i="14" s="1"/>
  <c r="AE91" i="13"/>
  <c r="AK91" i="13" s="1"/>
  <c r="AP91" i="13" s="1"/>
  <c r="BA91" i="16"/>
  <c r="BG91" i="16" s="1"/>
  <c r="BL91" i="16" s="1"/>
  <c r="CY95" i="14"/>
  <c r="DE95" i="14" s="1"/>
  <c r="DJ95" i="14" s="1"/>
  <c r="G103" i="14"/>
  <c r="M103" i="14" s="1"/>
  <c r="R103" i="14" s="1"/>
  <c r="BA103" i="16"/>
  <c r="BG103" i="16" s="1"/>
  <c r="BL103" i="16" s="1"/>
  <c r="DE101" i="13"/>
  <c r="DJ101" i="13" s="1"/>
  <c r="G101" i="15"/>
  <c r="M101" i="15" s="1"/>
  <c r="R101" i="15" s="1"/>
  <c r="G96" i="13"/>
  <c r="M96" i="13" s="1"/>
  <c r="R96" i="13" s="1"/>
  <c r="BC97" i="15"/>
  <c r="BI97" i="15" s="1"/>
  <c r="BN97" i="15" s="1"/>
  <c r="G94" i="15"/>
  <c r="M94" i="15" s="1"/>
  <c r="R94" i="15" s="1"/>
  <c r="AE117" i="14"/>
  <c r="AK117" i="14" s="1"/>
  <c r="AP117" i="14" s="1"/>
  <c r="CY126" i="13"/>
  <c r="DE126" i="13" s="1"/>
  <c r="DJ126" i="13" s="1"/>
  <c r="CY117" i="14"/>
  <c r="DE117" i="14" s="1"/>
  <c r="DJ117" i="14" s="1"/>
  <c r="BC118" i="13"/>
  <c r="BI118" i="13" s="1"/>
  <c r="BN118" i="13" s="1"/>
  <c r="CA125" i="15"/>
  <c r="CG125" i="15" s="1"/>
  <c r="CL125" i="15" s="1"/>
  <c r="CA117" i="14"/>
  <c r="CG117" i="14" s="1"/>
  <c r="CL117" i="14" s="1"/>
  <c r="AD125" i="16"/>
  <c r="AJ125" i="16" s="1"/>
  <c r="AO125" i="16" s="1"/>
  <c r="AE125" i="13"/>
  <c r="AK125" i="13" s="1"/>
  <c r="AP125" i="13" s="1"/>
  <c r="T113" i="14"/>
  <c r="G113" i="14"/>
  <c r="DL113" i="14"/>
  <c r="CY113" i="14"/>
  <c r="CN113" i="15"/>
  <c r="CA113" i="15"/>
  <c r="BN113" i="16"/>
  <c r="BA113" i="16"/>
  <c r="AE117" i="15"/>
  <c r="AK117" i="15" s="1"/>
  <c r="AP117" i="15" s="1"/>
  <c r="G117" i="16"/>
  <c r="M117" i="16" s="1"/>
  <c r="R117" i="16" s="1"/>
  <c r="CU117" i="16"/>
  <c r="DA117" i="16" s="1"/>
  <c r="DF117" i="16" s="1"/>
  <c r="CA122" i="13"/>
  <c r="CG122" i="13" s="1"/>
  <c r="CL122" i="13" s="1"/>
  <c r="BC121" i="14"/>
  <c r="BI121" i="14" s="1"/>
  <c r="BN121" i="14" s="1"/>
  <c r="AE121" i="15"/>
  <c r="AK121" i="15" s="1"/>
  <c r="AP121" i="15" s="1"/>
  <c r="G121" i="16"/>
  <c r="M121" i="16" s="1"/>
  <c r="R121" i="16" s="1"/>
  <c r="CU121" i="16"/>
  <c r="DA121" i="16" s="1"/>
  <c r="DF121" i="16" s="1"/>
  <c r="AE119" i="13"/>
  <c r="AK119" i="13" s="1"/>
  <c r="AP119" i="13" s="1"/>
  <c r="CA116" i="13"/>
  <c r="CG116" i="13" s="1"/>
  <c r="CL116" i="13" s="1"/>
  <c r="G115" i="14"/>
  <c r="M115" i="14" s="1"/>
  <c r="R115" i="14" s="1"/>
  <c r="BC115" i="14"/>
  <c r="BI115" i="14" s="1"/>
  <c r="BN115" i="14" s="1"/>
  <c r="CY127" i="14"/>
  <c r="DE127" i="14" s="1"/>
  <c r="DJ127" i="14" s="1"/>
  <c r="AE127" i="15"/>
  <c r="AK127" i="15" s="1"/>
  <c r="AP127" i="15" s="1"/>
  <c r="CA127" i="15"/>
  <c r="CG127" i="15" s="1"/>
  <c r="CL127" i="15" s="1"/>
  <c r="G127" i="16"/>
  <c r="M127" i="16" s="1"/>
  <c r="R127" i="16" s="1"/>
  <c r="BA127" i="16"/>
  <c r="BG127" i="16" s="1"/>
  <c r="BL127" i="16" s="1"/>
  <c r="G123" i="13"/>
  <c r="M123" i="13" s="1"/>
  <c r="R123" i="13" s="1"/>
  <c r="CY128" i="13"/>
  <c r="DE128" i="13" s="1"/>
  <c r="DJ128" i="13" s="1"/>
  <c r="BC128" i="13"/>
  <c r="BI128" i="13" s="1"/>
  <c r="BN128" i="13" s="1"/>
  <c r="AE127" i="14"/>
  <c r="AK127" i="14" s="1"/>
  <c r="AP127" i="14" s="1"/>
  <c r="CA115" i="14"/>
  <c r="CG115" i="14" s="1"/>
  <c r="CL115" i="14" s="1"/>
  <c r="G115" i="15"/>
  <c r="M115" i="15" s="1"/>
  <c r="R115" i="15" s="1"/>
  <c r="BC115" i="15"/>
  <c r="BI115" i="15" s="1"/>
  <c r="BN115" i="15" s="1"/>
  <c r="CY115" i="15"/>
  <c r="DE115" i="15" s="1"/>
  <c r="DJ115" i="15" s="1"/>
  <c r="AD115" i="16"/>
  <c r="AJ115" i="16" s="1"/>
  <c r="AO115" i="16" s="1"/>
  <c r="BX115" i="16"/>
  <c r="CD115" i="16" s="1"/>
  <c r="CI115" i="16" s="1"/>
  <c r="CU125" i="16"/>
  <c r="DA125" i="16" s="1"/>
  <c r="DF125" i="16" s="1"/>
  <c r="G116" i="13"/>
  <c r="M116" i="13" s="1"/>
  <c r="R116" i="13" s="1"/>
  <c r="AE116" i="13"/>
  <c r="AK116" i="13" s="1"/>
  <c r="AP116" i="13" s="1"/>
  <c r="CY117" i="13"/>
  <c r="DE117" i="13" s="1"/>
  <c r="DJ117" i="13" s="1"/>
  <c r="CA117" i="13"/>
  <c r="CG117" i="13" s="1"/>
  <c r="CL117" i="13" s="1"/>
  <c r="BC117" i="13"/>
  <c r="BI117" i="13" s="1"/>
  <c r="BN117" i="13" s="1"/>
  <c r="G116" i="14"/>
  <c r="M116" i="14" s="1"/>
  <c r="R116" i="14" s="1"/>
  <c r="AE116" i="14"/>
  <c r="AK116" i="14" s="1"/>
  <c r="AP116" i="14" s="1"/>
  <c r="BC116" i="14"/>
  <c r="BI116" i="14" s="1"/>
  <c r="BN116" i="14" s="1"/>
  <c r="CA126" i="14"/>
  <c r="CG126" i="14" s="1"/>
  <c r="CL126" i="14" s="1"/>
  <c r="CY126" i="14"/>
  <c r="DE126" i="14" s="1"/>
  <c r="DJ126" i="14" s="1"/>
  <c r="G126" i="15"/>
  <c r="M126" i="15" s="1"/>
  <c r="R126" i="15" s="1"/>
  <c r="AE126" i="15"/>
  <c r="AK126" i="15" s="1"/>
  <c r="AP126" i="15" s="1"/>
  <c r="BC126" i="15"/>
  <c r="BI126" i="15" s="1"/>
  <c r="BN126" i="15" s="1"/>
  <c r="CA126" i="15"/>
  <c r="CG126" i="15" s="1"/>
  <c r="CL126" i="15" s="1"/>
  <c r="CY126" i="15"/>
  <c r="DE126" i="15" s="1"/>
  <c r="DJ126" i="15" s="1"/>
  <c r="G126" i="16"/>
  <c r="M126" i="16" s="1"/>
  <c r="R126" i="16" s="1"/>
  <c r="AD126" i="16"/>
  <c r="AJ126" i="16" s="1"/>
  <c r="AO126" i="16" s="1"/>
  <c r="BA126" i="16"/>
  <c r="BG126" i="16" s="1"/>
  <c r="BL126" i="16" s="1"/>
  <c r="BX126" i="16"/>
  <c r="CD126" i="16" s="1"/>
  <c r="CI126" i="16" s="1"/>
  <c r="CU126" i="16"/>
  <c r="DA126" i="16" s="1"/>
  <c r="DF126" i="16" s="1"/>
  <c r="G118" i="13"/>
  <c r="M118" i="13" s="1"/>
  <c r="R118" i="13" s="1"/>
  <c r="AE118" i="13"/>
  <c r="AK118" i="13" s="1"/>
  <c r="AP118" i="13" s="1"/>
  <c r="CY119" i="13"/>
  <c r="DE119" i="13" s="1"/>
  <c r="DJ119" i="13" s="1"/>
  <c r="CA119" i="13"/>
  <c r="CG119" i="13" s="1"/>
  <c r="CL119" i="13" s="1"/>
  <c r="BC119" i="13"/>
  <c r="BI119" i="13" s="1"/>
  <c r="BN119" i="13" s="1"/>
  <c r="G118" i="14"/>
  <c r="M118" i="14" s="1"/>
  <c r="R118" i="14" s="1"/>
  <c r="AE118" i="14"/>
  <c r="AK118" i="14" s="1"/>
  <c r="AP118" i="14" s="1"/>
  <c r="BC118" i="14"/>
  <c r="BI118" i="14" s="1"/>
  <c r="BN118" i="14" s="1"/>
  <c r="CA124" i="14"/>
  <c r="CG124" i="14" s="1"/>
  <c r="CL124" i="14" s="1"/>
  <c r="CY124" i="14"/>
  <c r="DE124" i="14" s="1"/>
  <c r="DJ124" i="14" s="1"/>
  <c r="G124" i="15"/>
  <c r="M124" i="15" s="1"/>
  <c r="R124" i="15" s="1"/>
  <c r="AE124" i="15"/>
  <c r="AK124" i="15" s="1"/>
  <c r="AP124" i="15" s="1"/>
  <c r="BC124" i="15"/>
  <c r="BI124" i="15" s="1"/>
  <c r="BN124" i="15" s="1"/>
  <c r="CA124" i="15"/>
  <c r="CG124" i="15" s="1"/>
  <c r="CL124" i="15" s="1"/>
  <c r="CY124" i="15"/>
  <c r="DE124" i="15" s="1"/>
  <c r="DJ124" i="15" s="1"/>
  <c r="G124" i="16"/>
  <c r="M124" i="16" s="1"/>
  <c r="R124" i="16" s="1"/>
  <c r="AD124" i="16"/>
  <c r="AJ124" i="16" s="1"/>
  <c r="AO124" i="16" s="1"/>
  <c r="BA124" i="16"/>
  <c r="BG124" i="16" s="1"/>
  <c r="BL124" i="16" s="1"/>
  <c r="BX124" i="16"/>
  <c r="CD124" i="16" s="1"/>
  <c r="CI124" i="16" s="1"/>
  <c r="CU124" i="16"/>
  <c r="DA124" i="16" s="1"/>
  <c r="DF124" i="16" s="1"/>
  <c r="DE99" i="13"/>
  <c r="DJ99" i="13" s="1"/>
  <c r="AE99" i="13"/>
  <c r="AK99" i="13" s="1"/>
  <c r="AP99" i="13" s="1"/>
  <c r="BA99" i="16"/>
  <c r="BG99" i="16" s="1"/>
  <c r="BL99" i="16" s="1"/>
  <c r="CY99" i="15"/>
  <c r="DE99" i="15" s="1"/>
  <c r="DJ99" i="15" s="1"/>
  <c r="BC99" i="14"/>
  <c r="BI99" i="14" s="1"/>
  <c r="BN99" i="14" s="1"/>
  <c r="G102" i="13"/>
  <c r="M102" i="13" s="1"/>
  <c r="R102" i="13" s="1"/>
  <c r="CY91" i="13"/>
  <c r="DE91" i="13" s="1"/>
  <c r="DJ91" i="13" s="1"/>
  <c r="CA91" i="14"/>
  <c r="CG91" i="14" s="1"/>
  <c r="CL91" i="14" s="1"/>
  <c r="BC91" i="15"/>
  <c r="BI91" i="15" s="1"/>
  <c r="BN91" i="15" s="1"/>
  <c r="AD91" i="16"/>
  <c r="AJ91" i="16" s="1"/>
  <c r="AO91" i="16" s="1"/>
  <c r="G98" i="13"/>
  <c r="M98" i="13" s="1"/>
  <c r="R98" i="13" s="1"/>
  <c r="CY95" i="13"/>
  <c r="DE95" i="13" s="1"/>
  <c r="DJ95" i="13" s="1"/>
  <c r="CA95" i="14"/>
  <c r="CG95" i="14" s="1"/>
  <c r="CL95" i="14" s="1"/>
  <c r="BC95" i="15"/>
  <c r="BI95" i="15" s="1"/>
  <c r="BN95" i="15" s="1"/>
  <c r="AD95" i="16"/>
  <c r="AJ95" i="16" s="1"/>
  <c r="AO95" i="16" s="1"/>
  <c r="G90" i="13"/>
  <c r="M90" i="13" s="1"/>
  <c r="R90" i="13" s="1"/>
  <c r="DE103" i="13"/>
  <c r="DJ103" i="13" s="1"/>
  <c r="CA103" i="14"/>
  <c r="CG103" i="14" s="1"/>
  <c r="CL103" i="14" s="1"/>
  <c r="BC103" i="15"/>
  <c r="BI103" i="15" s="1"/>
  <c r="BN103" i="15" s="1"/>
  <c r="AD103" i="16"/>
  <c r="AJ103" i="16" s="1"/>
  <c r="AO103" i="16" s="1"/>
  <c r="G100" i="13"/>
  <c r="M100" i="13" s="1"/>
  <c r="R100" i="13" s="1"/>
  <c r="BC93" i="13"/>
  <c r="BI93" i="13" s="1"/>
  <c r="BN93" i="13" s="1"/>
  <c r="CY93" i="13"/>
  <c r="DE93" i="13" s="1"/>
  <c r="DJ93" i="13" s="1"/>
  <c r="AE93" i="14"/>
  <c r="AK93" i="14" s="1"/>
  <c r="AP93" i="14" s="1"/>
  <c r="CA93" i="14"/>
  <c r="CG93" i="14" s="1"/>
  <c r="CL93" i="14" s="1"/>
  <c r="G93" i="15"/>
  <c r="M93" i="15" s="1"/>
  <c r="R93" i="15" s="1"/>
  <c r="BC93" i="15"/>
  <c r="BI93" i="15" s="1"/>
  <c r="BN93" i="15" s="1"/>
  <c r="CY93" i="15"/>
  <c r="DE93" i="15" s="1"/>
  <c r="DJ93" i="15" s="1"/>
  <c r="AD93" i="16"/>
  <c r="AJ93" i="16" s="1"/>
  <c r="AO93" i="16" s="1"/>
  <c r="BX93" i="16"/>
  <c r="CD93" i="16" s="1"/>
  <c r="CI93" i="16" s="1"/>
  <c r="T88" i="13"/>
  <c r="G88" i="13"/>
  <c r="BC89" i="13"/>
  <c r="BI89" i="13" s="1"/>
  <c r="BN89" i="13" s="1"/>
  <c r="CY89" i="13"/>
  <c r="DE89" i="13" s="1"/>
  <c r="DJ89" i="13" s="1"/>
  <c r="AE89" i="14"/>
  <c r="AK89" i="14" s="1"/>
  <c r="AP89" i="14" s="1"/>
  <c r="CA89" i="14"/>
  <c r="CG89" i="14" s="1"/>
  <c r="CL89" i="14" s="1"/>
  <c r="G89" i="15"/>
  <c r="M89" i="15" s="1"/>
  <c r="R89" i="15" s="1"/>
  <c r="BC89" i="15"/>
  <c r="BI89" i="15" s="1"/>
  <c r="BN89" i="15" s="1"/>
  <c r="CY89" i="15"/>
  <c r="DE89" i="15" s="1"/>
  <c r="DJ89" i="15" s="1"/>
  <c r="AD89" i="16"/>
  <c r="AJ89" i="16" s="1"/>
  <c r="AO89" i="16" s="1"/>
  <c r="BX89" i="16"/>
  <c r="CD89" i="16" s="1"/>
  <c r="CI89" i="16" s="1"/>
  <c r="G103" i="13"/>
  <c r="M103" i="13" s="1"/>
  <c r="R103" i="13" s="1"/>
  <c r="AR88" i="13"/>
  <c r="AE88" i="13"/>
  <c r="BP88" i="13"/>
  <c r="BC88" i="13"/>
  <c r="CN88" i="13"/>
  <c r="CA88" i="13"/>
  <c r="DL88" i="13"/>
  <c r="DL89" i="13" s="1"/>
  <c r="CY88" i="13"/>
  <c r="T88" i="14"/>
  <c r="G88" i="14"/>
  <c r="AR88" i="14"/>
  <c r="AE88" i="14"/>
  <c r="BP88" i="14"/>
  <c r="BC88" i="14"/>
  <c r="CN88" i="14"/>
  <c r="CA88" i="14"/>
  <c r="DL88" i="14"/>
  <c r="CY88" i="14"/>
  <c r="T88" i="15"/>
  <c r="G88" i="15"/>
  <c r="AR88" i="15"/>
  <c r="AE88" i="15"/>
  <c r="BP88" i="15"/>
  <c r="BP89" i="15" s="1"/>
  <c r="BC88" i="15"/>
  <c r="CN88" i="15"/>
  <c r="CA88" i="15"/>
  <c r="DL88" i="15"/>
  <c r="CY88" i="15"/>
  <c r="T88" i="16"/>
  <c r="G88" i="16"/>
  <c r="AQ88" i="16"/>
  <c r="AQ89" i="16" s="1"/>
  <c r="AD88" i="16"/>
  <c r="BN88" i="16"/>
  <c r="BA88" i="16"/>
  <c r="CK88" i="16"/>
  <c r="BX88" i="16"/>
  <c r="DH88" i="16"/>
  <c r="CU88" i="16"/>
  <c r="G101" i="13"/>
  <c r="M101" i="13" s="1"/>
  <c r="R101" i="13" s="1"/>
  <c r="AE90" i="13"/>
  <c r="AK90" i="13" s="1"/>
  <c r="AP90" i="13" s="1"/>
  <c r="BC90" i="13"/>
  <c r="BI90" i="13" s="1"/>
  <c r="BN90" i="13" s="1"/>
  <c r="CA90" i="13"/>
  <c r="CG90" i="13" s="1"/>
  <c r="CL90" i="13" s="1"/>
  <c r="CY90" i="13"/>
  <c r="DE90" i="13" s="1"/>
  <c r="DJ90" i="13" s="1"/>
  <c r="G90" i="14"/>
  <c r="M90" i="14" s="1"/>
  <c r="R90" i="14" s="1"/>
  <c r="AE90" i="14"/>
  <c r="AK90" i="14" s="1"/>
  <c r="AP90" i="14" s="1"/>
  <c r="BC90" i="14"/>
  <c r="BI90" i="14" s="1"/>
  <c r="BN90" i="14" s="1"/>
  <c r="CA90" i="14"/>
  <c r="CG90" i="14" s="1"/>
  <c r="CL90" i="14" s="1"/>
  <c r="CY90" i="14"/>
  <c r="DE90" i="14" s="1"/>
  <c r="DJ90" i="14" s="1"/>
  <c r="G90" i="15"/>
  <c r="M90" i="15" s="1"/>
  <c r="R90" i="15" s="1"/>
  <c r="AE90" i="15"/>
  <c r="AK90" i="15" s="1"/>
  <c r="AP90" i="15" s="1"/>
  <c r="BP90" i="15"/>
  <c r="BP91" i="15" s="1"/>
  <c r="BC90" i="15"/>
  <c r="BI90" i="15" s="1"/>
  <c r="BN90" i="15" s="1"/>
  <c r="CA90" i="15"/>
  <c r="CG90" i="15" s="1"/>
  <c r="CL90" i="15" s="1"/>
  <c r="CY90" i="15"/>
  <c r="DE90" i="15" s="1"/>
  <c r="DJ90" i="15" s="1"/>
  <c r="G90" i="16"/>
  <c r="M90" i="16" s="1"/>
  <c r="R90" i="16" s="1"/>
  <c r="AD90" i="16"/>
  <c r="AJ90" i="16" s="1"/>
  <c r="AO90" i="16" s="1"/>
  <c r="BA90" i="16"/>
  <c r="BG90" i="16" s="1"/>
  <c r="BL90" i="16" s="1"/>
  <c r="BX90" i="16"/>
  <c r="CD90" i="16" s="1"/>
  <c r="CI90" i="16" s="1"/>
  <c r="CU90" i="16"/>
  <c r="DA90" i="16" s="1"/>
  <c r="DF90" i="16" s="1"/>
  <c r="R17" i="2"/>
  <c r="S16" i="8" s="1"/>
  <c r="R22" i="2"/>
  <c r="R20" i="2"/>
  <c r="T14" i="8"/>
  <c r="Y16" i="2"/>
  <c r="U14" i="8" s="1"/>
  <c r="AE18" i="2"/>
  <c r="V17" i="8" s="1"/>
  <c r="K17" i="2"/>
  <c r="Q16" i="8" s="1"/>
  <c r="CT51" i="16"/>
  <c r="DC51" i="16" s="1"/>
  <c r="CT41" i="16"/>
  <c r="DC41" i="16" s="1"/>
  <c r="BW50" i="16"/>
  <c r="CF50" i="16" s="1"/>
  <c r="BW42" i="16"/>
  <c r="CF42" i="16" s="1"/>
  <c r="CX48" i="14"/>
  <c r="DG48" i="14" s="1"/>
  <c r="CX39" i="14"/>
  <c r="DG39" i="14" s="1"/>
  <c r="CX38" i="14"/>
  <c r="DG38" i="14" s="1"/>
  <c r="BZ53" i="14"/>
  <c r="CI53" i="14" s="1"/>
  <c r="BZ46" i="14"/>
  <c r="CI46" i="14" s="1"/>
  <c r="BZ42" i="14"/>
  <c r="CI42" i="14" s="1"/>
  <c r="BZ39" i="14"/>
  <c r="CI39" i="14" s="1"/>
  <c r="BB44" i="14"/>
  <c r="BK44" i="14" s="1"/>
  <c r="CX51" i="13"/>
  <c r="DG51" i="13" s="1"/>
  <c r="CX40" i="13"/>
  <c r="DG40" i="13" s="1"/>
  <c r="CX38" i="13"/>
  <c r="DG38" i="13" s="1"/>
  <c r="BZ50" i="13"/>
  <c r="CI50" i="13" s="1"/>
  <c r="BZ46" i="13"/>
  <c r="CI46" i="13" s="1"/>
  <c r="BZ42" i="13"/>
  <c r="CI42" i="13" s="1"/>
  <c r="BB53" i="13"/>
  <c r="BK53" i="13" s="1"/>
  <c r="F50" i="16"/>
  <c r="O50" i="16" s="1"/>
  <c r="AC47" i="16"/>
  <c r="AL47" i="16" s="1"/>
  <c r="F42" i="16"/>
  <c r="O42" i="16" s="1"/>
  <c r="F49" i="15"/>
  <c r="O49" i="15" s="1"/>
  <c r="AD39" i="15"/>
  <c r="AM39" i="15" s="1"/>
  <c r="AD52" i="14"/>
  <c r="AM52" i="14" s="1"/>
  <c r="AD50" i="14"/>
  <c r="AM50" i="14" s="1"/>
  <c r="F49" i="14"/>
  <c r="O49" i="14" s="1"/>
  <c r="F44" i="14"/>
  <c r="O44" i="14" s="1"/>
  <c r="AD51" i="13"/>
  <c r="AM51" i="13" s="1"/>
  <c r="AD47" i="13"/>
  <c r="AM47" i="13" s="1"/>
  <c r="AD43" i="13"/>
  <c r="AM43" i="13" s="1"/>
  <c r="AD39" i="13"/>
  <c r="AM39" i="13" s="1"/>
  <c r="F52" i="13"/>
  <c r="O52" i="13" s="1"/>
  <c r="F44" i="13"/>
  <c r="O44" i="13" s="1"/>
  <c r="F39" i="13"/>
  <c r="O39" i="13" s="1"/>
  <c r="CT50" i="16"/>
  <c r="DC50" i="16" s="1"/>
  <c r="CT40" i="16"/>
  <c r="DC40" i="16" s="1"/>
  <c r="BW49" i="16"/>
  <c r="CF49" i="16" s="1"/>
  <c r="BW41" i="16"/>
  <c r="CF41" i="16" s="1"/>
  <c r="AZ53" i="16"/>
  <c r="BI53" i="16" s="1"/>
  <c r="AZ51" i="16"/>
  <c r="BI51" i="16" s="1"/>
  <c r="AZ49" i="16"/>
  <c r="BI49" i="16" s="1"/>
  <c r="AZ47" i="16"/>
  <c r="BI47" i="16" s="1"/>
  <c r="AZ45" i="16"/>
  <c r="BI45" i="16" s="1"/>
  <c r="AZ43" i="16"/>
  <c r="BI43" i="16" s="1"/>
  <c r="AZ41" i="16"/>
  <c r="BI41" i="16" s="1"/>
  <c r="AZ39" i="16"/>
  <c r="BI39" i="16" s="1"/>
  <c r="AZ38" i="16"/>
  <c r="BI38" i="16" s="1"/>
  <c r="BZ39" i="15"/>
  <c r="CI39" i="15" s="1"/>
  <c r="CX53" i="14"/>
  <c r="DG53" i="14" s="1"/>
  <c r="CX47" i="14"/>
  <c r="DG47" i="14" s="1"/>
  <c r="BZ41" i="14"/>
  <c r="CI41" i="14" s="1"/>
  <c r="BB48" i="14"/>
  <c r="BK48" i="14" s="1"/>
  <c r="CX46" i="13"/>
  <c r="DG46" i="13" s="1"/>
  <c r="BB52" i="13"/>
  <c r="BK52" i="13" s="1"/>
  <c r="BB48" i="13"/>
  <c r="BK48" i="13" s="1"/>
  <c r="BB44" i="13"/>
  <c r="BK44" i="13" s="1"/>
  <c r="AC48" i="16"/>
  <c r="AL48" i="16" s="1"/>
  <c r="AC41" i="16"/>
  <c r="AL41" i="16" s="1"/>
  <c r="F50" i="15"/>
  <c r="O50" i="15" s="1"/>
  <c r="F43" i="15"/>
  <c r="O43" i="15" s="1"/>
  <c r="F50" i="14"/>
  <c r="O50" i="14" s="1"/>
  <c r="AD43" i="14"/>
  <c r="AM43" i="14" s="1"/>
  <c r="F42" i="14"/>
  <c r="O42" i="14" s="1"/>
  <c r="AD40" i="14"/>
  <c r="AM40" i="14" s="1"/>
  <c r="CT48" i="16"/>
  <c r="DC48" i="16" s="1"/>
  <c r="CT43" i="16"/>
  <c r="DC43" i="16" s="1"/>
  <c r="BW47" i="16"/>
  <c r="CF47" i="16" s="1"/>
  <c r="BW39" i="16"/>
  <c r="CF39" i="16" s="1"/>
  <c r="BZ52" i="15"/>
  <c r="CI52" i="15" s="1"/>
  <c r="BZ47" i="15"/>
  <c r="CI47" i="15" s="1"/>
  <c r="BZ42" i="15"/>
  <c r="CI42" i="15" s="1"/>
  <c r="BZ38" i="15"/>
  <c r="CI38" i="15" s="1"/>
  <c r="CX44" i="14"/>
  <c r="DG44" i="14" s="1"/>
  <c r="BB49" i="14"/>
  <c r="BK49" i="14" s="1"/>
  <c r="BB43" i="14"/>
  <c r="BK43" i="14" s="1"/>
  <c r="CX47" i="13"/>
  <c r="DG47" i="13" s="1"/>
  <c r="CX43" i="13"/>
  <c r="DG43" i="13" s="1"/>
  <c r="BB49" i="13"/>
  <c r="BK49" i="13" s="1"/>
  <c r="BB45" i="13"/>
  <c r="BK45" i="13" s="1"/>
  <c r="BB41" i="13"/>
  <c r="BK41" i="13" s="1"/>
  <c r="F51" i="16"/>
  <c r="O51" i="16" s="1"/>
  <c r="F46" i="16"/>
  <c r="O46" i="16" s="1"/>
  <c r="F43" i="16"/>
  <c r="O43" i="16" s="1"/>
  <c r="AC40" i="16"/>
  <c r="AL40" i="16" s="1"/>
  <c r="AD53" i="15"/>
  <c r="AM53" i="15" s="1"/>
  <c r="F52" i="15"/>
  <c r="O52" i="15" s="1"/>
  <c r="AD50" i="15"/>
  <c r="AM50" i="15" s="1"/>
  <c r="F46" i="15"/>
  <c r="O46" i="15" s="1"/>
  <c r="F42" i="15"/>
  <c r="O42" i="15" s="1"/>
  <c r="AD53" i="14"/>
  <c r="AM53" i="14" s="1"/>
  <c r="F52" i="14"/>
  <c r="O52" i="14" s="1"/>
  <c r="AD47" i="14"/>
  <c r="AM47" i="14" s="1"/>
  <c r="AD42" i="14"/>
  <c r="AM42" i="14" s="1"/>
  <c r="AD39" i="14"/>
  <c r="AM39" i="14" s="1"/>
  <c r="F49" i="13"/>
  <c r="O49" i="13" s="1"/>
  <c r="F41" i="13"/>
  <c r="O41" i="13" s="1"/>
  <c r="CX42" i="13"/>
  <c r="DG42" i="13" s="1"/>
  <c r="BB40" i="13"/>
  <c r="BK40" i="13" s="1"/>
  <c r="CT53" i="16"/>
  <c r="DC53" i="16" s="1"/>
  <c r="CT45" i="16"/>
  <c r="DC45" i="16" s="1"/>
  <c r="BW52" i="16"/>
  <c r="CF52" i="16" s="1"/>
  <c r="BW44" i="16"/>
  <c r="CF44" i="16" s="1"/>
  <c r="CX53" i="15"/>
  <c r="DG53" i="15" s="1"/>
  <c r="CX51" i="15"/>
  <c r="DG51" i="15" s="1"/>
  <c r="CX49" i="15"/>
  <c r="DG49" i="15" s="1"/>
  <c r="CX47" i="15"/>
  <c r="DG47" i="15" s="1"/>
  <c r="CX45" i="15"/>
  <c r="DG45" i="15" s="1"/>
  <c r="CX43" i="15"/>
  <c r="DG43" i="15" s="1"/>
  <c r="CX41" i="15"/>
  <c r="DG41" i="15" s="1"/>
  <c r="CX39" i="15"/>
  <c r="DG39" i="15" s="1"/>
  <c r="CX38" i="15"/>
  <c r="DG38" i="15" s="1"/>
  <c r="BZ49" i="15"/>
  <c r="CI49" i="15" s="1"/>
  <c r="BZ44" i="15"/>
  <c r="CI44" i="15" s="1"/>
  <c r="BB52" i="15"/>
  <c r="BK52" i="15" s="1"/>
  <c r="BB50" i="15"/>
  <c r="BK50" i="15" s="1"/>
  <c r="BB48" i="15"/>
  <c r="BK48" i="15" s="1"/>
  <c r="BB46" i="15"/>
  <c r="BK46" i="15" s="1"/>
  <c r="BB44" i="15"/>
  <c r="BK44" i="15" s="1"/>
  <c r="BB42" i="15"/>
  <c r="BK42" i="15" s="1"/>
  <c r="BB40" i="15"/>
  <c r="BK40" i="15" s="1"/>
  <c r="CX50" i="14"/>
  <c r="DG50" i="14" s="1"/>
  <c r="CX41" i="14"/>
  <c r="DG41" i="14" s="1"/>
  <c r="BZ52" i="14"/>
  <c r="CI52" i="14" s="1"/>
  <c r="BZ49" i="14"/>
  <c r="CI49" i="14" s="1"/>
  <c r="BZ45" i="14"/>
  <c r="CI45" i="14" s="1"/>
  <c r="BB42" i="14"/>
  <c r="BK42" i="14" s="1"/>
  <c r="CX50" i="13"/>
  <c r="DG50" i="13" s="1"/>
  <c r="CX39" i="13"/>
  <c r="DG39" i="13" s="1"/>
  <c r="BZ53" i="13"/>
  <c r="CI53" i="13" s="1"/>
  <c r="BZ49" i="13"/>
  <c r="CI49" i="13" s="1"/>
  <c r="BZ45" i="13"/>
  <c r="CI45" i="13" s="1"/>
  <c r="BZ41" i="13"/>
  <c r="CI41" i="13" s="1"/>
  <c r="BB38" i="13"/>
  <c r="BK38" i="13" s="1"/>
  <c r="AC53" i="16"/>
  <c r="AL53" i="16" s="1"/>
  <c r="AC52" i="16"/>
  <c r="AL52" i="16" s="1"/>
  <c r="AC44" i="16"/>
  <c r="AL44" i="16" s="1"/>
  <c r="AD47" i="15"/>
  <c r="AM47" i="15" s="1"/>
  <c r="AD44" i="15"/>
  <c r="AM44" i="15" s="1"/>
  <c r="AD40" i="15"/>
  <c r="AM40" i="15" s="1"/>
  <c r="AD45" i="14"/>
  <c r="AM45" i="14" s="1"/>
  <c r="AD50" i="13"/>
  <c r="AM50" i="13" s="1"/>
  <c r="AD46" i="13"/>
  <c r="AM46" i="13" s="1"/>
  <c r="AD42" i="13"/>
  <c r="AM42" i="13" s="1"/>
  <c r="F46" i="13"/>
  <c r="O46" i="13" s="1"/>
  <c r="BB41" i="14"/>
  <c r="BK41" i="14" s="1"/>
  <c r="F47" i="16"/>
  <c r="O47" i="16" s="1"/>
  <c r="AD48" i="15"/>
  <c r="AM48" i="15" s="1"/>
  <c r="CT52" i="16"/>
  <c r="DC52" i="16" s="1"/>
  <c r="CT44" i="16"/>
  <c r="DC44" i="16" s="1"/>
  <c r="BW51" i="16"/>
  <c r="CF51" i="16" s="1"/>
  <c r="BW43" i="16"/>
  <c r="CF43" i="16" s="1"/>
  <c r="BZ48" i="15"/>
  <c r="CI48" i="15" s="1"/>
  <c r="CX52" i="14"/>
  <c r="DG52" i="14" s="1"/>
  <c r="CX49" i="14"/>
  <c r="DG49" i="14" s="1"/>
  <c r="CX46" i="14"/>
  <c r="DG46" i="14" s="1"/>
  <c r="CX40" i="14"/>
  <c r="DG40" i="14" s="1"/>
  <c r="BZ51" i="14"/>
  <c r="CI51" i="14" s="1"/>
  <c r="BZ40" i="14"/>
  <c r="CI40" i="14" s="1"/>
  <c r="BB52" i="14"/>
  <c r="BK52" i="14" s="1"/>
  <c r="BB47" i="14"/>
  <c r="BK47" i="14" s="1"/>
  <c r="CX45" i="13"/>
  <c r="DG45" i="13" s="1"/>
  <c r="CX41" i="13"/>
  <c r="DG41" i="13" s="1"/>
  <c r="BZ38" i="13"/>
  <c r="CI38" i="13" s="1"/>
  <c r="BB51" i="13"/>
  <c r="BK51" i="13" s="1"/>
  <c r="BB47" i="13"/>
  <c r="BK47" i="13" s="1"/>
  <c r="BB43" i="13"/>
  <c r="BK43" i="13" s="1"/>
  <c r="BB39" i="13"/>
  <c r="BK39" i="13" s="1"/>
  <c r="F48" i="16"/>
  <c r="O48" i="16" s="1"/>
  <c r="AC42" i="16"/>
  <c r="AL42" i="16" s="1"/>
  <c r="F39" i="16"/>
  <c r="O39" i="16" s="1"/>
  <c r="AC38" i="16"/>
  <c r="AL38" i="16" s="1"/>
  <c r="AD38" i="15"/>
  <c r="AM38" i="15" s="1"/>
  <c r="F53" i="14"/>
  <c r="O53" i="14" s="1"/>
  <c r="F51" i="14"/>
  <c r="O51" i="14" s="1"/>
  <c r="F40" i="14"/>
  <c r="O40" i="14" s="1"/>
  <c r="F53" i="13"/>
  <c r="O53" i="13" s="1"/>
  <c r="F45" i="13"/>
  <c r="O45" i="13" s="1"/>
  <c r="CT49" i="16"/>
  <c r="DC49" i="16" s="1"/>
  <c r="BW48" i="16"/>
  <c r="CF48" i="16" s="1"/>
  <c r="BW40" i="16"/>
  <c r="CF40" i="16" s="1"/>
  <c r="CX52" i="15"/>
  <c r="DG52" i="15" s="1"/>
  <c r="CX50" i="15"/>
  <c r="DG50" i="15" s="1"/>
  <c r="CX48" i="15"/>
  <c r="DG48" i="15" s="1"/>
  <c r="CX46" i="15"/>
  <c r="DG46" i="15" s="1"/>
  <c r="CX44" i="15"/>
  <c r="DG44" i="15" s="1"/>
  <c r="CX42" i="15"/>
  <c r="DG42" i="15" s="1"/>
  <c r="CX40" i="15"/>
  <c r="DG40" i="15" s="1"/>
  <c r="BZ53" i="15"/>
  <c r="CI53" i="15" s="1"/>
  <c r="BZ43" i="15"/>
  <c r="CI43" i="15" s="1"/>
  <c r="BB53" i="15"/>
  <c r="BK53" i="15" s="1"/>
  <c r="BB51" i="15"/>
  <c r="BK51" i="15" s="1"/>
  <c r="BB49" i="15"/>
  <c r="BK49" i="15" s="1"/>
  <c r="BB47" i="15"/>
  <c r="BK47" i="15" s="1"/>
  <c r="BB45" i="15"/>
  <c r="BK45" i="15" s="1"/>
  <c r="BB43" i="15"/>
  <c r="BK43" i="15" s="1"/>
  <c r="BB41" i="15"/>
  <c r="BK41" i="15" s="1"/>
  <c r="BB39" i="15"/>
  <c r="BK39" i="15" s="1"/>
  <c r="BB38" i="15"/>
  <c r="BK38" i="15" s="1"/>
  <c r="BZ47" i="14"/>
  <c r="CI47" i="14" s="1"/>
  <c r="BZ43" i="14"/>
  <c r="CI43" i="14" s="1"/>
  <c r="BZ38" i="14"/>
  <c r="CI38" i="14" s="1"/>
  <c r="BB51" i="14"/>
  <c r="BK51" i="14" s="1"/>
  <c r="BB46" i="14"/>
  <c r="BK46" i="14" s="1"/>
  <c r="BB39" i="14"/>
  <c r="BK39" i="14" s="1"/>
  <c r="CX52" i="13"/>
  <c r="DG52" i="13" s="1"/>
  <c r="BZ51" i="13"/>
  <c r="CI51" i="13" s="1"/>
  <c r="BZ47" i="13"/>
  <c r="CI47" i="13" s="1"/>
  <c r="BZ43" i="13"/>
  <c r="CI43" i="13" s="1"/>
  <c r="F53" i="16"/>
  <c r="O53" i="16" s="1"/>
  <c r="CT46" i="16"/>
  <c r="DC46" i="16" s="1"/>
  <c r="BW46" i="16"/>
  <c r="CF46" i="16" s="1"/>
  <c r="AZ50" i="16"/>
  <c r="BI50" i="16" s="1"/>
  <c r="AZ42" i="16"/>
  <c r="BI42" i="16" s="1"/>
  <c r="BZ40" i="13"/>
  <c r="CI40" i="13" s="1"/>
  <c r="BB42" i="13"/>
  <c r="BK42" i="13" s="1"/>
  <c r="AC51" i="16"/>
  <c r="AL51" i="16" s="1"/>
  <c r="F45" i="16"/>
  <c r="O45" i="16" s="1"/>
  <c r="AD51" i="15"/>
  <c r="AM51" i="15" s="1"/>
  <c r="AD49" i="15"/>
  <c r="AM49" i="15" s="1"/>
  <c r="F44" i="15"/>
  <c r="O44" i="15" s="1"/>
  <c r="AD42" i="15"/>
  <c r="AM42" i="15" s="1"/>
  <c r="F48" i="14"/>
  <c r="O48" i="14" s="1"/>
  <c r="F42" i="13"/>
  <c r="O42" i="13" s="1"/>
  <c r="CT42" i="16"/>
  <c r="DC42" i="16" s="1"/>
  <c r="CT39" i="16"/>
  <c r="DC39" i="16" s="1"/>
  <c r="BW53" i="16"/>
  <c r="CF53" i="16" s="1"/>
  <c r="BZ45" i="15"/>
  <c r="CI45" i="15" s="1"/>
  <c r="CX42" i="14"/>
  <c r="DG42" i="14" s="1"/>
  <c r="BZ50" i="14"/>
  <c r="CI50" i="14" s="1"/>
  <c r="BB45" i="14"/>
  <c r="BK45" i="14" s="1"/>
  <c r="BZ52" i="13"/>
  <c r="CI52" i="13" s="1"/>
  <c r="AC46" i="16"/>
  <c r="AL46" i="16" s="1"/>
  <c r="F53" i="15"/>
  <c r="O53" i="15" s="1"/>
  <c r="AD45" i="15"/>
  <c r="AM45" i="15" s="1"/>
  <c r="F39" i="15"/>
  <c r="O39" i="15" s="1"/>
  <c r="F43" i="14"/>
  <c r="O43" i="14" s="1"/>
  <c r="AD49" i="13"/>
  <c r="AM49" i="13" s="1"/>
  <c r="AD44" i="13"/>
  <c r="AM44" i="13" s="1"/>
  <c r="F51" i="13"/>
  <c r="O51" i="13" s="1"/>
  <c r="F48" i="13"/>
  <c r="O48" i="13" s="1"/>
  <c r="F41" i="16"/>
  <c r="O41" i="16" s="1"/>
  <c r="AC39" i="16"/>
  <c r="AL39" i="16" s="1"/>
  <c r="F38" i="16"/>
  <c r="O38" i="16" s="1"/>
  <c r="F47" i="15"/>
  <c r="O47" i="15" s="1"/>
  <c r="AD49" i="14"/>
  <c r="AM49" i="14" s="1"/>
  <c r="F45" i="14"/>
  <c r="O45" i="14" s="1"/>
  <c r="BW45" i="16"/>
  <c r="CF45" i="16" s="1"/>
  <c r="BZ39" i="13"/>
  <c r="CI39" i="13" s="1"/>
  <c r="BB46" i="13"/>
  <c r="BK46" i="13" s="1"/>
  <c r="AC49" i="16"/>
  <c r="AL49" i="16" s="1"/>
  <c r="AD43" i="15"/>
  <c r="AM43" i="15" s="1"/>
  <c r="F40" i="15"/>
  <c r="O40" i="15" s="1"/>
  <c r="AD51" i="14"/>
  <c r="AM51" i="14" s="1"/>
  <c r="F47" i="14"/>
  <c r="O47" i="14" s="1"/>
  <c r="AD48" i="13"/>
  <c r="AM48" i="13" s="1"/>
  <c r="BW38" i="16"/>
  <c r="CF38" i="16" s="1"/>
  <c r="BB53" i="14"/>
  <c r="BK53" i="14" s="1"/>
  <c r="CX44" i="13"/>
  <c r="DG44" i="13" s="1"/>
  <c r="AC50" i="16"/>
  <c r="AL50" i="16" s="1"/>
  <c r="F44" i="16"/>
  <c r="O44" i="16" s="1"/>
  <c r="F45" i="15"/>
  <c r="O45" i="15" s="1"/>
  <c r="AD38" i="13"/>
  <c r="AM38" i="13" s="1"/>
  <c r="F47" i="13"/>
  <c r="O47" i="13" s="1"/>
  <c r="BZ44" i="13"/>
  <c r="CI44" i="13" s="1"/>
  <c r="AZ52" i="16"/>
  <c r="BI52" i="16" s="1"/>
  <c r="AZ44" i="16"/>
  <c r="BI44" i="16" s="1"/>
  <c r="BZ51" i="15"/>
  <c r="CI51" i="15" s="1"/>
  <c r="BZ41" i="15"/>
  <c r="CI41" i="15" s="1"/>
  <c r="CX45" i="14"/>
  <c r="DG45" i="14" s="1"/>
  <c r="BZ44" i="14"/>
  <c r="CI44" i="14" s="1"/>
  <c r="BB40" i="14"/>
  <c r="BK40" i="14" s="1"/>
  <c r="F51" i="15"/>
  <c r="O51" i="15" s="1"/>
  <c r="AZ46" i="16"/>
  <c r="BI46" i="16" s="1"/>
  <c r="CT47" i="16"/>
  <c r="DC47" i="16" s="1"/>
  <c r="BZ50" i="15"/>
  <c r="CI50" i="15" s="1"/>
  <c r="BZ40" i="15"/>
  <c r="CI40" i="15" s="1"/>
  <c r="BZ48" i="14"/>
  <c r="CI48" i="14" s="1"/>
  <c r="BB50" i="14"/>
  <c r="BK50" i="14" s="1"/>
  <c r="F52" i="16"/>
  <c r="O52" i="16" s="1"/>
  <c r="AC45" i="16"/>
  <c r="AL45" i="16" s="1"/>
  <c r="F48" i="15"/>
  <c r="O48" i="15" s="1"/>
  <c r="AD46" i="15"/>
  <c r="AM46" i="15" s="1"/>
  <c r="AD44" i="14"/>
  <c r="AM44" i="14" s="1"/>
  <c r="AD52" i="13"/>
  <c r="AM52" i="13" s="1"/>
  <c r="AD41" i="13"/>
  <c r="AM41" i="13" s="1"/>
  <c r="F43" i="13"/>
  <c r="O43" i="13" s="1"/>
  <c r="F40" i="13"/>
  <c r="O40" i="13" s="1"/>
  <c r="CT38" i="16"/>
  <c r="DC38" i="16" s="1"/>
  <c r="AZ48" i="16"/>
  <c r="BI48" i="16" s="1"/>
  <c r="AZ40" i="16"/>
  <c r="BI40" i="16" s="1"/>
  <c r="BZ46" i="15"/>
  <c r="CI46" i="15" s="1"/>
  <c r="CX43" i="14"/>
  <c r="DG43" i="14" s="1"/>
  <c r="BZ48" i="13"/>
  <c r="CI48" i="13" s="1"/>
  <c r="BB50" i="13"/>
  <c r="BK50" i="13" s="1"/>
  <c r="F49" i="16"/>
  <c r="O49" i="16" s="1"/>
  <c r="F41" i="15"/>
  <c r="O41" i="15" s="1"/>
  <c r="AD48" i="14"/>
  <c r="AM48" i="14" s="1"/>
  <c r="AD46" i="14"/>
  <c r="AM46" i="14" s="1"/>
  <c r="AD41" i="14"/>
  <c r="AM41" i="14" s="1"/>
  <c r="AD38" i="14"/>
  <c r="AM38" i="14" s="1"/>
  <c r="F38" i="14"/>
  <c r="O38" i="14" s="1"/>
  <c r="CX51" i="14"/>
  <c r="DG51" i="14" s="1"/>
  <c r="BB38" i="14"/>
  <c r="BK38" i="14" s="1"/>
  <c r="CX53" i="13"/>
  <c r="DG53" i="13" s="1"/>
  <c r="CX48" i="13"/>
  <c r="DG48" i="13" s="1"/>
  <c r="AC43" i="16"/>
  <c r="AL43" i="16" s="1"/>
  <c r="F40" i="16"/>
  <c r="O40" i="16" s="1"/>
  <c r="F38" i="15"/>
  <c r="O38" i="15" s="1"/>
  <c r="F46" i="14"/>
  <c r="O46" i="14" s="1"/>
  <c r="F41" i="14"/>
  <c r="O41" i="14" s="1"/>
  <c r="F39" i="14"/>
  <c r="O39" i="14" s="1"/>
  <c r="AD45" i="13"/>
  <c r="AM45" i="13" s="1"/>
  <c r="AD40" i="13"/>
  <c r="AM40" i="13" s="1"/>
  <c r="AD53" i="13"/>
  <c r="AM53" i="13" s="1"/>
  <c r="CX49" i="13"/>
  <c r="DG49" i="13" s="1"/>
  <c r="AD52" i="15"/>
  <c r="AM52" i="15" s="1"/>
  <c r="AD41" i="15"/>
  <c r="AM41" i="15" s="1"/>
  <c r="F50" i="13"/>
  <c r="O50" i="13" s="1"/>
  <c r="F38" i="13"/>
  <c r="O38" i="13" s="1"/>
  <c r="H47" i="10"/>
  <c r="Y47" i="10" s="1"/>
  <c r="H52" i="10"/>
  <c r="Y52" i="10" s="1"/>
  <c r="H48" i="10"/>
  <c r="Y48" i="10" s="1"/>
  <c r="H44" i="10"/>
  <c r="Y44" i="10" s="1"/>
  <c r="H40" i="10"/>
  <c r="Y40" i="10" s="1"/>
  <c r="H54" i="10"/>
  <c r="Y54" i="10" s="1"/>
  <c r="AF39" i="10"/>
  <c r="H39" i="10"/>
  <c r="H43" i="10"/>
  <c r="Y43" i="10" s="1"/>
  <c r="H42" i="10"/>
  <c r="Y42" i="10" s="1"/>
  <c r="H46" i="10"/>
  <c r="Y46" i="10" s="1"/>
  <c r="H51" i="10"/>
  <c r="Y51" i="10" s="1"/>
  <c r="H50" i="10"/>
  <c r="Y50" i="10" s="1"/>
  <c r="H45" i="10"/>
  <c r="Y45" i="10" s="1"/>
  <c r="H49" i="10"/>
  <c r="Y49" i="10" s="1"/>
  <c r="H41" i="10"/>
  <c r="Y41" i="10" s="1"/>
  <c r="H53" i="10"/>
  <c r="Y53" i="10" s="1"/>
  <c r="R20" i="8"/>
  <c r="K23" i="2"/>
  <c r="K42" i="2" s="1"/>
  <c r="K41" i="2" s="1"/>
  <c r="P20" i="8"/>
  <c r="X18" i="2"/>
  <c r="T17" i="8" s="1"/>
  <c r="AD42" i="10" l="1"/>
  <c r="K64" i="22" s="1"/>
  <c r="AD52" i="10"/>
  <c r="K74" i="22" s="1"/>
  <c r="AD53" i="10"/>
  <c r="K75" i="22" s="1"/>
  <c r="AD43" i="10"/>
  <c r="K65" i="22" s="1"/>
  <c r="AD47" i="10"/>
  <c r="K69" i="22" s="1"/>
  <c r="AD46" i="10"/>
  <c r="K68" i="22" s="1"/>
  <c r="AD41" i="10"/>
  <c r="K63" i="22" s="1"/>
  <c r="CN63" i="15"/>
  <c r="CS63" i="15" s="1"/>
  <c r="CR63" i="15"/>
  <c r="CW63" i="15" s="1"/>
  <c r="CW64" i="15" s="1"/>
  <c r="CW65" i="15" s="1"/>
  <c r="CW66" i="15" s="1"/>
  <c r="CW67" i="15" s="1"/>
  <c r="CW68" i="15" s="1"/>
  <c r="CW69" i="15" s="1"/>
  <c r="CW70" i="15" s="1"/>
  <c r="CW71" i="15" s="1"/>
  <c r="CW72" i="15" s="1"/>
  <c r="CW73" i="15" s="1"/>
  <c r="CW74" i="15" s="1"/>
  <c r="CW75" i="15" s="1"/>
  <c r="CW76" i="15" s="1"/>
  <c r="CW77" i="15" s="1"/>
  <c r="CW78" i="15" s="1"/>
  <c r="U162" i="15" s="1"/>
  <c r="U163" i="15" s="1"/>
  <c r="U165" i="15" s="1"/>
  <c r="U167" i="15" s="1"/>
  <c r="AD48" i="10"/>
  <c r="K70" i="22" s="1"/>
  <c r="AD49" i="10"/>
  <c r="K71" i="22" s="1"/>
  <c r="AD45" i="10"/>
  <c r="K67" i="22" s="1"/>
  <c r="AD54" i="10"/>
  <c r="K76" i="22" s="1"/>
  <c r="AD50" i="10"/>
  <c r="K72" i="22" s="1"/>
  <c r="AD40" i="10"/>
  <c r="K62" i="22" s="1"/>
  <c r="AN73" i="15"/>
  <c r="AS73" i="15" s="1"/>
  <c r="AR73" i="15"/>
  <c r="AD51" i="10"/>
  <c r="K73" i="22" s="1"/>
  <c r="AD44" i="10"/>
  <c r="K66" i="22" s="1"/>
  <c r="BO63" i="15"/>
  <c r="BT63" i="15" s="1"/>
  <c r="BR63" i="15"/>
  <c r="CW76" i="16"/>
  <c r="CW77" i="16" s="1"/>
  <c r="CW78" i="16" s="1"/>
  <c r="U162" i="16" s="1"/>
  <c r="U163" i="16" s="1"/>
  <c r="BN63" i="15"/>
  <c r="BS63" i="15" s="1"/>
  <c r="BN71" i="15"/>
  <c r="BS71" i="15" s="1"/>
  <c r="CO76" i="15"/>
  <c r="CT76" i="15" s="1"/>
  <c r="CN76" i="15"/>
  <c r="CS76" i="15" s="1"/>
  <c r="CO63" i="15"/>
  <c r="CT63" i="15" s="1"/>
  <c r="BO71" i="15"/>
  <c r="BT71" i="15" s="1"/>
  <c r="AW71" i="16"/>
  <c r="AW72" i="16" s="1"/>
  <c r="AW73" i="16" s="1"/>
  <c r="AW74" i="16" s="1"/>
  <c r="AW75" i="16" s="1"/>
  <c r="AW76" i="16" s="1"/>
  <c r="AW77" i="16" s="1"/>
  <c r="AW78" i="16" s="1"/>
  <c r="S162" i="16" s="1"/>
  <c r="S163" i="16" s="1"/>
  <c r="CB88" i="15"/>
  <c r="I13" i="10"/>
  <c r="W13" i="10" s="1"/>
  <c r="AB13" i="10" s="1"/>
  <c r="BW71" i="13"/>
  <c r="BW72" i="13" s="1"/>
  <c r="BW73" i="13" s="1"/>
  <c r="BW74" i="13" s="1"/>
  <c r="BW75" i="13" s="1"/>
  <c r="BW76" i="13" s="1"/>
  <c r="BW77" i="13" s="1"/>
  <c r="BW78" i="13" s="1"/>
  <c r="T162" i="13" s="1"/>
  <c r="T163" i="13" s="1"/>
  <c r="T165" i="13" s="1"/>
  <c r="T167" i="13" s="1"/>
  <c r="CX63" i="15"/>
  <c r="CX64" i="15" s="1"/>
  <c r="CX65" i="15" s="1"/>
  <c r="CX66" i="15" s="1"/>
  <c r="CX67" i="15" s="1"/>
  <c r="CX68" i="15" s="1"/>
  <c r="CX69" i="15" s="1"/>
  <c r="CX70" i="15" s="1"/>
  <c r="AX63" i="14"/>
  <c r="AX64" i="14" s="1"/>
  <c r="AX65" i="14" s="1"/>
  <c r="AX66" i="14" s="1"/>
  <c r="AX67" i="14" s="1"/>
  <c r="AX68" i="14" s="1"/>
  <c r="AX69" i="14" s="1"/>
  <c r="AX70" i="14" s="1"/>
  <c r="AX71" i="14" s="1"/>
  <c r="AX72" i="14" s="1"/>
  <c r="AX73" i="14" s="1"/>
  <c r="AX74" i="14" s="1"/>
  <c r="AX75" i="14" s="1"/>
  <c r="AX76" i="14" s="1"/>
  <c r="AX77" i="14" s="1"/>
  <c r="AX78" i="14" s="1"/>
  <c r="DX63" i="14"/>
  <c r="DX64" i="14" s="1"/>
  <c r="DX65" i="14" s="1"/>
  <c r="DX66" i="14" s="1"/>
  <c r="DX67" i="14" s="1"/>
  <c r="DX68" i="14" s="1"/>
  <c r="DX69" i="14" s="1"/>
  <c r="DX70" i="14" s="1"/>
  <c r="DX71" i="14" s="1"/>
  <c r="DX72" i="14" s="1"/>
  <c r="DX73" i="14" s="1"/>
  <c r="DX74" i="14" s="1"/>
  <c r="DX75" i="14" s="1"/>
  <c r="DX76" i="14" s="1"/>
  <c r="DX77" i="14" s="1"/>
  <c r="DX78" i="14" s="1"/>
  <c r="X63" i="14"/>
  <c r="X64" i="14" s="1"/>
  <c r="X65" i="14" s="1"/>
  <c r="X66" i="14" s="1"/>
  <c r="X67" i="14" s="1"/>
  <c r="X68" i="14" s="1"/>
  <c r="X69" i="14" s="1"/>
  <c r="X70" i="14" s="1"/>
  <c r="X71" i="14" s="1"/>
  <c r="X72" i="14" s="1"/>
  <c r="X73" i="14" s="1"/>
  <c r="X74" i="14" s="1"/>
  <c r="X75" i="14" s="1"/>
  <c r="X76" i="14" s="1"/>
  <c r="X77" i="14" s="1"/>
  <c r="X78" i="14" s="1"/>
  <c r="BW63" i="15"/>
  <c r="BW64" i="15" s="1"/>
  <c r="BW65" i="15" s="1"/>
  <c r="BW66" i="15" s="1"/>
  <c r="BW67" i="15" s="1"/>
  <c r="BW68" i="15" s="1"/>
  <c r="BW69" i="15" s="1"/>
  <c r="BW70" i="15" s="1"/>
  <c r="BW71" i="15" s="1"/>
  <c r="BW72" i="15" s="1"/>
  <c r="BW73" i="15" s="1"/>
  <c r="BW74" i="15" s="1"/>
  <c r="BW75" i="15" s="1"/>
  <c r="BW76" i="15" s="1"/>
  <c r="BW77" i="15" s="1"/>
  <c r="BW78" i="15" s="1"/>
  <c r="T162" i="15" s="1"/>
  <c r="T163" i="15" s="1"/>
  <c r="T165" i="15" s="1"/>
  <c r="T167" i="15" s="1"/>
  <c r="BX63" i="15"/>
  <c r="BX64" i="15" s="1"/>
  <c r="BX65" i="15" s="1"/>
  <c r="BX66" i="15" s="1"/>
  <c r="BX67" i="15" s="1"/>
  <c r="BX68" i="15" s="1"/>
  <c r="BX69" i="15" s="1"/>
  <c r="BX70" i="15" s="1"/>
  <c r="X63" i="13"/>
  <c r="X64" i="13" s="1"/>
  <c r="X65" i="13" s="1"/>
  <c r="X66" i="13" s="1"/>
  <c r="X67" i="13" s="1"/>
  <c r="X68" i="13" s="1"/>
  <c r="X69" i="13" s="1"/>
  <c r="X70" i="13" s="1"/>
  <c r="X71" i="13" s="1"/>
  <c r="X72" i="13" s="1"/>
  <c r="X73" i="13" s="1"/>
  <c r="X74" i="13" s="1"/>
  <c r="X75" i="13" s="1"/>
  <c r="X76" i="13" s="1"/>
  <c r="X77" i="13" s="1"/>
  <c r="X78" i="13" s="1"/>
  <c r="CX63" i="13"/>
  <c r="CX64" i="13" s="1"/>
  <c r="CX65" i="13" s="1"/>
  <c r="CX66" i="13" s="1"/>
  <c r="CX67" i="13" s="1"/>
  <c r="CX68" i="13" s="1"/>
  <c r="CX69" i="13" s="1"/>
  <c r="CX70" i="13" s="1"/>
  <c r="CX71" i="13" s="1"/>
  <c r="CX72" i="13" s="1"/>
  <c r="CX73" i="13" s="1"/>
  <c r="CX74" i="13" s="1"/>
  <c r="CX75" i="13" s="1"/>
  <c r="CX76" i="13" s="1"/>
  <c r="CX77" i="13" s="1"/>
  <c r="CX78" i="13" s="1"/>
  <c r="BX63" i="13"/>
  <c r="BX64" i="13" s="1"/>
  <c r="BX65" i="13" s="1"/>
  <c r="BX66" i="13" s="1"/>
  <c r="BX67" i="13" s="1"/>
  <c r="BX68" i="13" s="1"/>
  <c r="BX69" i="13" s="1"/>
  <c r="BX70" i="13" s="1"/>
  <c r="BX71" i="13" s="1"/>
  <c r="BX72" i="13" s="1"/>
  <c r="BX73" i="13" s="1"/>
  <c r="BX74" i="13" s="1"/>
  <c r="BX75" i="13" s="1"/>
  <c r="BX76" i="13" s="1"/>
  <c r="BX77" i="13" s="1"/>
  <c r="BX78" i="13" s="1"/>
  <c r="DX63" i="16"/>
  <c r="DX64" i="16" s="1"/>
  <c r="DX65" i="16" s="1"/>
  <c r="DX66" i="16" s="1"/>
  <c r="DX67" i="16" s="1"/>
  <c r="DX68" i="16" s="1"/>
  <c r="DX69" i="16" s="1"/>
  <c r="DX70" i="16" s="1"/>
  <c r="DX71" i="16" s="1"/>
  <c r="DX72" i="16" s="1"/>
  <c r="DX73" i="16" s="1"/>
  <c r="DX74" i="16" s="1"/>
  <c r="DX75" i="16" s="1"/>
  <c r="DX76" i="16" s="1"/>
  <c r="DX77" i="16" s="1"/>
  <c r="DX78" i="16" s="1"/>
  <c r="BX63" i="16"/>
  <c r="BX64" i="16" s="1"/>
  <c r="BX65" i="16" s="1"/>
  <c r="BX66" i="16" s="1"/>
  <c r="BX67" i="16" s="1"/>
  <c r="BX68" i="16" s="1"/>
  <c r="BX69" i="16" s="1"/>
  <c r="BX70" i="16" s="1"/>
  <c r="BX71" i="16" s="1"/>
  <c r="BX72" i="16" s="1"/>
  <c r="BX73" i="16" s="1"/>
  <c r="BX74" i="16" s="1"/>
  <c r="BX75" i="16" s="1"/>
  <c r="BX76" i="16" s="1"/>
  <c r="BX77" i="16" s="1"/>
  <c r="BX78" i="16" s="1"/>
  <c r="DW63" i="15"/>
  <c r="DW64" i="15" s="1"/>
  <c r="DW65" i="15" s="1"/>
  <c r="DW66" i="15" s="1"/>
  <c r="DW67" i="15" s="1"/>
  <c r="DW68" i="15" s="1"/>
  <c r="DW69" i="15" s="1"/>
  <c r="DW70" i="15" s="1"/>
  <c r="DW71" i="15" s="1"/>
  <c r="DW72" i="15" s="1"/>
  <c r="DW73" i="15" s="1"/>
  <c r="DW74" i="15" s="1"/>
  <c r="DW75" i="15" s="1"/>
  <c r="DW76" i="15" s="1"/>
  <c r="DW77" i="15" s="1"/>
  <c r="DW78" i="15" s="1"/>
  <c r="V162" i="15" s="1"/>
  <c r="V163" i="15" s="1"/>
  <c r="V165" i="15" s="1"/>
  <c r="V167" i="15" s="1"/>
  <c r="AW63" i="15"/>
  <c r="AW64" i="15" s="1"/>
  <c r="AW65" i="15" s="1"/>
  <c r="AW66" i="15" s="1"/>
  <c r="AW67" i="15" s="1"/>
  <c r="AW68" i="15" s="1"/>
  <c r="AW69" i="15" s="1"/>
  <c r="AW70" i="15" s="1"/>
  <c r="AW71" i="15" s="1"/>
  <c r="AW72" i="15" s="1"/>
  <c r="DX63" i="13"/>
  <c r="DX64" i="13" s="1"/>
  <c r="DX65" i="13" s="1"/>
  <c r="DX66" i="13" s="1"/>
  <c r="DX67" i="13" s="1"/>
  <c r="DX68" i="13" s="1"/>
  <c r="DX69" i="13" s="1"/>
  <c r="DX70" i="13" s="1"/>
  <c r="DX71" i="13" s="1"/>
  <c r="DX72" i="13" s="1"/>
  <c r="DX73" i="13" s="1"/>
  <c r="DX74" i="13" s="1"/>
  <c r="DX75" i="13" s="1"/>
  <c r="DX76" i="13" s="1"/>
  <c r="DX77" i="13" s="1"/>
  <c r="DX78" i="13" s="1"/>
  <c r="AX63" i="13"/>
  <c r="AX64" i="13" s="1"/>
  <c r="AX65" i="13" s="1"/>
  <c r="AX66" i="13" s="1"/>
  <c r="AX67" i="13" s="1"/>
  <c r="AX68" i="13" s="1"/>
  <c r="AX69" i="13" s="1"/>
  <c r="AX70" i="13" s="1"/>
  <c r="AX71" i="13" s="1"/>
  <c r="AX72" i="13" s="1"/>
  <c r="AX73" i="13" s="1"/>
  <c r="AX74" i="13" s="1"/>
  <c r="AX75" i="13" s="1"/>
  <c r="AX76" i="13" s="1"/>
  <c r="AX77" i="13" s="1"/>
  <c r="AX78" i="13" s="1"/>
  <c r="X63" i="15"/>
  <c r="X64" i="15" s="1"/>
  <c r="X65" i="15" s="1"/>
  <c r="X66" i="15" s="1"/>
  <c r="X67" i="15" s="1"/>
  <c r="X68" i="15" s="1"/>
  <c r="X69" i="15" s="1"/>
  <c r="X70" i="15" s="1"/>
  <c r="X71" i="15" s="1"/>
  <c r="X72" i="15" s="1"/>
  <c r="X73" i="15" s="1"/>
  <c r="X74" i="15" s="1"/>
  <c r="X75" i="15" s="1"/>
  <c r="X76" i="15" s="1"/>
  <c r="X77" i="15" s="1"/>
  <c r="X78" i="15" s="1"/>
  <c r="X63" i="16"/>
  <c r="X64" i="16" s="1"/>
  <c r="X65" i="16" s="1"/>
  <c r="X66" i="16" s="1"/>
  <c r="X67" i="16" s="1"/>
  <c r="X68" i="16" s="1"/>
  <c r="X69" i="16" s="1"/>
  <c r="X70" i="16" s="1"/>
  <c r="X71" i="16" s="1"/>
  <c r="X72" i="16" s="1"/>
  <c r="X73" i="16" s="1"/>
  <c r="X74" i="16" s="1"/>
  <c r="X75" i="16" s="1"/>
  <c r="X76" i="16" s="1"/>
  <c r="X77" i="16" s="1"/>
  <c r="X78" i="16" s="1"/>
  <c r="BX63" i="14"/>
  <c r="BX64" i="14" s="1"/>
  <c r="BX65" i="14" s="1"/>
  <c r="BX66" i="14" s="1"/>
  <c r="BX67" i="14" s="1"/>
  <c r="BX68" i="14" s="1"/>
  <c r="BX69" i="14" s="1"/>
  <c r="BX70" i="14" s="1"/>
  <c r="BX71" i="14" s="1"/>
  <c r="BX72" i="14" s="1"/>
  <c r="BX73" i="14" s="1"/>
  <c r="BX74" i="14" s="1"/>
  <c r="BX75" i="14" s="1"/>
  <c r="BX76" i="14" s="1"/>
  <c r="BX77" i="14" s="1"/>
  <c r="BX78" i="14" s="1"/>
  <c r="CX63" i="16"/>
  <c r="CX64" i="16" s="1"/>
  <c r="CX65" i="16" s="1"/>
  <c r="CX66" i="16" s="1"/>
  <c r="CX67" i="16" s="1"/>
  <c r="CX68" i="16" s="1"/>
  <c r="CX69" i="16" s="1"/>
  <c r="CX70" i="16" s="1"/>
  <c r="CX71" i="16" s="1"/>
  <c r="CX72" i="16" s="1"/>
  <c r="CX73" i="16" s="1"/>
  <c r="CX74" i="16" s="1"/>
  <c r="CX75" i="16" s="1"/>
  <c r="CX76" i="16" s="1"/>
  <c r="CX77" i="16" s="1"/>
  <c r="CX78" i="16" s="1"/>
  <c r="CX63" i="14"/>
  <c r="CX64" i="14" s="1"/>
  <c r="CX65" i="14" s="1"/>
  <c r="CX66" i="14" s="1"/>
  <c r="CX67" i="14" s="1"/>
  <c r="CX68" i="14" s="1"/>
  <c r="CX69" i="14" s="1"/>
  <c r="CX70" i="14" s="1"/>
  <c r="CX71" i="14" s="1"/>
  <c r="CX72" i="14" s="1"/>
  <c r="CX73" i="14" s="1"/>
  <c r="CX74" i="14" s="1"/>
  <c r="CX75" i="14" s="1"/>
  <c r="CX76" i="14" s="1"/>
  <c r="CX77" i="14" s="1"/>
  <c r="CX78" i="14" s="1"/>
  <c r="AJ166" i="15"/>
  <c r="AJ168" i="15" s="1"/>
  <c r="H33" i="12"/>
  <c r="AH166" i="13"/>
  <c r="AH168" i="13" s="1"/>
  <c r="G19" i="12"/>
  <c r="AI166" i="15"/>
  <c r="AI168" i="15" s="1"/>
  <c r="E33" i="12"/>
  <c r="AH166" i="14"/>
  <c r="AH168" i="14" s="1"/>
  <c r="G26" i="12"/>
  <c r="AJ166" i="13"/>
  <c r="AJ168" i="13" s="1"/>
  <c r="H19" i="12"/>
  <c r="AI166" i="14"/>
  <c r="AI168" i="14" s="1"/>
  <c r="E26" i="12"/>
  <c r="D19" i="12"/>
  <c r="AK166" i="13"/>
  <c r="AK168" i="13" s="1"/>
  <c r="E19" i="12"/>
  <c r="AI166" i="13"/>
  <c r="AI168" i="13" s="1"/>
  <c r="AJ166" i="14"/>
  <c r="AJ168" i="14" s="1"/>
  <c r="H26" i="12"/>
  <c r="AG166" i="15"/>
  <c r="AG168" i="15" s="1"/>
  <c r="F33" i="12"/>
  <c r="AG166" i="14"/>
  <c r="AG168" i="14" s="1"/>
  <c r="F26" i="12"/>
  <c r="D26" i="12"/>
  <c r="AK166" i="14"/>
  <c r="AK168" i="14" s="1"/>
  <c r="AH166" i="15"/>
  <c r="AH168" i="15" s="1"/>
  <c r="G33" i="12"/>
  <c r="F19" i="12"/>
  <c r="AG166" i="13"/>
  <c r="AG168" i="13" s="1"/>
  <c r="BO73" i="15"/>
  <c r="BT73" i="15" s="1"/>
  <c r="BN73" i="15"/>
  <c r="BS73" i="15" s="1"/>
  <c r="BO76" i="15"/>
  <c r="BT76" i="15" s="1"/>
  <c r="AX71" i="16"/>
  <c r="AX72" i="16" s="1"/>
  <c r="AX73" i="16" s="1"/>
  <c r="AX74" i="16" s="1"/>
  <c r="AX75" i="16" s="1"/>
  <c r="AX76" i="16" s="1"/>
  <c r="AX77" i="16" s="1"/>
  <c r="AX78" i="16" s="1"/>
  <c r="BN76" i="15"/>
  <c r="BS76" i="15" s="1"/>
  <c r="AN76" i="15"/>
  <c r="AS76" i="15" s="1"/>
  <c r="AO63" i="15"/>
  <c r="AT63" i="15" s="1"/>
  <c r="AN63" i="15"/>
  <c r="AS63" i="15" s="1"/>
  <c r="W73" i="14"/>
  <c r="W74" i="14" s="1"/>
  <c r="W75" i="14" s="1"/>
  <c r="W76" i="14" s="1"/>
  <c r="W77" i="14" s="1"/>
  <c r="W78" i="14" s="1"/>
  <c r="R162" i="14" s="1"/>
  <c r="R163" i="14" s="1"/>
  <c r="R165" i="14" s="1"/>
  <c r="R167" i="14" s="1"/>
  <c r="DO63" i="15"/>
  <c r="DT63" i="15" s="1"/>
  <c r="CO73" i="15"/>
  <c r="CT73" i="15" s="1"/>
  <c r="DN63" i="15"/>
  <c r="DS63" i="15" s="1"/>
  <c r="BW71" i="14"/>
  <c r="BW72" i="14" s="1"/>
  <c r="BW73" i="14" s="1"/>
  <c r="BW74" i="14" s="1"/>
  <c r="BW75" i="14" s="1"/>
  <c r="BW76" i="14" s="1"/>
  <c r="BW77" i="14" s="1"/>
  <c r="BW78" i="14" s="1"/>
  <c r="T162" i="14" s="1"/>
  <c r="T163" i="14" s="1"/>
  <c r="T165" i="14" s="1"/>
  <c r="T167" i="14" s="1"/>
  <c r="DO76" i="15"/>
  <c r="DT76" i="15" s="1"/>
  <c r="W71" i="13"/>
  <c r="W72" i="13" s="1"/>
  <c r="W73" i="13" s="1"/>
  <c r="W74" i="13" s="1"/>
  <c r="W75" i="13" s="1"/>
  <c r="W76" i="13" s="1"/>
  <c r="W77" i="13" s="1"/>
  <c r="W78" i="13" s="1"/>
  <c r="R162" i="13" s="1"/>
  <c r="R163" i="13" s="1"/>
  <c r="R165" i="13" s="1"/>
  <c r="R167" i="13" s="1"/>
  <c r="DN76" i="15"/>
  <c r="DS76" i="15" s="1"/>
  <c r="BN78" i="15"/>
  <c r="BS78" i="15" s="1"/>
  <c r="W71" i="16"/>
  <c r="W72" i="16" s="1"/>
  <c r="W73" i="16" s="1"/>
  <c r="W74" i="16" s="1"/>
  <c r="W75" i="16" s="1"/>
  <c r="W76" i="16" s="1"/>
  <c r="W77" i="16" s="1"/>
  <c r="W78" i="16" s="1"/>
  <c r="R162" i="16" s="1"/>
  <c r="R163" i="16" s="1"/>
  <c r="AO76" i="15"/>
  <c r="AT76" i="15" s="1"/>
  <c r="DO71" i="15"/>
  <c r="DT71" i="15" s="1"/>
  <c r="AO73" i="15"/>
  <c r="AT73" i="15" s="1"/>
  <c r="DW71" i="16"/>
  <c r="DW72" i="16" s="1"/>
  <c r="DW73" i="16" s="1"/>
  <c r="DW74" i="16" s="1"/>
  <c r="DW75" i="16" s="1"/>
  <c r="DW76" i="16" s="1"/>
  <c r="DW77" i="16" s="1"/>
  <c r="DW78" i="16" s="1"/>
  <c r="V162" i="16" s="1"/>
  <c r="V163" i="16" s="1"/>
  <c r="DN71" i="15"/>
  <c r="DS71" i="15" s="1"/>
  <c r="CO71" i="15"/>
  <c r="CT71" i="15" s="1"/>
  <c r="DW71" i="14"/>
  <c r="DW72" i="14" s="1"/>
  <c r="DW73" i="14" s="1"/>
  <c r="DW74" i="14" s="1"/>
  <c r="DW75" i="14" s="1"/>
  <c r="DW76" i="14" s="1"/>
  <c r="DW77" i="14" s="1"/>
  <c r="DW78" i="14" s="1"/>
  <c r="V162" i="14" s="1"/>
  <c r="V163" i="14" s="1"/>
  <c r="V165" i="14" s="1"/>
  <c r="V167" i="14" s="1"/>
  <c r="AO71" i="15"/>
  <c r="AT71" i="15" s="1"/>
  <c r="CN71" i="15"/>
  <c r="CS71" i="15" s="1"/>
  <c r="AN71" i="15"/>
  <c r="AS71" i="15" s="1"/>
  <c r="DO73" i="15"/>
  <c r="DT73" i="15" s="1"/>
  <c r="DN73" i="15"/>
  <c r="DS73" i="15" s="1"/>
  <c r="BO78" i="15"/>
  <c r="BT78" i="15" s="1"/>
  <c r="W73" i="15"/>
  <c r="W74" i="15" s="1"/>
  <c r="W75" i="15" s="1"/>
  <c r="W76" i="15" s="1"/>
  <c r="W77" i="15" s="1"/>
  <c r="W78" i="15" s="1"/>
  <c r="R162" i="15" s="1"/>
  <c r="R163" i="15" s="1"/>
  <c r="R165" i="15" s="1"/>
  <c r="R167" i="15" s="1"/>
  <c r="CN73" i="15"/>
  <c r="CS73" i="15" s="1"/>
  <c r="DN78" i="15"/>
  <c r="DS78" i="15" s="1"/>
  <c r="BW71" i="16"/>
  <c r="BW72" i="16" s="1"/>
  <c r="BW73" i="16" s="1"/>
  <c r="BW74" i="16" s="1"/>
  <c r="BW75" i="16" s="1"/>
  <c r="BW76" i="16" s="1"/>
  <c r="BW77" i="16" s="1"/>
  <c r="BW78" i="16" s="1"/>
  <c r="T162" i="16" s="1"/>
  <c r="T163" i="16" s="1"/>
  <c r="CW73" i="14"/>
  <c r="CW74" i="14" s="1"/>
  <c r="CW75" i="14" s="1"/>
  <c r="CW76" i="14" s="1"/>
  <c r="CW77" i="14" s="1"/>
  <c r="CW78" i="14" s="1"/>
  <c r="U162" i="14" s="1"/>
  <c r="U163" i="14" s="1"/>
  <c r="U165" i="14" s="1"/>
  <c r="U167" i="14" s="1"/>
  <c r="AW73" i="13"/>
  <c r="AW74" i="13" s="1"/>
  <c r="AW75" i="13" s="1"/>
  <c r="AW76" i="13" s="1"/>
  <c r="AW77" i="13" s="1"/>
  <c r="AW78" i="13" s="1"/>
  <c r="S162" i="13" s="1"/>
  <c r="S163" i="13" s="1"/>
  <c r="S165" i="13" s="1"/>
  <c r="S167" i="13" s="1"/>
  <c r="AW78" i="14"/>
  <c r="S162" i="14" s="1"/>
  <c r="S163" i="14" s="1"/>
  <c r="S165" i="14" s="1"/>
  <c r="S167" i="14" s="1"/>
  <c r="CO78" i="15"/>
  <c r="CT78" i="15" s="1"/>
  <c r="CN78" i="15"/>
  <c r="CS78" i="15" s="1"/>
  <c r="DO78" i="15"/>
  <c r="DT78" i="15" s="1"/>
  <c r="X42" i="2"/>
  <c r="T20" i="8" s="1"/>
  <c r="R42" i="2"/>
  <c r="R41" i="2" s="1"/>
  <c r="AO78" i="15"/>
  <c r="AT78" i="15" s="1"/>
  <c r="AF22" i="2"/>
  <c r="AF42" i="2" s="1"/>
  <c r="CN89" i="14"/>
  <c r="CN90" i="14" s="1"/>
  <c r="CN91" i="14" s="1"/>
  <c r="CN92" i="14" s="1"/>
  <c r="CN93" i="14" s="1"/>
  <c r="CN94" i="14" s="1"/>
  <c r="CN95" i="14" s="1"/>
  <c r="CN96" i="14" s="1"/>
  <c r="CN97" i="14" s="1"/>
  <c r="CN98" i="14" s="1"/>
  <c r="CN99" i="14" s="1"/>
  <c r="CN100" i="14" s="1"/>
  <c r="CN101" i="14" s="1"/>
  <c r="CN102" i="14" s="1"/>
  <c r="CN103" i="14" s="1"/>
  <c r="Z161" i="14" s="1"/>
  <c r="Q20" i="8"/>
  <c r="AN78" i="15"/>
  <c r="AS78" i="15" s="1"/>
  <c r="DL114" i="13"/>
  <c r="DL115" i="13" s="1"/>
  <c r="DL116" i="13" s="1"/>
  <c r="DL117" i="13" s="1"/>
  <c r="DL118" i="13" s="1"/>
  <c r="DL119" i="13" s="1"/>
  <c r="DL120" i="13" s="1"/>
  <c r="DL121" i="13" s="1"/>
  <c r="DL122" i="13" s="1"/>
  <c r="DL123" i="13" s="1"/>
  <c r="DL124" i="13" s="1"/>
  <c r="DL125" i="13" s="1"/>
  <c r="DL126" i="13" s="1"/>
  <c r="DL127" i="13" s="1"/>
  <c r="DL128" i="13" s="1"/>
  <c r="AF161" i="13" s="1"/>
  <c r="CN114" i="14"/>
  <c r="CN115" i="14" s="1"/>
  <c r="CN116" i="14" s="1"/>
  <c r="CN117" i="14" s="1"/>
  <c r="CN118" i="14" s="1"/>
  <c r="CN119" i="14" s="1"/>
  <c r="CN120" i="14" s="1"/>
  <c r="CN121" i="14" s="1"/>
  <c r="CN122" i="14" s="1"/>
  <c r="CN123" i="14" s="1"/>
  <c r="CN124" i="14" s="1"/>
  <c r="CN125" i="14" s="1"/>
  <c r="CN126" i="14" s="1"/>
  <c r="CN127" i="14" s="1"/>
  <c r="CN128" i="14" s="1"/>
  <c r="AE161" i="14" s="1"/>
  <c r="AR114" i="13"/>
  <c r="AR115" i="13" s="1"/>
  <c r="AR116" i="13" s="1"/>
  <c r="AR117" i="13" s="1"/>
  <c r="AR118" i="13" s="1"/>
  <c r="AR119" i="13" s="1"/>
  <c r="AR120" i="13" s="1"/>
  <c r="AR121" i="13" s="1"/>
  <c r="AR122" i="13" s="1"/>
  <c r="AR123" i="13" s="1"/>
  <c r="AR124" i="13" s="1"/>
  <c r="AR125" i="13" s="1"/>
  <c r="AR126" i="13" s="1"/>
  <c r="AR127" i="13" s="1"/>
  <c r="AR128" i="13" s="1"/>
  <c r="AC161" i="13" s="1"/>
  <c r="T114" i="16"/>
  <c r="T115" i="16" s="1"/>
  <c r="T116" i="16" s="1"/>
  <c r="T117" i="16" s="1"/>
  <c r="T118" i="16" s="1"/>
  <c r="T119" i="16" s="1"/>
  <c r="T120" i="16" s="1"/>
  <c r="T121" i="16" s="1"/>
  <c r="T122" i="16" s="1"/>
  <c r="T123" i="16" s="1"/>
  <c r="T124" i="16" s="1"/>
  <c r="T125" i="16" s="1"/>
  <c r="T126" i="16" s="1"/>
  <c r="T127" i="16" s="1"/>
  <c r="T128" i="16" s="1"/>
  <c r="AB161" i="16" s="1"/>
  <c r="AR114" i="15"/>
  <c r="AR115" i="15" s="1"/>
  <c r="AR116" i="15" s="1"/>
  <c r="AR117" i="15" s="1"/>
  <c r="AR118" i="15" s="1"/>
  <c r="AR119" i="15" s="1"/>
  <c r="AR120" i="15" s="1"/>
  <c r="AR121" i="15" s="1"/>
  <c r="AR122" i="15" s="1"/>
  <c r="AR123" i="15" s="1"/>
  <c r="AR124" i="15" s="1"/>
  <c r="AR125" i="15" s="1"/>
  <c r="AR126" i="15" s="1"/>
  <c r="AR127" i="15" s="1"/>
  <c r="AR128" i="15" s="1"/>
  <c r="AC161" i="15" s="1"/>
  <c r="CK89" i="16"/>
  <c r="CK90" i="16" s="1"/>
  <c r="CK91" i="16" s="1"/>
  <c r="CK92" i="16" s="1"/>
  <c r="CK93" i="16" s="1"/>
  <c r="CK94" i="16" s="1"/>
  <c r="CK95" i="16" s="1"/>
  <c r="CK96" i="16" s="1"/>
  <c r="CK97" i="16" s="1"/>
  <c r="CK98" i="16" s="1"/>
  <c r="CK99" i="16" s="1"/>
  <c r="CK100" i="16" s="1"/>
  <c r="CK101" i="16" s="1"/>
  <c r="CK102" i="16" s="1"/>
  <c r="CK103" i="16" s="1"/>
  <c r="Z161" i="16" s="1"/>
  <c r="T114" i="15"/>
  <c r="T115" i="15" s="1"/>
  <c r="T116" i="15" s="1"/>
  <c r="T117" i="15" s="1"/>
  <c r="T118" i="15" s="1"/>
  <c r="T119" i="15" s="1"/>
  <c r="T120" i="15" s="1"/>
  <c r="T121" i="15" s="1"/>
  <c r="T122" i="15" s="1"/>
  <c r="T123" i="15" s="1"/>
  <c r="T124" i="15" s="1"/>
  <c r="T125" i="15" s="1"/>
  <c r="T126" i="15" s="1"/>
  <c r="T127" i="15" s="1"/>
  <c r="T128" i="15" s="1"/>
  <c r="AB161" i="15" s="1"/>
  <c r="DH89" i="16"/>
  <c r="DH90" i="16" s="1"/>
  <c r="DH91" i="16" s="1"/>
  <c r="DH92" i="16" s="1"/>
  <c r="DH93" i="16" s="1"/>
  <c r="DH94" i="16" s="1"/>
  <c r="DH95" i="16" s="1"/>
  <c r="DH96" i="16" s="1"/>
  <c r="DH97" i="16" s="1"/>
  <c r="DH98" i="16" s="1"/>
  <c r="DH99" i="16" s="1"/>
  <c r="DH100" i="16" s="1"/>
  <c r="DH101" i="16" s="1"/>
  <c r="DH102" i="16" s="1"/>
  <c r="DH103" i="16" s="1"/>
  <c r="AA161" i="16" s="1"/>
  <c r="T89" i="16"/>
  <c r="T90" i="16" s="1"/>
  <c r="T91" i="16" s="1"/>
  <c r="T92" i="16" s="1"/>
  <c r="T93" i="16" s="1"/>
  <c r="T94" i="16" s="1"/>
  <c r="T95" i="16" s="1"/>
  <c r="T96" i="16" s="1"/>
  <c r="T97" i="16" s="1"/>
  <c r="T98" i="16" s="1"/>
  <c r="T99" i="16" s="1"/>
  <c r="T100" i="16" s="1"/>
  <c r="T101" i="16" s="1"/>
  <c r="T102" i="16" s="1"/>
  <c r="T103" i="16" s="1"/>
  <c r="W161" i="16" s="1"/>
  <c r="AR89" i="15"/>
  <c r="AR90" i="15" s="1"/>
  <c r="AR91" i="15" s="1"/>
  <c r="AR92" i="15" s="1"/>
  <c r="AR93" i="15" s="1"/>
  <c r="AR94" i="15" s="1"/>
  <c r="AR95" i="15" s="1"/>
  <c r="AR96" i="15" s="1"/>
  <c r="AR97" i="15" s="1"/>
  <c r="AR98" i="15" s="1"/>
  <c r="AR99" i="15" s="1"/>
  <c r="AR100" i="15" s="1"/>
  <c r="AR101" i="15" s="1"/>
  <c r="AR102" i="15" s="1"/>
  <c r="AR103" i="15" s="1"/>
  <c r="X161" i="15" s="1"/>
  <c r="BP89" i="14"/>
  <c r="BP90" i="14" s="1"/>
  <c r="BP91" i="14" s="1"/>
  <c r="BP92" i="14" s="1"/>
  <c r="BP93" i="14" s="1"/>
  <c r="BP94" i="14" s="1"/>
  <c r="BP95" i="14" s="1"/>
  <c r="BP96" i="14" s="1"/>
  <c r="BP97" i="14" s="1"/>
  <c r="BP98" i="14" s="1"/>
  <c r="BP99" i="14" s="1"/>
  <c r="BP100" i="14" s="1"/>
  <c r="BP101" i="14" s="1"/>
  <c r="BP102" i="14" s="1"/>
  <c r="BP103" i="14" s="1"/>
  <c r="Y161" i="14" s="1"/>
  <c r="CN89" i="13"/>
  <c r="CN90" i="13" s="1"/>
  <c r="CN91" i="13" s="1"/>
  <c r="CN92" i="13" s="1"/>
  <c r="CN93" i="13" s="1"/>
  <c r="CN94" i="13" s="1"/>
  <c r="CN95" i="13" s="1"/>
  <c r="CN96" i="13" s="1"/>
  <c r="CN97" i="13" s="1"/>
  <c r="CN98" i="13" s="1"/>
  <c r="CN99" i="13" s="1"/>
  <c r="CN100" i="13" s="1"/>
  <c r="CN101" i="13" s="1"/>
  <c r="CN102" i="13" s="1"/>
  <c r="CN103" i="13" s="1"/>
  <c r="Z161" i="13" s="1"/>
  <c r="T89" i="14"/>
  <c r="T90" i="14" s="1"/>
  <c r="T91" i="14" s="1"/>
  <c r="T92" i="14" s="1"/>
  <c r="T93" i="14" s="1"/>
  <c r="T94" i="14" s="1"/>
  <c r="T95" i="14" s="1"/>
  <c r="T96" i="14" s="1"/>
  <c r="T97" i="14" s="1"/>
  <c r="T98" i="14" s="1"/>
  <c r="T99" i="14" s="1"/>
  <c r="T100" i="14" s="1"/>
  <c r="T101" i="14" s="1"/>
  <c r="T102" i="14" s="1"/>
  <c r="T103" i="14" s="1"/>
  <c r="W161" i="14" s="1"/>
  <c r="BP114" i="14"/>
  <c r="BP115" i="14" s="1"/>
  <c r="BP116" i="14" s="1"/>
  <c r="BP117" i="14" s="1"/>
  <c r="BP118" i="14" s="1"/>
  <c r="BP119" i="14" s="1"/>
  <c r="BP120" i="14" s="1"/>
  <c r="BP121" i="14" s="1"/>
  <c r="BP122" i="14" s="1"/>
  <c r="BP123" i="14" s="1"/>
  <c r="BP124" i="14" s="1"/>
  <c r="BP125" i="14" s="1"/>
  <c r="BP126" i="14" s="1"/>
  <c r="BP127" i="14" s="1"/>
  <c r="BP128" i="14" s="1"/>
  <c r="AD161" i="14" s="1"/>
  <c r="T114" i="13"/>
  <c r="T115" i="13" s="1"/>
  <c r="T116" i="13" s="1"/>
  <c r="T117" i="13" s="1"/>
  <c r="T118" i="13" s="1"/>
  <c r="T119" i="13" s="1"/>
  <c r="T120" i="13" s="1"/>
  <c r="T121" i="13" s="1"/>
  <c r="T122" i="13" s="1"/>
  <c r="T123" i="13" s="1"/>
  <c r="T124" i="13" s="1"/>
  <c r="T125" i="13" s="1"/>
  <c r="T126" i="13" s="1"/>
  <c r="T127" i="13" s="1"/>
  <c r="T128" i="13" s="1"/>
  <c r="AB161" i="13" s="1"/>
  <c r="AQ90" i="16"/>
  <c r="AQ91" i="16" s="1"/>
  <c r="AQ92" i="16" s="1"/>
  <c r="AQ93" i="16" s="1"/>
  <c r="AQ94" i="16" s="1"/>
  <c r="AQ95" i="16" s="1"/>
  <c r="AQ96" i="16" s="1"/>
  <c r="AQ97" i="16" s="1"/>
  <c r="AQ98" i="16" s="1"/>
  <c r="AQ99" i="16" s="1"/>
  <c r="AQ100" i="16" s="1"/>
  <c r="AQ101" i="16" s="1"/>
  <c r="AQ102" i="16" s="1"/>
  <c r="AQ103" i="16" s="1"/>
  <c r="X161" i="16" s="1"/>
  <c r="BP114" i="15"/>
  <c r="BP115" i="15" s="1"/>
  <c r="BP116" i="15" s="1"/>
  <c r="BP117" i="15" s="1"/>
  <c r="BP118" i="15" s="1"/>
  <c r="BP119" i="15" s="1"/>
  <c r="BP120" i="15" s="1"/>
  <c r="BP121" i="15" s="1"/>
  <c r="BP122" i="15" s="1"/>
  <c r="BP123" i="15" s="1"/>
  <c r="BP124" i="15" s="1"/>
  <c r="BP125" i="15" s="1"/>
  <c r="BP126" i="15" s="1"/>
  <c r="BP127" i="15" s="1"/>
  <c r="BP128" i="15" s="1"/>
  <c r="AD161" i="15" s="1"/>
  <c r="D32" i="22"/>
  <c r="AE88" i="16"/>
  <c r="AH88" i="16" s="1"/>
  <c r="AM88" i="16" s="1"/>
  <c r="H88" i="15"/>
  <c r="K88" i="15" s="1"/>
  <c r="P88" i="15" s="1"/>
  <c r="BD88" i="14"/>
  <c r="BG88" i="14" s="1"/>
  <c r="BL88" i="14" s="1"/>
  <c r="CB88" i="13"/>
  <c r="CE88" i="13" s="1"/>
  <c r="CJ88" i="13" s="1"/>
  <c r="BY88" i="16"/>
  <c r="CB88" i="16" s="1"/>
  <c r="CG88" i="16" s="1"/>
  <c r="BD88" i="15"/>
  <c r="BG88" i="15" s="1"/>
  <c r="BL88" i="15" s="1"/>
  <c r="CZ88" i="14"/>
  <c r="DC88" i="14" s="1"/>
  <c r="DH88" i="14" s="1"/>
  <c r="H88" i="14"/>
  <c r="K88" i="14" s="1"/>
  <c r="P88" i="14" s="1"/>
  <c r="AF88" i="13"/>
  <c r="AI88" i="13" s="1"/>
  <c r="AN88" i="13" s="1"/>
  <c r="CV88" i="16"/>
  <c r="CY88" i="16" s="1"/>
  <c r="DD88" i="16" s="1"/>
  <c r="CZ88" i="15"/>
  <c r="DC88" i="15" s="1"/>
  <c r="DH88" i="15" s="1"/>
  <c r="BD88" i="13"/>
  <c r="BG88" i="13" s="1"/>
  <c r="BL88" i="13" s="1"/>
  <c r="H88" i="16"/>
  <c r="K88" i="16" s="1"/>
  <c r="P88" i="16" s="1"/>
  <c r="AF88" i="14"/>
  <c r="AI88" i="14" s="1"/>
  <c r="AN88" i="14" s="1"/>
  <c r="BB88" i="16"/>
  <c r="BE88" i="16" s="1"/>
  <c r="BJ88" i="16" s="1"/>
  <c r="H88" i="13"/>
  <c r="K88" i="13" s="1"/>
  <c r="P88" i="13" s="1"/>
  <c r="CB88" i="14"/>
  <c r="CE88" i="14" s="1"/>
  <c r="CJ88" i="14" s="1"/>
  <c r="CZ88" i="13"/>
  <c r="DC88" i="13" s="1"/>
  <c r="DH88" i="13" s="1"/>
  <c r="AF88" i="15"/>
  <c r="DL89" i="15"/>
  <c r="DL90" i="15" s="1"/>
  <c r="DL91" i="15" s="1"/>
  <c r="DL92" i="15" s="1"/>
  <c r="DL93" i="15" s="1"/>
  <c r="DL94" i="15" s="1"/>
  <c r="DL95" i="15" s="1"/>
  <c r="DL96" i="15" s="1"/>
  <c r="DL97" i="15" s="1"/>
  <c r="DL98" i="15" s="1"/>
  <c r="DL99" i="15" s="1"/>
  <c r="DL100" i="15" s="1"/>
  <c r="DL101" i="15" s="1"/>
  <c r="DL102" i="15" s="1"/>
  <c r="DL103" i="15" s="1"/>
  <c r="AA161" i="15" s="1"/>
  <c r="T89" i="15"/>
  <c r="T90" i="15" s="1"/>
  <c r="T91" i="15" s="1"/>
  <c r="T92" i="15" s="1"/>
  <c r="T93" i="15" s="1"/>
  <c r="T94" i="15" s="1"/>
  <c r="T95" i="15" s="1"/>
  <c r="T96" i="15" s="1"/>
  <c r="T97" i="15" s="1"/>
  <c r="T98" i="15" s="1"/>
  <c r="T99" i="15" s="1"/>
  <c r="T100" i="15" s="1"/>
  <c r="T101" i="15" s="1"/>
  <c r="T102" i="15" s="1"/>
  <c r="T103" i="15" s="1"/>
  <c r="W161" i="15" s="1"/>
  <c r="AR89" i="14"/>
  <c r="AR90" i="14" s="1"/>
  <c r="AR91" i="14" s="1"/>
  <c r="AR92" i="14" s="1"/>
  <c r="AR93" i="14" s="1"/>
  <c r="AR94" i="14" s="1"/>
  <c r="AR95" i="14" s="1"/>
  <c r="AR96" i="14" s="1"/>
  <c r="AR97" i="14" s="1"/>
  <c r="AR98" i="14" s="1"/>
  <c r="AR99" i="14" s="1"/>
  <c r="AR100" i="14" s="1"/>
  <c r="AR101" i="14" s="1"/>
  <c r="AR102" i="14" s="1"/>
  <c r="AR103" i="14" s="1"/>
  <c r="X161" i="14" s="1"/>
  <c r="DL90" i="13"/>
  <c r="DL91" i="13" s="1"/>
  <c r="DL92" i="13" s="1"/>
  <c r="DL93" i="13" s="1"/>
  <c r="DL94" i="13" s="1"/>
  <c r="DL95" i="13" s="1"/>
  <c r="DL96" i="13" s="1"/>
  <c r="DL97" i="13" s="1"/>
  <c r="DL98" i="13" s="1"/>
  <c r="DL99" i="13" s="1"/>
  <c r="DL100" i="13" s="1"/>
  <c r="DL101" i="13" s="1"/>
  <c r="DL102" i="13" s="1"/>
  <c r="DL103" i="13" s="1"/>
  <c r="AA161" i="13" s="1"/>
  <c r="BP89" i="13"/>
  <c r="BP90" i="13" s="1"/>
  <c r="BP91" i="13" s="1"/>
  <c r="BP92" i="13" s="1"/>
  <c r="BP93" i="13" s="1"/>
  <c r="BP94" i="13" s="1"/>
  <c r="BP95" i="13" s="1"/>
  <c r="BP96" i="13" s="1"/>
  <c r="BP97" i="13" s="1"/>
  <c r="BP98" i="13" s="1"/>
  <c r="BP99" i="13" s="1"/>
  <c r="BP100" i="13" s="1"/>
  <c r="BP101" i="13" s="1"/>
  <c r="BP102" i="13" s="1"/>
  <c r="BP103" i="13" s="1"/>
  <c r="Y161" i="13" s="1"/>
  <c r="T89" i="13"/>
  <c r="T90" i="13" s="1"/>
  <c r="T91" i="13" s="1"/>
  <c r="T92" i="13" s="1"/>
  <c r="T93" i="13" s="1"/>
  <c r="T94" i="13" s="1"/>
  <c r="T95" i="13" s="1"/>
  <c r="T96" i="13" s="1"/>
  <c r="T97" i="13" s="1"/>
  <c r="T98" i="13" s="1"/>
  <c r="T99" i="13" s="1"/>
  <c r="T100" i="13" s="1"/>
  <c r="T101" i="13" s="1"/>
  <c r="T102" i="13" s="1"/>
  <c r="T103" i="13" s="1"/>
  <c r="W161" i="13" s="1"/>
  <c r="T114" i="14"/>
  <c r="T115" i="14" s="1"/>
  <c r="T116" i="14" s="1"/>
  <c r="T117" i="14" s="1"/>
  <c r="T118" i="14" s="1"/>
  <c r="T119" i="14" s="1"/>
  <c r="T120" i="14" s="1"/>
  <c r="T121" i="14" s="1"/>
  <c r="T122" i="14" s="1"/>
  <c r="T123" i="14" s="1"/>
  <c r="T124" i="14" s="1"/>
  <c r="T125" i="14" s="1"/>
  <c r="T126" i="14" s="1"/>
  <c r="T127" i="14" s="1"/>
  <c r="T128" i="14" s="1"/>
  <c r="AB161" i="14" s="1"/>
  <c r="DH114" i="16"/>
  <c r="DH115" i="16" s="1"/>
  <c r="DH116" i="16" s="1"/>
  <c r="DH117" i="16" s="1"/>
  <c r="DH118" i="16" s="1"/>
  <c r="DH119" i="16" s="1"/>
  <c r="DH120" i="16" s="1"/>
  <c r="DH121" i="16" s="1"/>
  <c r="DH122" i="16" s="1"/>
  <c r="DH123" i="16" s="1"/>
  <c r="DH124" i="16" s="1"/>
  <c r="DH125" i="16" s="1"/>
  <c r="DH126" i="16" s="1"/>
  <c r="DH127" i="16" s="1"/>
  <c r="DH128" i="16" s="1"/>
  <c r="AF161" i="16" s="1"/>
  <c r="CN114" i="13"/>
  <c r="CN115" i="13" s="1"/>
  <c r="CN116" i="13" s="1"/>
  <c r="CN117" i="13" s="1"/>
  <c r="CN118" i="13" s="1"/>
  <c r="CN119" i="13" s="1"/>
  <c r="CN120" i="13" s="1"/>
  <c r="CN121" i="13" s="1"/>
  <c r="CN122" i="13" s="1"/>
  <c r="CN123" i="13" s="1"/>
  <c r="CN124" i="13" s="1"/>
  <c r="CN125" i="13" s="1"/>
  <c r="CN126" i="13" s="1"/>
  <c r="CN127" i="13" s="1"/>
  <c r="CN128" i="13" s="1"/>
  <c r="AE161" i="13" s="1"/>
  <c r="DL114" i="15"/>
  <c r="DL115" i="15" s="1"/>
  <c r="DL116" i="15" s="1"/>
  <c r="DL117" i="15" s="1"/>
  <c r="DL118" i="15" s="1"/>
  <c r="DL119" i="15" s="1"/>
  <c r="DL120" i="15" s="1"/>
  <c r="DL121" i="15" s="1"/>
  <c r="DL122" i="15" s="1"/>
  <c r="DL123" i="15" s="1"/>
  <c r="DL124" i="15" s="1"/>
  <c r="DL125" i="15" s="1"/>
  <c r="DL126" i="15" s="1"/>
  <c r="DL127" i="15" s="1"/>
  <c r="DL128" i="15" s="1"/>
  <c r="AF161" i="15" s="1"/>
  <c r="CK116" i="16"/>
  <c r="CK117" i="16" s="1"/>
  <c r="CK118" i="16" s="1"/>
  <c r="CK119" i="16" s="1"/>
  <c r="CK120" i="16" s="1"/>
  <c r="CK121" i="16" s="1"/>
  <c r="CK122" i="16" s="1"/>
  <c r="CK123" i="16" s="1"/>
  <c r="CK124" i="16" s="1"/>
  <c r="CK125" i="16" s="1"/>
  <c r="CK126" i="16" s="1"/>
  <c r="CK127" i="16" s="1"/>
  <c r="CK128" i="16" s="1"/>
  <c r="AE161" i="16" s="1"/>
  <c r="E32" i="22"/>
  <c r="CV113" i="16"/>
  <c r="CY113" i="16" s="1"/>
  <c r="DD113" i="16" s="1"/>
  <c r="H113" i="16"/>
  <c r="K113" i="16" s="1"/>
  <c r="P113" i="16" s="1"/>
  <c r="AF113" i="15"/>
  <c r="BD113" i="14"/>
  <c r="BG113" i="14" s="1"/>
  <c r="BL113" i="14" s="1"/>
  <c r="CB113" i="13"/>
  <c r="CE113" i="13" s="1"/>
  <c r="CJ113" i="13" s="1"/>
  <c r="BB113" i="16"/>
  <c r="BE113" i="16" s="1"/>
  <c r="BJ113" i="16" s="1"/>
  <c r="CB113" i="15"/>
  <c r="CZ113" i="14"/>
  <c r="DC113" i="14" s="1"/>
  <c r="DH113" i="14" s="1"/>
  <c r="H113" i="14"/>
  <c r="K113" i="14" s="1"/>
  <c r="P113" i="14" s="1"/>
  <c r="AF113" i="13"/>
  <c r="AI113" i="13" s="1"/>
  <c r="AN113" i="13" s="1"/>
  <c r="CZ113" i="15"/>
  <c r="AF113" i="14"/>
  <c r="AI113" i="14" s="1"/>
  <c r="AN113" i="14" s="1"/>
  <c r="BY113" i="16"/>
  <c r="CB113" i="16" s="1"/>
  <c r="CG113" i="16" s="1"/>
  <c r="H113" i="15"/>
  <c r="K113" i="15" s="1"/>
  <c r="P113" i="15" s="1"/>
  <c r="BD113" i="13"/>
  <c r="BG113" i="13" s="1"/>
  <c r="BL113" i="13" s="1"/>
  <c r="BD113" i="15"/>
  <c r="CZ113" i="13"/>
  <c r="DC113" i="13" s="1"/>
  <c r="DH113" i="13" s="1"/>
  <c r="CB113" i="14"/>
  <c r="CE113" i="14" s="1"/>
  <c r="CJ113" i="14" s="1"/>
  <c r="AE113" i="16"/>
  <c r="AH113" i="16" s="1"/>
  <c r="AM113" i="16" s="1"/>
  <c r="H113" i="13"/>
  <c r="K113" i="13" s="1"/>
  <c r="P113" i="13" s="1"/>
  <c r="BN89" i="16"/>
  <c r="BN90" i="16" s="1"/>
  <c r="BN91" i="16" s="1"/>
  <c r="BN92" i="16" s="1"/>
  <c r="BN93" i="16" s="1"/>
  <c r="BN94" i="16" s="1"/>
  <c r="BN95" i="16" s="1"/>
  <c r="BN96" i="16" s="1"/>
  <c r="BN97" i="16" s="1"/>
  <c r="BN98" i="16" s="1"/>
  <c r="BN99" i="16" s="1"/>
  <c r="BN100" i="16" s="1"/>
  <c r="BN101" i="16" s="1"/>
  <c r="BN102" i="16" s="1"/>
  <c r="BN103" i="16" s="1"/>
  <c r="Y161" i="16" s="1"/>
  <c r="CN114" i="15"/>
  <c r="CN115" i="15" s="1"/>
  <c r="CN116" i="15" s="1"/>
  <c r="CN117" i="15" s="1"/>
  <c r="CN118" i="15" s="1"/>
  <c r="CN119" i="15" s="1"/>
  <c r="CN120" i="15" s="1"/>
  <c r="CN121" i="15" s="1"/>
  <c r="CN122" i="15" s="1"/>
  <c r="CN123" i="15" s="1"/>
  <c r="CN124" i="15" s="1"/>
  <c r="CN125" i="15" s="1"/>
  <c r="CN126" i="15" s="1"/>
  <c r="CN127" i="15" s="1"/>
  <c r="CN128" i="15" s="1"/>
  <c r="AE161" i="15" s="1"/>
  <c r="AQ115" i="16"/>
  <c r="AQ116" i="16" s="1"/>
  <c r="AQ117" i="16" s="1"/>
  <c r="AQ118" i="16" s="1"/>
  <c r="AQ119" i="16" s="1"/>
  <c r="AQ120" i="16" s="1"/>
  <c r="AQ121" i="16" s="1"/>
  <c r="AQ122" i="16" s="1"/>
  <c r="AQ123" i="16" s="1"/>
  <c r="AQ124" i="16" s="1"/>
  <c r="AQ125" i="16" s="1"/>
  <c r="AQ126" i="16" s="1"/>
  <c r="AQ127" i="16" s="1"/>
  <c r="AQ128" i="16" s="1"/>
  <c r="AC161" i="16" s="1"/>
  <c r="CN89" i="15"/>
  <c r="CN90" i="15" s="1"/>
  <c r="CN91" i="15" s="1"/>
  <c r="CN92" i="15" s="1"/>
  <c r="CN93" i="15" s="1"/>
  <c r="CN94" i="15" s="1"/>
  <c r="CN95" i="15" s="1"/>
  <c r="CN96" i="15" s="1"/>
  <c r="CN97" i="15" s="1"/>
  <c r="CN98" i="15" s="1"/>
  <c r="CN99" i="15" s="1"/>
  <c r="CN100" i="15" s="1"/>
  <c r="CN101" i="15" s="1"/>
  <c r="CN102" i="15" s="1"/>
  <c r="CN103" i="15" s="1"/>
  <c r="Z161" i="15" s="1"/>
  <c r="DL89" i="14"/>
  <c r="DL90" i="14" s="1"/>
  <c r="DL91" i="14" s="1"/>
  <c r="DL92" i="14" s="1"/>
  <c r="DL93" i="14" s="1"/>
  <c r="DL94" i="14" s="1"/>
  <c r="DL95" i="14" s="1"/>
  <c r="DL96" i="14" s="1"/>
  <c r="DL97" i="14" s="1"/>
  <c r="DL98" i="14" s="1"/>
  <c r="DL99" i="14" s="1"/>
  <c r="DL100" i="14" s="1"/>
  <c r="DL101" i="14" s="1"/>
  <c r="DL102" i="14" s="1"/>
  <c r="DL103" i="14" s="1"/>
  <c r="AA161" i="14" s="1"/>
  <c r="AR89" i="13"/>
  <c r="AR90" i="13" s="1"/>
  <c r="AR91" i="13" s="1"/>
  <c r="AR92" i="13" s="1"/>
  <c r="AR93" i="13" s="1"/>
  <c r="AR94" i="13" s="1"/>
  <c r="AR95" i="13" s="1"/>
  <c r="AR96" i="13" s="1"/>
  <c r="AR97" i="13" s="1"/>
  <c r="AR98" i="13" s="1"/>
  <c r="AR99" i="13" s="1"/>
  <c r="AR100" i="13" s="1"/>
  <c r="AR101" i="13" s="1"/>
  <c r="AR102" i="13" s="1"/>
  <c r="AR103" i="13" s="1"/>
  <c r="X161" i="13" s="1"/>
  <c r="BN114" i="16"/>
  <c r="BN115" i="16" s="1"/>
  <c r="BN116" i="16" s="1"/>
  <c r="BN117" i="16" s="1"/>
  <c r="BN118" i="16" s="1"/>
  <c r="BN119" i="16" s="1"/>
  <c r="BN120" i="16" s="1"/>
  <c r="BN121" i="16" s="1"/>
  <c r="BN122" i="16" s="1"/>
  <c r="BN123" i="16" s="1"/>
  <c r="BN124" i="16" s="1"/>
  <c r="BN125" i="16" s="1"/>
  <c r="BN126" i="16" s="1"/>
  <c r="BN127" i="16" s="1"/>
  <c r="BN128" i="16" s="1"/>
  <c r="AD161" i="16" s="1"/>
  <c r="DL114" i="14"/>
  <c r="DL115" i="14" s="1"/>
  <c r="DL116" i="14" s="1"/>
  <c r="DL117" i="14" s="1"/>
  <c r="DL118" i="14" s="1"/>
  <c r="DL119" i="14" s="1"/>
  <c r="DL120" i="14" s="1"/>
  <c r="DL121" i="14" s="1"/>
  <c r="DL122" i="14" s="1"/>
  <c r="DL123" i="14" s="1"/>
  <c r="DL124" i="14" s="1"/>
  <c r="DL125" i="14" s="1"/>
  <c r="DL126" i="14" s="1"/>
  <c r="DL127" i="14" s="1"/>
  <c r="DL128" i="14" s="1"/>
  <c r="AF161" i="14" s="1"/>
  <c r="BP92" i="15"/>
  <c r="BP93" i="15" s="1"/>
  <c r="BP94" i="15" s="1"/>
  <c r="BP95" i="15" s="1"/>
  <c r="BP96" i="15" s="1"/>
  <c r="BP97" i="15" s="1"/>
  <c r="BP98" i="15" s="1"/>
  <c r="BP99" i="15" s="1"/>
  <c r="BP100" i="15" s="1"/>
  <c r="BP101" i="15" s="1"/>
  <c r="BP102" i="15" s="1"/>
  <c r="BP103" i="15" s="1"/>
  <c r="Y161" i="15" s="1"/>
  <c r="BP114" i="13"/>
  <c r="BP115" i="13" s="1"/>
  <c r="BP116" i="13" s="1"/>
  <c r="BP117" i="13" s="1"/>
  <c r="BP118" i="13" s="1"/>
  <c r="BP119" i="13" s="1"/>
  <c r="BP120" i="13" s="1"/>
  <c r="BP121" i="13" s="1"/>
  <c r="BP122" i="13" s="1"/>
  <c r="BP123" i="13" s="1"/>
  <c r="BP124" i="13" s="1"/>
  <c r="BP125" i="13" s="1"/>
  <c r="BP126" i="13" s="1"/>
  <c r="BP127" i="13" s="1"/>
  <c r="BP128" i="13" s="1"/>
  <c r="AD161" i="13" s="1"/>
  <c r="AR114" i="14"/>
  <c r="AR115" i="14" s="1"/>
  <c r="AR116" i="14" s="1"/>
  <c r="AR117" i="14" s="1"/>
  <c r="AR118" i="14" s="1"/>
  <c r="AR119" i="14" s="1"/>
  <c r="AR120" i="14" s="1"/>
  <c r="AR121" i="14" s="1"/>
  <c r="AR122" i="14" s="1"/>
  <c r="AR123" i="14" s="1"/>
  <c r="AR124" i="14" s="1"/>
  <c r="AR125" i="14" s="1"/>
  <c r="AR126" i="14" s="1"/>
  <c r="AR127" i="14" s="1"/>
  <c r="AR128" i="14" s="1"/>
  <c r="AC161" i="14" s="1"/>
  <c r="Y18" i="2"/>
  <c r="U17" i="8" s="1"/>
  <c r="Y22" i="2"/>
  <c r="Y42" i="2" s="1"/>
  <c r="AF40" i="10"/>
  <c r="AF41" i="10" s="1"/>
  <c r="AF42" i="10" s="1"/>
  <c r="AF43" i="10" s="1"/>
  <c r="AF44" i="10" s="1"/>
  <c r="AF45" i="10" s="1"/>
  <c r="AF46" i="10" s="1"/>
  <c r="AF47" i="10" s="1"/>
  <c r="AF48" i="10" s="1"/>
  <c r="AF49" i="10" s="1"/>
  <c r="AF50" i="10" s="1"/>
  <c r="AF51" i="10" s="1"/>
  <c r="AF52" i="10" s="1"/>
  <c r="AF53" i="10" s="1"/>
  <c r="AF54" i="10" s="1"/>
  <c r="K7" i="11" s="1"/>
  <c r="T38" i="13"/>
  <c r="G38" i="13"/>
  <c r="G40" i="13"/>
  <c r="M40" i="13" s="1"/>
  <c r="R40" i="13" s="1"/>
  <c r="AE48" i="13"/>
  <c r="AK48" i="13" s="1"/>
  <c r="AP48" i="13" s="1"/>
  <c r="CA52" i="13"/>
  <c r="CG52" i="13" s="1"/>
  <c r="CL52" i="13" s="1"/>
  <c r="CA47" i="13"/>
  <c r="CG47" i="13" s="1"/>
  <c r="CL47" i="13" s="1"/>
  <c r="BC51" i="15"/>
  <c r="BI51" i="15" s="1"/>
  <c r="BN51" i="15" s="1"/>
  <c r="CY48" i="15"/>
  <c r="DE48" i="15" s="1"/>
  <c r="DJ48" i="15" s="1"/>
  <c r="G40" i="14"/>
  <c r="M40" i="14" s="1"/>
  <c r="R40" i="14" s="1"/>
  <c r="BC39" i="13"/>
  <c r="BI39" i="13" s="1"/>
  <c r="BN39" i="13" s="1"/>
  <c r="BX43" i="16"/>
  <c r="CD43" i="16" s="1"/>
  <c r="CI43" i="16" s="1"/>
  <c r="CY50" i="13"/>
  <c r="DE50" i="13" s="1"/>
  <c r="DJ50" i="13" s="1"/>
  <c r="BC42" i="15"/>
  <c r="BI42" i="15" s="1"/>
  <c r="BN42" i="15" s="1"/>
  <c r="DL38" i="15"/>
  <c r="CY38" i="15"/>
  <c r="CY53" i="15"/>
  <c r="DE53" i="15" s="1"/>
  <c r="DJ53" i="15" s="1"/>
  <c r="G49" i="13"/>
  <c r="M49" i="13" s="1"/>
  <c r="R49" i="13" s="1"/>
  <c r="AE50" i="15"/>
  <c r="AK50" i="15" s="1"/>
  <c r="AP50" i="15" s="1"/>
  <c r="BC45" i="13"/>
  <c r="BI45" i="13" s="1"/>
  <c r="BN45" i="13" s="1"/>
  <c r="CA42" i="15"/>
  <c r="CG42" i="15" s="1"/>
  <c r="CL42" i="15" s="1"/>
  <c r="G42" i="14"/>
  <c r="M42" i="14" s="1"/>
  <c r="R42" i="14" s="1"/>
  <c r="BC48" i="13"/>
  <c r="BI48" i="13" s="1"/>
  <c r="BN48" i="13" s="1"/>
  <c r="BN38" i="16"/>
  <c r="BA38" i="16"/>
  <c r="BA53" i="16"/>
  <c r="BG53" i="16" s="1"/>
  <c r="BL53" i="16" s="1"/>
  <c r="AE39" i="13"/>
  <c r="AK39" i="13" s="1"/>
  <c r="AP39" i="13" s="1"/>
  <c r="AE39" i="15"/>
  <c r="AK39" i="15" s="1"/>
  <c r="AP39" i="15" s="1"/>
  <c r="CA50" i="13"/>
  <c r="CG50" i="13" s="1"/>
  <c r="CL50" i="13" s="1"/>
  <c r="CA53" i="14"/>
  <c r="CG53" i="14" s="1"/>
  <c r="CL53" i="14" s="1"/>
  <c r="H96" i="10"/>
  <c r="Y96" i="10" s="1"/>
  <c r="H92" i="10"/>
  <c r="Y92" i="10" s="1"/>
  <c r="G50" i="13"/>
  <c r="M50" i="13" s="1"/>
  <c r="R50" i="13" s="1"/>
  <c r="G41" i="14"/>
  <c r="M41" i="14" s="1"/>
  <c r="R41" i="14" s="1"/>
  <c r="CY51" i="14"/>
  <c r="DE51" i="14" s="1"/>
  <c r="DJ51" i="14" s="1"/>
  <c r="BC50" i="13"/>
  <c r="BI50" i="13" s="1"/>
  <c r="BN50" i="13" s="1"/>
  <c r="G43" i="13"/>
  <c r="M43" i="13" s="1"/>
  <c r="R43" i="13" s="1"/>
  <c r="BC50" i="14"/>
  <c r="BI50" i="14" s="1"/>
  <c r="BN50" i="14" s="1"/>
  <c r="CA44" i="14"/>
  <c r="CG44" i="14" s="1"/>
  <c r="CL44" i="14" s="1"/>
  <c r="AR38" i="13"/>
  <c r="AE38" i="13"/>
  <c r="G47" i="14"/>
  <c r="M47" i="14" s="1"/>
  <c r="R47" i="14" s="1"/>
  <c r="G45" i="14"/>
  <c r="M45" i="14" s="1"/>
  <c r="R45" i="14" s="1"/>
  <c r="AE44" i="13"/>
  <c r="AK44" i="13" s="1"/>
  <c r="AP44" i="13" s="1"/>
  <c r="BC45" i="14"/>
  <c r="BI45" i="14" s="1"/>
  <c r="BN45" i="14" s="1"/>
  <c r="G48" i="14"/>
  <c r="M48" i="14" s="1"/>
  <c r="R48" i="14" s="1"/>
  <c r="CA40" i="13"/>
  <c r="CG40" i="13" s="1"/>
  <c r="CL40" i="13" s="1"/>
  <c r="CA51" i="13"/>
  <c r="CG51" i="13" s="1"/>
  <c r="CL51" i="13" s="1"/>
  <c r="BP38" i="15"/>
  <c r="BC38" i="15"/>
  <c r="BC53" i="15"/>
  <c r="BI53" i="15" s="1"/>
  <c r="BN53" i="15" s="1"/>
  <c r="CY50" i="15"/>
  <c r="DE50" i="15" s="1"/>
  <c r="DJ50" i="15" s="1"/>
  <c r="G51" i="14"/>
  <c r="M51" i="14" s="1"/>
  <c r="R51" i="14" s="1"/>
  <c r="BC43" i="13"/>
  <c r="BI43" i="13" s="1"/>
  <c r="BN43" i="13" s="1"/>
  <c r="CA40" i="14"/>
  <c r="CG40" i="14" s="1"/>
  <c r="CL40" i="14" s="1"/>
  <c r="BX51" i="16"/>
  <c r="CD51" i="16" s="1"/>
  <c r="CI51" i="16" s="1"/>
  <c r="AE46" i="13"/>
  <c r="AK46" i="13" s="1"/>
  <c r="AP46" i="13" s="1"/>
  <c r="AD53" i="16"/>
  <c r="AJ53" i="16" s="1"/>
  <c r="AO53" i="16" s="1"/>
  <c r="BC42" i="14"/>
  <c r="BI42" i="14" s="1"/>
  <c r="BN42" i="14" s="1"/>
  <c r="BC44" i="15"/>
  <c r="BI44" i="15" s="1"/>
  <c r="BN44" i="15" s="1"/>
  <c r="CY39" i="15"/>
  <c r="DE39" i="15" s="1"/>
  <c r="DJ39" i="15" s="1"/>
  <c r="BX44" i="16"/>
  <c r="CD44" i="16" s="1"/>
  <c r="CI44" i="16" s="1"/>
  <c r="AE39" i="14"/>
  <c r="AK39" i="14" s="1"/>
  <c r="AP39" i="14" s="1"/>
  <c r="G52" i="15"/>
  <c r="M52" i="15" s="1"/>
  <c r="R52" i="15" s="1"/>
  <c r="BC49" i="13"/>
  <c r="BI49" i="13" s="1"/>
  <c r="BN49" i="13" s="1"/>
  <c r="CA47" i="15"/>
  <c r="CG47" i="15" s="1"/>
  <c r="CL47" i="15" s="1"/>
  <c r="AE43" i="14"/>
  <c r="AK43" i="14" s="1"/>
  <c r="AP43" i="14" s="1"/>
  <c r="BC52" i="13"/>
  <c r="BI52" i="13" s="1"/>
  <c r="BN52" i="13" s="1"/>
  <c r="BA39" i="16"/>
  <c r="BG39" i="16" s="1"/>
  <c r="BL39" i="16" s="1"/>
  <c r="BX41" i="16"/>
  <c r="CD41" i="16" s="1"/>
  <c r="CI41" i="16" s="1"/>
  <c r="AE43" i="13"/>
  <c r="AK43" i="13" s="1"/>
  <c r="AP43" i="13" s="1"/>
  <c r="G49" i="15"/>
  <c r="M49" i="15" s="1"/>
  <c r="R49" i="15" s="1"/>
  <c r="DL38" i="13"/>
  <c r="CY38" i="13"/>
  <c r="DL38" i="14"/>
  <c r="CY38" i="14"/>
  <c r="H103" i="10"/>
  <c r="Y103" i="10" s="1"/>
  <c r="H98" i="10"/>
  <c r="Y98" i="10" s="1"/>
  <c r="AE41" i="15"/>
  <c r="AK41" i="15" s="1"/>
  <c r="AP41" i="15" s="1"/>
  <c r="G46" i="14"/>
  <c r="M46" i="14" s="1"/>
  <c r="R46" i="14" s="1"/>
  <c r="T38" i="14"/>
  <c r="G38" i="14"/>
  <c r="CA48" i="13"/>
  <c r="CG48" i="13" s="1"/>
  <c r="CL48" i="13" s="1"/>
  <c r="AE41" i="13"/>
  <c r="AK41" i="13" s="1"/>
  <c r="AP41" i="13" s="1"/>
  <c r="CA48" i="14"/>
  <c r="CG48" i="14" s="1"/>
  <c r="CL48" i="14" s="1"/>
  <c r="CY45" i="14"/>
  <c r="DE45" i="14" s="1"/>
  <c r="DJ45" i="14" s="1"/>
  <c r="G45" i="15"/>
  <c r="M45" i="15" s="1"/>
  <c r="R45" i="15" s="1"/>
  <c r="AE51" i="14"/>
  <c r="AK51" i="14" s="1"/>
  <c r="AP51" i="14" s="1"/>
  <c r="AE49" i="14"/>
  <c r="AK49" i="14" s="1"/>
  <c r="AP49" i="14" s="1"/>
  <c r="AE49" i="13"/>
  <c r="AK49" i="13" s="1"/>
  <c r="AP49" i="13" s="1"/>
  <c r="CA50" i="14"/>
  <c r="CG50" i="14" s="1"/>
  <c r="CL50" i="14" s="1"/>
  <c r="AE42" i="15"/>
  <c r="AK42" i="15" s="1"/>
  <c r="AP42" i="15" s="1"/>
  <c r="BA42" i="16"/>
  <c r="BG42" i="16" s="1"/>
  <c r="BL42" i="16" s="1"/>
  <c r="CY52" i="13"/>
  <c r="DE52" i="13" s="1"/>
  <c r="DJ52" i="13" s="1"/>
  <c r="BC39" i="15"/>
  <c r="BI39" i="15" s="1"/>
  <c r="BN39" i="15" s="1"/>
  <c r="CA43" i="15"/>
  <c r="CG43" i="15" s="1"/>
  <c r="CL43" i="15" s="1"/>
  <c r="CY52" i="15"/>
  <c r="DE52" i="15" s="1"/>
  <c r="DJ52" i="15" s="1"/>
  <c r="G53" i="14"/>
  <c r="M53" i="14" s="1"/>
  <c r="R53" i="14" s="1"/>
  <c r="BC47" i="13"/>
  <c r="BI47" i="13" s="1"/>
  <c r="BN47" i="13" s="1"/>
  <c r="CA51" i="14"/>
  <c r="CG51" i="14" s="1"/>
  <c r="CL51" i="14" s="1"/>
  <c r="CU44" i="16"/>
  <c r="DA44" i="16" s="1"/>
  <c r="DF44" i="16" s="1"/>
  <c r="AE50" i="13"/>
  <c r="AK50" i="13" s="1"/>
  <c r="AP50" i="13" s="1"/>
  <c r="BP38" i="13"/>
  <c r="BC38" i="13"/>
  <c r="CA45" i="14"/>
  <c r="CG45" i="14" s="1"/>
  <c r="CL45" i="14" s="1"/>
  <c r="BC46" i="15"/>
  <c r="BI46" i="15" s="1"/>
  <c r="BN46" i="15" s="1"/>
  <c r="CY41" i="15"/>
  <c r="DE41" i="15" s="1"/>
  <c r="DJ41" i="15" s="1"/>
  <c r="BX52" i="16"/>
  <c r="CD52" i="16" s="1"/>
  <c r="CI52" i="16" s="1"/>
  <c r="AE42" i="14"/>
  <c r="AK42" i="14" s="1"/>
  <c r="AP42" i="14" s="1"/>
  <c r="AE53" i="15"/>
  <c r="AK53" i="15" s="1"/>
  <c r="AP53" i="15" s="1"/>
  <c r="CY43" i="13"/>
  <c r="DE43" i="13" s="1"/>
  <c r="DJ43" i="13" s="1"/>
  <c r="CA52" i="15"/>
  <c r="CG52" i="15" s="1"/>
  <c r="CL52" i="15" s="1"/>
  <c r="G50" i="14"/>
  <c r="M50" i="14" s="1"/>
  <c r="R50" i="14" s="1"/>
  <c r="CY46" i="13"/>
  <c r="DE46" i="13" s="1"/>
  <c r="DJ46" i="13" s="1"/>
  <c r="BA41" i="16"/>
  <c r="BG41" i="16" s="1"/>
  <c r="BL41" i="16" s="1"/>
  <c r="BX49" i="16"/>
  <c r="CD49" i="16" s="1"/>
  <c r="CI49" i="16" s="1"/>
  <c r="AE47" i="13"/>
  <c r="AK47" i="13" s="1"/>
  <c r="AP47" i="13" s="1"/>
  <c r="G42" i="16"/>
  <c r="M42" i="16" s="1"/>
  <c r="R42" i="16" s="1"/>
  <c r="CY40" i="13"/>
  <c r="DE40" i="13" s="1"/>
  <c r="DJ40" i="13" s="1"/>
  <c r="CY39" i="14"/>
  <c r="DE39" i="14" s="1"/>
  <c r="DJ39" i="14" s="1"/>
  <c r="G39" i="14"/>
  <c r="M39" i="14" s="1"/>
  <c r="R39" i="14" s="1"/>
  <c r="G52" i="16"/>
  <c r="M52" i="16" s="1"/>
  <c r="R52" i="16" s="1"/>
  <c r="BX45" i="16"/>
  <c r="CD45" i="16" s="1"/>
  <c r="CI45" i="16" s="1"/>
  <c r="BC42" i="13"/>
  <c r="BI42" i="13" s="1"/>
  <c r="BN42" i="13" s="1"/>
  <c r="AE42" i="13"/>
  <c r="AK42" i="13" s="1"/>
  <c r="AP42" i="13" s="1"/>
  <c r="H97" i="10"/>
  <c r="Y97" i="10" s="1"/>
  <c r="AR38" i="14"/>
  <c r="AE38" i="14"/>
  <c r="CA40" i="15"/>
  <c r="CG40" i="15" s="1"/>
  <c r="CL40" i="15" s="1"/>
  <c r="G40" i="15"/>
  <c r="M40" i="15" s="1"/>
  <c r="R40" i="15" s="1"/>
  <c r="CY42" i="14"/>
  <c r="DE42" i="14" s="1"/>
  <c r="DJ42" i="14" s="1"/>
  <c r="BC39" i="14"/>
  <c r="BI39" i="14" s="1"/>
  <c r="BN39" i="14" s="1"/>
  <c r="CA53" i="15"/>
  <c r="CG53" i="15" s="1"/>
  <c r="CL53" i="15" s="1"/>
  <c r="BC51" i="13"/>
  <c r="BI51" i="13" s="1"/>
  <c r="BN51" i="13" s="1"/>
  <c r="AE45" i="14"/>
  <c r="AK45" i="14" s="1"/>
  <c r="AP45" i="14" s="1"/>
  <c r="BC48" i="15"/>
  <c r="BI48" i="15" s="1"/>
  <c r="BN48" i="15" s="1"/>
  <c r="AE47" i="14"/>
  <c r="AK47" i="14" s="1"/>
  <c r="AP47" i="14" s="1"/>
  <c r="BX39" i="16"/>
  <c r="CD39" i="16" s="1"/>
  <c r="CI39" i="16" s="1"/>
  <c r="BC48" i="14"/>
  <c r="BI48" i="14" s="1"/>
  <c r="BN48" i="14" s="1"/>
  <c r="AE51" i="13"/>
  <c r="AK51" i="13" s="1"/>
  <c r="AP51" i="13" s="1"/>
  <c r="AD47" i="16"/>
  <c r="AJ47" i="16" s="1"/>
  <c r="AO47" i="16" s="1"/>
  <c r="H106" i="10"/>
  <c r="Y106" i="10" s="1"/>
  <c r="CY49" i="13"/>
  <c r="DE49" i="13" s="1"/>
  <c r="DJ49" i="13" s="1"/>
  <c r="CA46" i="15"/>
  <c r="CG46" i="15" s="1"/>
  <c r="CL46" i="15" s="1"/>
  <c r="CA51" i="15"/>
  <c r="CG51" i="15" s="1"/>
  <c r="CL51" i="15" s="1"/>
  <c r="T38" i="16"/>
  <c r="G38" i="16"/>
  <c r="CA45" i="15"/>
  <c r="CG45" i="15" s="1"/>
  <c r="CL45" i="15" s="1"/>
  <c r="BC46" i="14"/>
  <c r="BI46" i="14" s="1"/>
  <c r="BN46" i="14" s="1"/>
  <c r="BX48" i="16"/>
  <c r="CD48" i="16" s="1"/>
  <c r="CI48" i="16" s="1"/>
  <c r="CY46" i="14"/>
  <c r="DE46" i="14" s="1"/>
  <c r="DJ46" i="14" s="1"/>
  <c r="CA52" i="14"/>
  <c r="CG52" i="14" s="1"/>
  <c r="CL52" i="14" s="1"/>
  <c r="CU53" i="16"/>
  <c r="DA53" i="16" s="1"/>
  <c r="DF53" i="16" s="1"/>
  <c r="BC43" i="14"/>
  <c r="BI43" i="14" s="1"/>
  <c r="BN43" i="14" s="1"/>
  <c r="BA45" i="16"/>
  <c r="BG45" i="16" s="1"/>
  <c r="BL45" i="16" s="1"/>
  <c r="BX42" i="16"/>
  <c r="CD42" i="16" s="1"/>
  <c r="CI42" i="16" s="1"/>
  <c r="H105" i="10"/>
  <c r="Y105" i="10" s="1"/>
  <c r="H101" i="10"/>
  <c r="Y101" i="10" s="1"/>
  <c r="AE53" i="13"/>
  <c r="AK53" i="13" s="1"/>
  <c r="AP53" i="13" s="1"/>
  <c r="AD43" i="16"/>
  <c r="AJ43" i="16" s="1"/>
  <c r="AO43" i="16" s="1"/>
  <c r="AE46" i="14"/>
  <c r="AK46" i="14" s="1"/>
  <c r="AP46" i="14" s="1"/>
  <c r="BA40" i="16"/>
  <c r="BG40" i="16" s="1"/>
  <c r="BL40" i="16" s="1"/>
  <c r="AE46" i="15"/>
  <c r="AK46" i="15" s="1"/>
  <c r="AP46" i="15" s="1"/>
  <c r="CU47" i="16"/>
  <c r="DA47" i="16" s="1"/>
  <c r="DF47" i="16" s="1"/>
  <c r="BA44" i="16"/>
  <c r="BG44" i="16" s="1"/>
  <c r="BL44" i="16" s="1"/>
  <c r="CY44" i="13"/>
  <c r="DE44" i="13" s="1"/>
  <c r="DJ44" i="13" s="1"/>
  <c r="AD49" i="16"/>
  <c r="AJ49" i="16" s="1"/>
  <c r="AO49" i="16" s="1"/>
  <c r="AD39" i="16"/>
  <c r="AJ39" i="16" s="1"/>
  <c r="AO39" i="16" s="1"/>
  <c r="AE45" i="15"/>
  <c r="AK45" i="15" s="1"/>
  <c r="AP45" i="15" s="1"/>
  <c r="BX53" i="16"/>
  <c r="CD53" i="16" s="1"/>
  <c r="CI53" i="16" s="1"/>
  <c r="AE51" i="15"/>
  <c r="AK51" i="15" s="1"/>
  <c r="AP51" i="15" s="1"/>
  <c r="CU46" i="16"/>
  <c r="DA46" i="16" s="1"/>
  <c r="DF46" i="16" s="1"/>
  <c r="BC51" i="14"/>
  <c r="BI51" i="14" s="1"/>
  <c r="BN51" i="14" s="1"/>
  <c r="BC45" i="15"/>
  <c r="BI45" i="15" s="1"/>
  <c r="BN45" i="15" s="1"/>
  <c r="CY42" i="15"/>
  <c r="DE42" i="15" s="1"/>
  <c r="DJ42" i="15" s="1"/>
  <c r="CU49" i="16"/>
  <c r="DA49" i="16" s="1"/>
  <c r="DF49" i="16" s="1"/>
  <c r="G39" i="16"/>
  <c r="M39" i="16" s="1"/>
  <c r="R39" i="16" s="1"/>
  <c r="CY41" i="13"/>
  <c r="DE41" i="13" s="1"/>
  <c r="DJ41" i="13" s="1"/>
  <c r="CY49" i="14"/>
  <c r="DE49" i="14" s="1"/>
  <c r="DJ49" i="14" s="1"/>
  <c r="G47" i="16"/>
  <c r="M47" i="16" s="1"/>
  <c r="R47" i="16" s="1"/>
  <c r="AE44" i="15"/>
  <c r="AK44" i="15" s="1"/>
  <c r="AP44" i="15" s="1"/>
  <c r="CA49" i="13"/>
  <c r="CG49" i="13" s="1"/>
  <c r="CL49" i="13" s="1"/>
  <c r="CY41" i="14"/>
  <c r="DE41" i="14" s="1"/>
  <c r="DJ41" i="14" s="1"/>
  <c r="BC52" i="15"/>
  <c r="BI52" i="15" s="1"/>
  <c r="BN52" i="15" s="1"/>
  <c r="CY47" i="15"/>
  <c r="DE47" i="15" s="1"/>
  <c r="DJ47" i="15" s="1"/>
  <c r="BC40" i="13"/>
  <c r="BI40" i="13" s="1"/>
  <c r="BN40" i="13" s="1"/>
  <c r="AE53" i="14"/>
  <c r="AK53" i="14" s="1"/>
  <c r="AP53" i="14" s="1"/>
  <c r="G46" i="16"/>
  <c r="M46" i="16" s="1"/>
  <c r="R46" i="16" s="1"/>
  <c r="BC49" i="14"/>
  <c r="BI49" i="14" s="1"/>
  <c r="BN49" i="14" s="1"/>
  <c r="CU43" i="16"/>
  <c r="DA43" i="16" s="1"/>
  <c r="DF43" i="16" s="1"/>
  <c r="AD41" i="16"/>
  <c r="AJ41" i="16" s="1"/>
  <c r="AO41" i="16" s="1"/>
  <c r="CY47" i="14"/>
  <c r="DE47" i="14" s="1"/>
  <c r="DJ47" i="14" s="1"/>
  <c r="BA47" i="16"/>
  <c r="BG47" i="16" s="1"/>
  <c r="BL47" i="16" s="1"/>
  <c r="G39" i="13"/>
  <c r="M39" i="13" s="1"/>
  <c r="R39" i="13" s="1"/>
  <c r="G49" i="14"/>
  <c r="M49" i="14" s="1"/>
  <c r="R49" i="14" s="1"/>
  <c r="BC53" i="13"/>
  <c r="BI53" i="13" s="1"/>
  <c r="BN53" i="13" s="1"/>
  <c r="CA39" i="14"/>
  <c r="CG39" i="14" s="1"/>
  <c r="CL39" i="14" s="1"/>
  <c r="BX50" i="16"/>
  <c r="CD50" i="16" s="1"/>
  <c r="CI50" i="16" s="1"/>
  <c r="H100" i="10"/>
  <c r="Y100" i="10" s="1"/>
  <c r="BP38" i="14"/>
  <c r="BC38" i="14"/>
  <c r="BC40" i="14"/>
  <c r="BI40" i="14" s="1"/>
  <c r="BN40" i="14" s="1"/>
  <c r="G51" i="13"/>
  <c r="M51" i="13" s="1"/>
  <c r="R51" i="13" s="1"/>
  <c r="CA47" i="14"/>
  <c r="CG47" i="14" s="1"/>
  <c r="CL47" i="14" s="1"/>
  <c r="BC52" i="14"/>
  <c r="BI52" i="14" s="1"/>
  <c r="BN52" i="14" s="1"/>
  <c r="H95" i="10"/>
  <c r="Y95" i="10" s="1"/>
  <c r="T38" i="15"/>
  <c r="G38" i="15"/>
  <c r="AE52" i="13"/>
  <c r="AK52" i="13" s="1"/>
  <c r="AP52" i="13" s="1"/>
  <c r="G44" i="16"/>
  <c r="M44" i="16" s="1"/>
  <c r="R44" i="16" s="1"/>
  <c r="G43" i="14"/>
  <c r="M43" i="14" s="1"/>
  <c r="R43" i="14" s="1"/>
  <c r="G44" i="15"/>
  <c r="M44" i="15" s="1"/>
  <c r="R44" i="15" s="1"/>
  <c r="BC41" i="15"/>
  <c r="BI41" i="15" s="1"/>
  <c r="BN41" i="15" s="1"/>
  <c r="AE38" i="15"/>
  <c r="AR38" i="15"/>
  <c r="CU52" i="16"/>
  <c r="DA52" i="16" s="1"/>
  <c r="DF52" i="16" s="1"/>
  <c r="CA49" i="14"/>
  <c r="CG49" i="14" s="1"/>
  <c r="CL49" i="14" s="1"/>
  <c r="CU45" i="16"/>
  <c r="DA45" i="16" s="1"/>
  <c r="DF45" i="16" s="1"/>
  <c r="AD40" i="16"/>
  <c r="AJ40" i="16" s="1"/>
  <c r="AO40" i="16" s="1"/>
  <c r="G43" i="15"/>
  <c r="M43" i="15" s="1"/>
  <c r="R43" i="15" s="1"/>
  <c r="CU40" i="16"/>
  <c r="DA40" i="16" s="1"/>
  <c r="DF40" i="16" s="1"/>
  <c r="CY51" i="13"/>
  <c r="DE51" i="13" s="1"/>
  <c r="DJ51" i="13" s="1"/>
  <c r="G40" i="16"/>
  <c r="M40" i="16" s="1"/>
  <c r="R40" i="16" s="1"/>
  <c r="AE44" i="14"/>
  <c r="AK44" i="14" s="1"/>
  <c r="AP44" i="14" s="1"/>
  <c r="AE43" i="15"/>
  <c r="AK43" i="15" s="1"/>
  <c r="AP43" i="15" s="1"/>
  <c r="AE49" i="15"/>
  <c r="AK49" i="15" s="1"/>
  <c r="AP49" i="15" s="1"/>
  <c r="BC43" i="15"/>
  <c r="BI43" i="15" s="1"/>
  <c r="BN43" i="15" s="1"/>
  <c r="AQ38" i="16"/>
  <c r="AD38" i="16"/>
  <c r="AE48" i="15"/>
  <c r="AK48" i="15" s="1"/>
  <c r="AP48" i="15" s="1"/>
  <c r="CA45" i="13"/>
  <c r="CG45" i="13" s="1"/>
  <c r="CL45" i="13" s="1"/>
  <c r="CY45" i="15"/>
  <c r="DE45" i="15" s="1"/>
  <c r="DJ45" i="15" s="1"/>
  <c r="G43" i="16"/>
  <c r="M43" i="16" s="1"/>
  <c r="R43" i="16" s="1"/>
  <c r="G50" i="15"/>
  <c r="M50" i="15" s="1"/>
  <c r="R50" i="15" s="1"/>
  <c r="CU50" i="16"/>
  <c r="DA50" i="16" s="1"/>
  <c r="DF50" i="16" s="1"/>
  <c r="BC44" i="14"/>
  <c r="BI44" i="14" s="1"/>
  <c r="BN44" i="14" s="1"/>
  <c r="H94" i="10"/>
  <c r="Y94" i="10" s="1"/>
  <c r="AF91" i="10"/>
  <c r="H91" i="10"/>
  <c r="AE40" i="13"/>
  <c r="AK40" i="13" s="1"/>
  <c r="AP40" i="13" s="1"/>
  <c r="CY48" i="13"/>
  <c r="DE48" i="13" s="1"/>
  <c r="DJ48" i="13" s="1"/>
  <c r="AE48" i="14"/>
  <c r="AK48" i="14" s="1"/>
  <c r="AP48" i="14" s="1"/>
  <c r="BA48" i="16"/>
  <c r="BG48" i="16" s="1"/>
  <c r="BL48" i="16" s="1"/>
  <c r="G48" i="15"/>
  <c r="M48" i="15" s="1"/>
  <c r="R48" i="15" s="1"/>
  <c r="BA46" i="16"/>
  <c r="BG46" i="16" s="1"/>
  <c r="BL46" i="16" s="1"/>
  <c r="BA52" i="16"/>
  <c r="BG52" i="16" s="1"/>
  <c r="BL52" i="16" s="1"/>
  <c r="BC53" i="14"/>
  <c r="BI53" i="14" s="1"/>
  <c r="BN53" i="14" s="1"/>
  <c r="BC46" i="13"/>
  <c r="BI46" i="13" s="1"/>
  <c r="BN46" i="13" s="1"/>
  <c r="G41" i="16"/>
  <c r="M41" i="16" s="1"/>
  <c r="R41" i="16" s="1"/>
  <c r="G53" i="15"/>
  <c r="M53" i="15" s="1"/>
  <c r="R53" i="15" s="1"/>
  <c r="CU39" i="16"/>
  <c r="DA39" i="16" s="1"/>
  <c r="DF39" i="16" s="1"/>
  <c r="G45" i="16"/>
  <c r="M45" i="16" s="1"/>
  <c r="R45" i="16" s="1"/>
  <c r="G53" i="16"/>
  <c r="M53" i="16" s="1"/>
  <c r="R53" i="16" s="1"/>
  <c r="CN38" i="14"/>
  <c r="CA38" i="14"/>
  <c r="BC47" i="15"/>
  <c r="BI47" i="15" s="1"/>
  <c r="BN47" i="15" s="1"/>
  <c r="CY44" i="15"/>
  <c r="DE44" i="15" s="1"/>
  <c r="DJ44" i="15" s="1"/>
  <c r="G45" i="13"/>
  <c r="M45" i="13" s="1"/>
  <c r="R45" i="13" s="1"/>
  <c r="AD42" i="16"/>
  <c r="AJ42" i="16" s="1"/>
  <c r="AO42" i="16" s="1"/>
  <c r="CY45" i="13"/>
  <c r="DE45" i="13" s="1"/>
  <c r="DJ45" i="13" s="1"/>
  <c r="CY52" i="14"/>
  <c r="DE52" i="14" s="1"/>
  <c r="DJ52" i="14" s="1"/>
  <c r="BC41" i="14"/>
  <c r="BI41" i="14" s="1"/>
  <c r="BN41" i="14" s="1"/>
  <c r="AE47" i="15"/>
  <c r="AK47" i="15" s="1"/>
  <c r="AP47" i="15" s="1"/>
  <c r="CA53" i="13"/>
  <c r="CG53" i="13" s="1"/>
  <c r="CL53" i="13" s="1"/>
  <c r="CY50" i="14"/>
  <c r="DE50" i="14" s="1"/>
  <c r="DJ50" i="14" s="1"/>
  <c r="CA44" i="15"/>
  <c r="CG44" i="15" s="1"/>
  <c r="CL44" i="15" s="1"/>
  <c r="CY49" i="15"/>
  <c r="DE49" i="15" s="1"/>
  <c r="DJ49" i="15" s="1"/>
  <c r="CY42" i="13"/>
  <c r="DE42" i="13" s="1"/>
  <c r="DJ42" i="13" s="1"/>
  <c r="G42" i="15"/>
  <c r="M42" i="15" s="1"/>
  <c r="R42" i="15" s="1"/>
  <c r="G51" i="16"/>
  <c r="M51" i="16" s="1"/>
  <c r="R51" i="16" s="1"/>
  <c r="CY44" i="14"/>
  <c r="DE44" i="14" s="1"/>
  <c r="DJ44" i="14" s="1"/>
  <c r="CU48" i="16"/>
  <c r="DA48" i="16" s="1"/>
  <c r="DF48" i="16" s="1"/>
  <c r="AD48" i="16"/>
  <c r="AJ48" i="16" s="1"/>
  <c r="AO48" i="16" s="1"/>
  <c r="CY53" i="14"/>
  <c r="DE53" i="14" s="1"/>
  <c r="DJ53" i="14" s="1"/>
  <c r="BA49" i="16"/>
  <c r="BG49" i="16" s="1"/>
  <c r="BL49" i="16" s="1"/>
  <c r="G44" i="13"/>
  <c r="M44" i="13" s="1"/>
  <c r="R44" i="13" s="1"/>
  <c r="AE50" i="14"/>
  <c r="AK50" i="14" s="1"/>
  <c r="AP50" i="14" s="1"/>
  <c r="CA42" i="13"/>
  <c r="CG42" i="13" s="1"/>
  <c r="CL42" i="13" s="1"/>
  <c r="CA42" i="14"/>
  <c r="CG42" i="14" s="1"/>
  <c r="CL42" i="14" s="1"/>
  <c r="CU41" i="16"/>
  <c r="DA41" i="16" s="1"/>
  <c r="DF41" i="16" s="1"/>
  <c r="H104" i="10"/>
  <c r="Y104" i="10" s="1"/>
  <c r="G49" i="16"/>
  <c r="M49" i="16" s="1"/>
  <c r="R49" i="16" s="1"/>
  <c r="G47" i="13"/>
  <c r="M47" i="13" s="1"/>
  <c r="R47" i="13" s="1"/>
  <c r="G42" i="13"/>
  <c r="M42" i="13" s="1"/>
  <c r="R42" i="13" s="1"/>
  <c r="AD52" i="16"/>
  <c r="AJ52" i="16" s="1"/>
  <c r="AO52" i="16" s="1"/>
  <c r="AE52" i="15"/>
  <c r="AK52" i="15" s="1"/>
  <c r="AP52" i="15" s="1"/>
  <c r="CY43" i="14"/>
  <c r="DE43" i="14" s="1"/>
  <c r="DJ43" i="14" s="1"/>
  <c r="CA41" i="15"/>
  <c r="CG41" i="15" s="1"/>
  <c r="CL41" i="15" s="1"/>
  <c r="G47" i="15"/>
  <c r="M47" i="15" s="1"/>
  <c r="R47" i="15" s="1"/>
  <c r="BA50" i="16"/>
  <c r="BG50" i="16" s="1"/>
  <c r="BL50" i="16" s="1"/>
  <c r="BX40" i="16"/>
  <c r="CD40" i="16" s="1"/>
  <c r="CI40" i="16" s="1"/>
  <c r="CY40" i="14"/>
  <c r="DE40" i="14" s="1"/>
  <c r="DJ40" i="14" s="1"/>
  <c r="CA41" i="13"/>
  <c r="CG41" i="13" s="1"/>
  <c r="CL41" i="13" s="1"/>
  <c r="CY43" i="15"/>
  <c r="DE43" i="15" s="1"/>
  <c r="DJ43" i="15" s="1"/>
  <c r="CY47" i="13"/>
  <c r="DE47" i="13" s="1"/>
  <c r="DJ47" i="13" s="1"/>
  <c r="BA43" i="16"/>
  <c r="BG43" i="16" s="1"/>
  <c r="BL43" i="16" s="1"/>
  <c r="CY48" i="14"/>
  <c r="DE48" i="14" s="1"/>
  <c r="DJ48" i="14" s="1"/>
  <c r="H102" i="10"/>
  <c r="Y102" i="10" s="1"/>
  <c r="AE41" i="14"/>
  <c r="AK41" i="14" s="1"/>
  <c r="AP41" i="14" s="1"/>
  <c r="CA50" i="15"/>
  <c r="CG50" i="15" s="1"/>
  <c r="CL50" i="15" s="1"/>
  <c r="AD50" i="16"/>
  <c r="AJ50" i="16" s="1"/>
  <c r="AO50" i="16" s="1"/>
  <c r="G39" i="15"/>
  <c r="M39" i="15" s="1"/>
  <c r="R39" i="15" s="1"/>
  <c r="BX46" i="16"/>
  <c r="CD46" i="16" s="1"/>
  <c r="CI46" i="16" s="1"/>
  <c r="CY40" i="15"/>
  <c r="DE40" i="15" s="1"/>
  <c r="DJ40" i="15" s="1"/>
  <c r="CN38" i="13"/>
  <c r="CA38" i="13"/>
  <c r="AE40" i="15"/>
  <c r="AK40" i="15" s="1"/>
  <c r="AP40" i="15" s="1"/>
  <c r="BC50" i="15"/>
  <c r="BI50" i="15" s="1"/>
  <c r="BN50" i="15" s="1"/>
  <c r="G52" i="14"/>
  <c r="M52" i="14" s="1"/>
  <c r="R52" i="14" s="1"/>
  <c r="BX47" i="16"/>
  <c r="CD47" i="16" s="1"/>
  <c r="CI47" i="16" s="1"/>
  <c r="CA41" i="14"/>
  <c r="CG41" i="14" s="1"/>
  <c r="CL41" i="14" s="1"/>
  <c r="G44" i="14"/>
  <c r="M44" i="14" s="1"/>
  <c r="R44" i="14" s="1"/>
  <c r="G50" i="16"/>
  <c r="M50" i="16" s="1"/>
  <c r="R50" i="16" s="1"/>
  <c r="H93" i="10"/>
  <c r="Y93" i="10" s="1"/>
  <c r="H99" i="10"/>
  <c r="Y99" i="10" s="1"/>
  <c r="AE45" i="13"/>
  <c r="AK45" i="13" s="1"/>
  <c r="AP45" i="13" s="1"/>
  <c r="CY53" i="13"/>
  <c r="DE53" i="13" s="1"/>
  <c r="DJ53" i="13" s="1"/>
  <c r="G41" i="15"/>
  <c r="M41" i="15" s="1"/>
  <c r="R41" i="15" s="1"/>
  <c r="DH38" i="16"/>
  <c r="CU38" i="16"/>
  <c r="AD45" i="16"/>
  <c r="AJ45" i="16" s="1"/>
  <c r="AO45" i="16" s="1"/>
  <c r="G51" i="15"/>
  <c r="M51" i="15" s="1"/>
  <c r="R51" i="15" s="1"/>
  <c r="CA44" i="13"/>
  <c r="CG44" i="13" s="1"/>
  <c r="CL44" i="13" s="1"/>
  <c r="CK38" i="16"/>
  <c r="BX38" i="16"/>
  <c r="CA39" i="13"/>
  <c r="CG39" i="13" s="1"/>
  <c r="CL39" i="13" s="1"/>
  <c r="G48" i="13"/>
  <c r="M48" i="13" s="1"/>
  <c r="R48" i="13" s="1"/>
  <c r="AD46" i="16"/>
  <c r="AJ46" i="16" s="1"/>
  <c r="AO46" i="16" s="1"/>
  <c r="CU42" i="16"/>
  <c r="DA42" i="16" s="1"/>
  <c r="DF42" i="16" s="1"/>
  <c r="AD51" i="16"/>
  <c r="AJ51" i="16" s="1"/>
  <c r="AO51" i="16" s="1"/>
  <c r="CA43" i="13"/>
  <c r="CG43" i="13" s="1"/>
  <c r="CL43" i="13" s="1"/>
  <c r="CA43" i="14"/>
  <c r="CG43" i="14" s="1"/>
  <c r="CL43" i="14" s="1"/>
  <c r="BC49" i="15"/>
  <c r="BI49" i="15" s="1"/>
  <c r="BN49" i="15" s="1"/>
  <c r="CY46" i="15"/>
  <c r="DE46" i="15" s="1"/>
  <c r="DJ46" i="15" s="1"/>
  <c r="G53" i="13"/>
  <c r="M53" i="13" s="1"/>
  <c r="R53" i="13" s="1"/>
  <c r="G48" i="16"/>
  <c r="M48" i="16" s="1"/>
  <c r="R48" i="16" s="1"/>
  <c r="BC47" i="14"/>
  <c r="BI47" i="14" s="1"/>
  <c r="BN47" i="14" s="1"/>
  <c r="CA48" i="15"/>
  <c r="CG48" i="15" s="1"/>
  <c r="CL48" i="15" s="1"/>
  <c r="G46" i="13"/>
  <c r="M46" i="13" s="1"/>
  <c r="R46" i="13" s="1"/>
  <c r="AD44" i="16"/>
  <c r="AJ44" i="16" s="1"/>
  <c r="AO44" i="16" s="1"/>
  <c r="CY39" i="13"/>
  <c r="DE39" i="13" s="1"/>
  <c r="DJ39" i="13" s="1"/>
  <c r="BC40" i="15"/>
  <c r="BI40" i="15" s="1"/>
  <c r="BN40" i="15" s="1"/>
  <c r="CA49" i="15"/>
  <c r="CG49" i="15" s="1"/>
  <c r="CL49" i="15" s="1"/>
  <c r="CY51" i="15"/>
  <c r="DE51" i="15" s="1"/>
  <c r="DJ51" i="15" s="1"/>
  <c r="G41" i="13"/>
  <c r="M41" i="13" s="1"/>
  <c r="R41" i="13" s="1"/>
  <c r="G46" i="15"/>
  <c r="M46" i="15" s="1"/>
  <c r="R46" i="15" s="1"/>
  <c r="BC41" i="13"/>
  <c r="BI41" i="13" s="1"/>
  <c r="BN41" i="13" s="1"/>
  <c r="CN38" i="15"/>
  <c r="CA38" i="15"/>
  <c r="AE40" i="14"/>
  <c r="AK40" i="14" s="1"/>
  <c r="AP40" i="14" s="1"/>
  <c r="BC44" i="13"/>
  <c r="BI44" i="13" s="1"/>
  <c r="BN44" i="13" s="1"/>
  <c r="CA39" i="15"/>
  <c r="CG39" i="15" s="1"/>
  <c r="CL39" i="15" s="1"/>
  <c r="BA51" i="16"/>
  <c r="BG51" i="16" s="1"/>
  <c r="BL51" i="16" s="1"/>
  <c r="G52" i="13"/>
  <c r="M52" i="13" s="1"/>
  <c r="R52" i="13" s="1"/>
  <c r="AE52" i="14"/>
  <c r="AK52" i="14" s="1"/>
  <c r="AP52" i="14" s="1"/>
  <c r="CA46" i="13"/>
  <c r="CG46" i="13" s="1"/>
  <c r="CL46" i="13" s="1"/>
  <c r="CA46" i="14"/>
  <c r="CG46" i="14" s="1"/>
  <c r="CL46" i="14" s="1"/>
  <c r="CU51" i="16"/>
  <c r="DA51" i="16" s="1"/>
  <c r="DF51" i="16" s="1"/>
  <c r="BZ26" i="15"/>
  <c r="CI26" i="15" s="1"/>
  <c r="BZ18" i="15"/>
  <c r="CI18" i="15" s="1"/>
  <c r="BZ15" i="15"/>
  <c r="CI15" i="15" s="1"/>
  <c r="BZ17" i="15"/>
  <c r="CI17" i="15" s="1"/>
  <c r="BZ23" i="15"/>
  <c r="CI23" i="15" s="1"/>
  <c r="CX26" i="15"/>
  <c r="DG26" i="15" s="1"/>
  <c r="CX24" i="15"/>
  <c r="DG24" i="15" s="1"/>
  <c r="CX22" i="15"/>
  <c r="DG22" i="15" s="1"/>
  <c r="CX20" i="15"/>
  <c r="DG20" i="15" s="1"/>
  <c r="CX18" i="15"/>
  <c r="DG18" i="15" s="1"/>
  <c r="CX16" i="15"/>
  <c r="DG16" i="15" s="1"/>
  <c r="CX14" i="15"/>
  <c r="DG14" i="15" s="1"/>
  <c r="BZ20" i="15"/>
  <c r="CI20" i="15" s="1"/>
  <c r="BZ25" i="15"/>
  <c r="CI25" i="15" s="1"/>
  <c r="BZ22" i="15"/>
  <c r="CI22" i="15" s="1"/>
  <c r="BZ14" i="15"/>
  <c r="CI14" i="15" s="1"/>
  <c r="BZ12" i="15"/>
  <c r="CI12" i="15" s="1"/>
  <c r="CX12" i="15"/>
  <c r="DG12" i="15" s="1"/>
  <c r="BZ27" i="15"/>
  <c r="CI27" i="15" s="1"/>
  <c r="BZ19" i="15"/>
  <c r="CI19" i="15" s="1"/>
  <c r="CX27" i="15"/>
  <c r="DG27" i="15" s="1"/>
  <c r="CX25" i="15"/>
  <c r="DG25" i="15" s="1"/>
  <c r="CX23" i="15"/>
  <c r="DG23" i="15" s="1"/>
  <c r="CX21" i="15"/>
  <c r="DG21" i="15" s="1"/>
  <c r="CX19" i="15"/>
  <c r="DG19" i="15" s="1"/>
  <c r="CX17" i="15"/>
  <c r="DG17" i="15" s="1"/>
  <c r="CX13" i="15"/>
  <c r="DG13" i="15" s="1"/>
  <c r="CX15" i="15"/>
  <c r="DG15" i="15" s="1"/>
  <c r="BZ21" i="15"/>
  <c r="CI21" i="15" s="1"/>
  <c r="BZ24" i="15"/>
  <c r="CI24" i="15" s="1"/>
  <c r="BZ13" i="15"/>
  <c r="CI13" i="15" s="1"/>
  <c r="BZ16" i="15"/>
  <c r="CI16" i="15" s="1"/>
  <c r="BW20" i="16"/>
  <c r="CF20" i="16" s="1"/>
  <c r="BW15" i="16"/>
  <c r="CF15" i="16" s="1"/>
  <c r="CX24" i="14"/>
  <c r="DG24" i="14" s="1"/>
  <c r="CX18" i="14"/>
  <c r="DG18" i="14" s="1"/>
  <c r="BB27" i="14"/>
  <c r="BK27" i="14" s="1"/>
  <c r="BZ25" i="14"/>
  <c r="CI25" i="14" s="1"/>
  <c r="BZ18" i="14"/>
  <c r="CI18" i="14" s="1"/>
  <c r="AC26" i="16"/>
  <c r="AL26" i="16" s="1"/>
  <c r="AZ22" i="16"/>
  <c r="BI22" i="16" s="1"/>
  <c r="AZ19" i="16"/>
  <c r="BI19" i="16" s="1"/>
  <c r="BB26" i="15"/>
  <c r="BK26" i="15" s="1"/>
  <c r="BB25" i="15"/>
  <c r="BK25" i="15" s="1"/>
  <c r="BB24" i="15"/>
  <c r="BK24" i="15" s="1"/>
  <c r="AD22" i="15"/>
  <c r="AM22" i="15" s="1"/>
  <c r="AD20" i="15"/>
  <c r="AM20" i="15" s="1"/>
  <c r="AD18" i="15"/>
  <c r="AM18" i="15" s="1"/>
  <c r="AD13" i="15"/>
  <c r="AM13" i="15" s="1"/>
  <c r="BB12" i="15"/>
  <c r="BK12" i="15" s="1"/>
  <c r="AD26" i="14"/>
  <c r="AM26" i="14" s="1"/>
  <c r="F23" i="14"/>
  <c r="O23" i="14" s="1"/>
  <c r="AD21" i="14"/>
  <c r="AM21" i="14" s="1"/>
  <c r="AD18" i="14"/>
  <c r="AM18" i="14" s="1"/>
  <c r="AD16" i="14"/>
  <c r="AM16" i="14" s="1"/>
  <c r="F12" i="14"/>
  <c r="O12" i="14" s="1"/>
  <c r="BB25" i="13"/>
  <c r="BK25" i="13" s="1"/>
  <c r="BB21" i="13"/>
  <c r="BK21" i="13" s="1"/>
  <c r="BB17" i="13"/>
  <c r="BK17" i="13" s="1"/>
  <c r="BB13" i="13"/>
  <c r="BK13" i="13" s="1"/>
  <c r="AD17" i="13"/>
  <c r="AM17" i="13" s="1"/>
  <c r="AD25" i="13"/>
  <c r="AM25" i="13" s="1"/>
  <c r="F20" i="13"/>
  <c r="O20" i="13" s="1"/>
  <c r="AD12" i="13"/>
  <c r="AM12" i="13" s="1"/>
  <c r="CT26" i="16"/>
  <c r="DC26" i="16" s="1"/>
  <c r="CT24" i="16"/>
  <c r="DC24" i="16" s="1"/>
  <c r="CT22" i="16"/>
  <c r="DC22" i="16" s="1"/>
  <c r="CT20" i="16"/>
  <c r="DC20" i="16" s="1"/>
  <c r="CT18" i="16"/>
  <c r="DC18" i="16" s="1"/>
  <c r="CT16" i="16"/>
  <c r="DC16" i="16" s="1"/>
  <c r="CT14" i="16"/>
  <c r="DC14" i="16" s="1"/>
  <c r="BW25" i="16"/>
  <c r="CF25" i="16" s="1"/>
  <c r="CX21" i="14"/>
  <c r="DG21" i="14" s="1"/>
  <c r="BB23" i="14"/>
  <c r="BK23" i="14" s="1"/>
  <c r="BB20" i="14"/>
  <c r="BK20" i="14" s="1"/>
  <c r="BZ24" i="14"/>
  <c r="CI24" i="14" s="1"/>
  <c r="BZ17" i="14"/>
  <c r="CI17" i="14" s="1"/>
  <c r="CX26" i="13"/>
  <c r="DG26" i="13" s="1"/>
  <c r="CX22" i="13"/>
  <c r="DG22" i="13" s="1"/>
  <c r="CX19" i="13"/>
  <c r="DG19" i="13" s="1"/>
  <c r="CX15" i="13"/>
  <c r="DG15" i="13" s="1"/>
  <c r="BZ27" i="13"/>
  <c r="CI27" i="13" s="1"/>
  <c r="BZ23" i="13"/>
  <c r="CI23" i="13" s="1"/>
  <c r="BZ19" i="13"/>
  <c r="CI19" i="13" s="1"/>
  <c r="BZ15" i="13"/>
  <c r="CI15" i="13" s="1"/>
  <c r="AC25" i="16"/>
  <c r="AL25" i="16" s="1"/>
  <c r="AC24" i="16"/>
  <c r="AL24" i="16" s="1"/>
  <c r="AC23" i="16"/>
  <c r="AL23" i="16" s="1"/>
  <c r="AZ21" i="16"/>
  <c r="BI21" i="16" s="1"/>
  <c r="AZ20" i="16"/>
  <c r="BI20" i="16" s="1"/>
  <c r="AZ18" i="16"/>
  <c r="BI18" i="16" s="1"/>
  <c r="F16" i="16"/>
  <c r="O16" i="16" s="1"/>
  <c r="AC14" i="16"/>
  <c r="AL14" i="16" s="1"/>
  <c r="AZ13" i="16"/>
  <c r="BI13" i="16" s="1"/>
  <c r="F13" i="16"/>
  <c r="O13" i="16" s="1"/>
  <c r="AD27" i="15"/>
  <c r="AM27" i="15" s="1"/>
  <c r="AD23" i="15"/>
  <c r="AM23" i="15" s="1"/>
  <c r="F17" i="15"/>
  <c r="O17" i="15" s="1"/>
  <c r="F16" i="15"/>
  <c r="O16" i="15" s="1"/>
  <c r="F15" i="15"/>
  <c r="O15" i="15" s="1"/>
  <c r="F14" i="15"/>
  <c r="O14" i="15" s="1"/>
  <c r="AD24" i="14"/>
  <c r="AM24" i="14" s="1"/>
  <c r="F18" i="14"/>
  <c r="O18" i="14" s="1"/>
  <c r="F16" i="14"/>
  <c r="O16" i="14" s="1"/>
  <c r="AD13" i="14"/>
  <c r="AM13" i="14" s="1"/>
  <c r="AD18" i="13"/>
  <c r="AM18" i="13" s="1"/>
  <c r="AD26" i="13"/>
  <c r="AM26" i="13" s="1"/>
  <c r="F25" i="13"/>
  <c r="O25" i="13" s="1"/>
  <c r="F17" i="13"/>
  <c r="O17" i="13" s="1"/>
  <c r="F12" i="13"/>
  <c r="O12" i="13" s="1"/>
  <c r="BW27" i="16"/>
  <c r="CF27" i="16" s="1"/>
  <c r="BW19" i="16"/>
  <c r="CF19" i="16" s="1"/>
  <c r="CX23" i="14"/>
  <c r="DG23" i="14" s="1"/>
  <c r="BZ22" i="14"/>
  <c r="CI22" i="14" s="1"/>
  <c r="BZ12" i="14"/>
  <c r="CI12" i="14" s="1"/>
  <c r="CX25" i="13"/>
  <c r="DG25" i="13" s="1"/>
  <c r="BZ26" i="13"/>
  <c r="CI26" i="13" s="1"/>
  <c r="BZ18" i="13"/>
  <c r="CI18" i="13" s="1"/>
  <c r="BZ14" i="13"/>
  <c r="CI14" i="13" s="1"/>
  <c r="AZ27" i="16"/>
  <c r="BI27" i="16" s="1"/>
  <c r="F24" i="16"/>
  <c r="O24" i="16" s="1"/>
  <c r="AC20" i="16"/>
  <c r="AL20" i="16" s="1"/>
  <c r="AC18" i="16"/>
  <c r="AL18" i="16" s="1"/>
  <c r="AD12" i="15"/>
  <c r="AM12" i="15" s="1"/>
  <c r="AD22" i="14"/>
  <c r="AM22" i="14" s="1"/>
  <c r="AD20" i="13"/>
  <c r="AM20" i="13" s="1"/>
  <c r="F19" i="13"/>
  <c r="O19" i="13" s="1"/>
  <c r="BB17" i="15"/>
  <c r="BK17" i="15" s="1"/>
  <c r="BW22" i="16"/>
  <c r="CF22" i="16" s="1"/>
  <c r="BW17" i="16"/>
  <c r="CF17" i="16" s="1"/>
  <c r="CX27" i="14"/>
  <c r="DG27" i="14" s="1"/>
  <c r="CX17" i="14"/>
  <c r="DG17" i="14" s="1"/>
  <c r="CX14" i="14"/>
  <c r="DG14" i="14" s="1"/>
  <c r="BB26" i="14"/>
  <c r="BK26" i="14" s="1"/>
  <c r="BB16" i="14"/>
  <c r="BK16" i="14" s="1"/>
  <c r="BB13" i="14"/>
  <c r="BK13" i="14" s="1"/>
  <c r="BZ23" i="14"/>
  <c r="CI23" i="14" s="1"/>
  <c r="BZ16" i="14"/>
  <c r="CI16" i="14" s="1"/>
  <c r="F27" i="16"/>
  <c r="O27" i="16" s="1"/>
  <c r="F26" i="16"/>
  <c r="O26" i="16" s="1"/>
  <c r="AC22" i="16"/>
  <c r="AL22" i="16" s="1"/>
  <c r="AC19" i="16"/>
  <c r="AL19" i="16" s="1"/>
  <c r="AZ17" i="16"/>
  <c r="BI17" i="16" s="1"/>
  <c r="AZ16" i="16"/>
  <c r="BI16" i="16" s="1"/>
  <c r="F15" i="16"/>
  <c r="O15" i="16" s="1"/>
  <c r="AD25" i="15"/>
  <c r="AM25" i="15" s="1"/>
  <c r="AD24" i="15"/>
  <c r="AM24" i="15" s="1"/>
  <c r="F22" i="15"/>
  <c r="O22" i="15" s="1"/>
  <c r="F21" i="15"/>
  <c r="O21" i="15" s="1"/>
  <c r="F20" i="15"/>
  <c r="O20" i="15" s="1"/>
  <c r="F19" i="15"/>
  <c r="O19" i="15" s="1"/>
  <c r="F18" i="15"/>
  <c r="O18" i="15" s="1"/>
  <c r="AD27" i="14"/>
  <c r="AM27" i="14" s="1"/>
  <c r="F26" i="14"/>
  <c r="O26" i="14" s="1"/>
  <c r="AD19" i="14"/>
  <c r="AM19" i="14" s="1"/>
  <c r="AD14" i="14"/>
  <c r="AM14" i="14" s="1"/>
  <c r="BB24" i="13"/>
  <c r="BK24" i="13" s="1"/>
  <c r="BB20" i="13"/>
  <c r="BK20" i="13" s="1"/>
  <c r="BB16" i="13"/>
  <c r="BK16" i="13" s="1"/>
  <c r="AD19" i="13"/>
  <c r="AM19" i="13" s="1"/>
  <c r="AD27" i="13"/>
  <c r="AM27" i="13" s="1"/>
  <c r="F22" i="13"/>
  <c r="O22" i="13" s="1"/>
  <c r="F14" i="13"/>
  <c r="O14" i="13" s="1"/>
  <c r="BW14" i="16"/>
  <c r="CF14" i="16" s="1"/>
  <c r="BB19" i="14"/>
  <c r="BK19" i="14" s="1"/>
  <c r="CX18" i="13"/>
  <c r="DG18" i="13" s="1"/>
  <c r="BZ22" i="13"/>
  <c r="CI22" i="13" s="1"/>
  <c r="BZ12" i="13"/>
  <c r="CI12" i="13" s="1"/>
  <c r="F12" i="16"/>
  <c r="O12" i="16" s="1"/>
  <c r="AD26" i="15"/>
  <c r="AM26" i="15" s="1"/>
  <c r="F23" i="15"/>
  <c r="O23" i="15" s="1"/>
  <c r="F13" i="15"/>
  <c r="O13" i="15" s="1"/>
  <c r="F24" i="14"/>
  <c r="O24" i="14" s="1"/>
  <c r="F21" i="14"/>
  <c r="O21" i="14" s="1"/>
  <c r="AD12" i="14"/>
  <c r="AM12" i="14" s="1"/>
  <c r="F27" i="13"/>
  <c r="O27" i="13" s="1"/>
  <c r="AD25" i="14"/>
  <c r="AM25" i="14" s="1"/>
  <c r="BW24" i="16"/>
  <c r="CF24" i="16" s="1"/>
  <c r="CX26" i="14"/>
  <c r="DG26" i="14" s="1"/>
  <c r="CX20" i="14"/>
  <c r="DG20" i="14" s="1"/>
  <c r="CX16" i="14"/>
  <c r="DG16" i="14" s="1"/>
  <c r="CX12" i="14"/>
  <c r="DG12" i="14" s="1"/>
  <c r="BB25" i="14"/>
  <c r="BK25" i="14" s="1"/>
  <c r="BB22" i="14"/>
  <c r="BK22" i="14" s="1"/>
  <c r="BB15" i="14"/>
  <c r="BK15" i="14" s="1"/>
  <c r="BZ15" i="14"/>
  <c r="CI15" i="14" s="1"/>
  <c r="CX21" i="13"/>
  <c r="DG21" i="13" s="1"/>
  <c r="CX14" i="13"/>
  <c r="DG14" i="13" s="1"/>
  <c r="F25" i="16"/>
  <c r="O25" i="16" s="1"/>
  <c r="F23" i="16"/>
  <c r="O23" i="16" s="1"/>
  <c r="AC21" i="16"/>
  <c r="AL21" i="16" s="1"/>
  <c r="AC17" i="16"/>
  <c r="AL17" i="16" s="1"/>
  <c r="F24" i="15"/>
  <c r="O24" i="15" s="1"/>
  <c r="BB16" i="15"/>
  <c r="BK16" i="15" s="1"/>
  <c r="BB14" i="15"/>
  <c r="BK14" i="15" s="1"/>
  <c r="AD17" i="14"/>
  <c r="AM17" i="14" s="1"/>
  <c r="AD15" i="14"/>
  <c r="AM15" i="14" s="1"/>
  <c r="BB27" i="13"/>
  <c r="BK27" i="13" s="1"/>
  <c r="BB23" i="13"/>
  <c r="BK23" i="13" s="1"/>
  <c r="BB19" i="13"/>
  <c r="BK19" i="13" s="1"/>
  <c r="BB15" i="13"/>
  <c r="BK15" i="13" s="1"/>
  <c r="AD13" i="13"/>
  <c r="AM13" i="13" s="1"/>
  <c r="AD21" i="13"/>
  <c r="AM21" i="13" s="1"/>
  <c r="F24" i="13"/>
  <c r="O24" i="13" s="1"/>
  <c r="F16" i="13"/>
  <c r="O16" i="13" s="1"/>
  <c r="CT27" i="16"/>
  <c r="DC27" i="16" s="1"/>
  <c r="CT25" i="16"/>
  <c r="DC25" i="16" s="1"/>
  <c r="CT23" i="16"/>
  <c r="DC23" i="16" s="1"/>
  <c r="CT21" i="16"/>
  <c r="DC21" i="16" s="1"/>
  <c r="CT19" i="16"/>
  <c r="DC19" i="16" s="1"/>
  <c r="CT17" i="16"/>
  <c r="DC17" i="16" s="1"/>
  <c r="CT15" i="16"/>
  <c r="DC15" i="16" s="1"/>
  <c r="CT13" i="16"/>
  <c r="DC13" i="16" s="1"/>
  <c r="CT12" i="16"/>
  <c r="DC12" i="16" s="1"/>
  <c r="BW21" i="16"/>
  <c r="CF21" i="16" s="1"/>
  <c r="BW16" i="16"/>
  <c r="CF16" i="16" s="1"/>
  <c r="BW12" i="16"/>
  <c r="CF12" i="16" s="1"/>
  <c r="CX13" i="14"/>
  <c r="DG13" i="14" s="1"/>
  <c r="BB18" i="14"/>
  <c r="BK18" i="14" s="1"/>
  <c r="BZ21" i="14"/>
  <c r="CI21" i="14" s="1"/>
  <c r="BZ14" i="14"/>
  <c r="CI14" i="14" s="1"/>
  <c r="CX24" i="13"/>
  <c r="DG24" i="13" s="1"/>
  <c r="CX17" i="13"/>
  <c r="DG17" i="13" s="1"/>
  <c r="BZ25" i="13"/>
  <c r="CI25" i="13" s="1"/>
  <c r="BZ21" i="13"/>
  <c r="CI21" i="13" s="1"/>
  <c r="BZ17" i="13"/>
  <c r="CI17" i="13" s="1"/>
  <c r="BZ13" i="13"/>
  <c r="CI13" i="13" s="1"/>
  <c r="AZ26" i="16"/>
  <c r="BI26" i="16" s="1"/>
  <c r="F20" i="16"/>
  <c r="O20" i="16" s="1"/>
  <c r="AC16" i="16"/>
  <c r="AL16" i="16" s="1"/>
  <c r="AZ15" i="16"/>
  <c r="BI15" i="16" s="1"/>
  <c r="F14" i="16"/>
  <c r="O14" i="16" s="1"/>
  <c r="AC13" i="16"/>
  <c r="AL13" i="16" s="1"/>
  <c r="AC12" i="16"/>
  <c r="AL12" i="16" s="1"/>
  <c r="BB27" i="15"/>
  <c r="BK27" i="15" s="1"/>
  <c r="F27" i="15"/>
  <c r="O27" i="15" s="1"/>
  <c r="F26" i="15"/>
  <c r="O26" i="15" s="1"/>
  <c r="F25" i="15"/>
  <c r="O25" i="15" s="1"/>
  <c r="BB21" i="15"/>
  <c r="BK21" i="15" s="1"/>
  <c r="BB20" i="15"/>
  <c r="BK20" i="15" s="1"/>
  <c r="BB19" i="15"/>
  <c r="BK19" i="15" s="1"/>
  <c r="BB18" i="15"/>
  <c r="BK18" i="15" s="1"/>
  <c r="BB15" i="15"/>
  <c r="BK15" i="15" s="1"/>
  <c r="BB13" i="15"/>
  <c r="BK13" i="15" s="1"/>
  <c r="F27" i="14"/>
  <c r="O27" i="14" s="1"/>
  <c r="F22" i="14"/>
  <c r="O22" i="14" s="1"/>
  <c r="BW23" i="16"/>
  <c r="CF23" i="16" s="1"/>
  <c r="CX22" i="14"/>
  <c r="DG22" i="14" s="1"/>
  <c r="BB17" i="14"/>
  <c r="BK17" i="14" s="1"/>
  <c r="BZ20" i="13"/>
  <c r="CI20" i="13" s="1"/>
  <c r="AZ24" i="16"/>
  <c r="BI24" i="16" s="1"/>
  <c r="F22" i="16"/>
  <c r="O22" i="16" s="1"/>
  <c r="F19" i="16"/>
  <c r="O19" i="16" s="1"/>
  <c r="AC15" i="16"/>
  <c r="AL15" i="16" s="1"/>
  <c r="AD17" i="15"/>
  <c r="AM17" i="15" s="1"/>
  <c r="F19" i="14"/>
  <c r="O19" i="14" s="1"/>
  <c r="F14" i="14"/>
  <c r="O14" i="14" s="1"/>
  <c r="BB22" i="13"/>
  <c r="BK22" i="13" s="1"/>
  <c r="BB12" i="13"/>
  <c r="BK12" i="13" s="1"/>
  <c r="AD23" i="13"/>
  <c r="AM23" i="13" s="1"/>
  <c r="BW26" i="16"/>
  <c r="CF26" i="16" s="1"/>
  <c r="CX27" i="13"/>
  <c r="DG27" i="13" s="1"/>
  <c r="CX16" i="13"/>
  <c r="DG16" i="13" s="1"/>
  <c r="AD14" i="15"/>
  <c r="AM14" i="15" s="1"/>
  <c r="AD23" i="14"/>
  <c r="AM23" i="14" s="1"/>
  <c r="AD24" i="13"/>
  <c r="AM24" i="13" s="1"/>
  <c r="F23" i="13"/>
  <c r="O23" i="13" s="1"/>
  <c r="F13" i="13"/>
  <c r="O13" i="13" s="1"/>
  <c r="CX25" i="14"/>
  <c r="DG25" i="14" s="1"/>
  <c r="BZ13" i="14"/>
  <c r="CI13" i="14" s="1"/>
  <c r="AZ25" i="16"/>
  <c r="BI25" i="16" s="1"/>
  <c r="AD21" i="15"/>
  <c r="AM21" i="15" s="1"/>
  <c r="BB14" i="13"/>
  <c r="BK14" i="13" s="1"/>
  <c r="F26" i="13"/>
  <c r="O26" i="13" s="1"/>
  <c r="BW18" i="16"/>
  <c r="CF18" i="16" s="1"/>
  <c r="BB21" i="14"/>
  <c r="BK21" i="14" s="1"/>
  <c r="BZ27" i="14"/>
  <c r="CI27" i="14" s="1"/>
  <c r="BZ24" i="13"/>
  <c r="CI24" i="13" s="1"/>
  <c r="AD15" i="15"/>
  <c r="AM15" i="15" s="1"/>
  <c r="F12" i="15"/>
  <c r="O12" i="15" s="1"/>
  <c r="AD20" i="14"/>
  <c r="AM20" i="14" s="1"/>
  <c r="CX15" i="14"/>
  <c r="DG15" i="14" s="1"/>
  <c r="BZ26" i="14"/>
  <c r="CI26" i="14" s="1"/>
  <c r="CX20" i="13"/>
  <c r="DG20" i="13" s="1"/>
  <c r="F25" i="14"/>
  <c r="O25" i="14" s="1"/>
  <c r="F15" i="13"/>
  <c r="O15" i="13" s="1"/>
  <c r="F15" i="14"/>
  <c r="O15" i="14" s="1"/>
  <c r="BB24" i="14"/>
  <c r="BK24" i="14" s="1"/>
  <c r="CX12" i="13"/>
  <c r="DG12" i="13" s="1"/>
  <c r="BZ16" i="13"/>
  <c r="CI16" i="13" s="1"/>
  <c r="F17" i="16"/>
  <c r="O17" i="16" s="1"/>
  <c r="AZ14" i="16"/>
  <c r="BI14" i="16" s="1"/>
  <c r="AD19" i="15"/>
  <c r="AM19" i="15" s="1"/>
  <c r="AD16" i="15"/>
  <c r="AM16" i="15" s="1"/>
  <c r="F17" i="14"/>
  <c r="O17" i="14" s="1"/>
  <c r="BB18" i="13"/>
  <c r="BK18" i="13" s="1"/>
  <c r="AD15" i="13"/>
  <c r="AM15" i="13" s="1"/>
  <c r="F18" i="13"/>
  <c r="O18" i="13" s="1"/>
  <c r="CX19" i="14"/>
  <c r="DG19" i="14" s="1"/>
  <c r="BB14" i="14"/>
  <c r="BK14" i="14" s="1"/>
  <c r="BZ20" i="14"/>
  <c r="CI20" i="14" s="1"/>
  <c r="CX23" i="13"/>
  <c r="DG23" i="13" s="1"/>
  <c r="AZ23" i="16"/>
  <c r="BI23" i="16" s="1"/>
  <c r="F21" i="16"/>
  <c r="O21" i="16" s="1"/>
  <c r="AZ12" i="16"/>
  <c r="BI12" i="16" s="1"/>
  <c r="F13" i="14"/>
  <c r="O13" i="14" s="1"/>
  <c r="AD16" i="13"/>
  <c r="AM16" i="13" s="1"/>
  <c r="F21" i="13"/>
  <c r="O21" i="13" s="1"/>
  <c r="BW13" i="16"/>
  <c r="CF13" i="16" s="1"/>
  <c r="BZ19" i="14"/>
  <c r="CI19" i="14" s="1"/>
  <c r="CX13" i="13"/>
  <c r="DG13" i="13" s="1"/>
  <c r="AC27" i="16"/>
  <c r="AL27" i="16" s="1"/>
  <c r="F18" i="16"/>
  <c r="O18" i="16" s="1"/>
  <c r="BB23" i="15"/>
  <c r="BK23" i="15" s="1"/>
  <c r="AD22" i="13"/>
  <c r="AM22" i="13" s="1"/>
  <c r="BB26" i="13"/>
  <c r="BK26" i="13" s="1"/>
  <c r="BB12" i="14"/>
  <c r="BK12" i="14" s="1"/>
  <c r="BB22" i="15"/>
  <c r="BK22" i="15" s="1"/>
  <c r="F20" i="14"/>
  <c r="O20" i="14" s="1"/>
  <c r="AD14" i="13"/>
  <c r="AM14" i="13" s="1"/>
  <c r="H24" i="10"/>
  <c r="Y24" i="10" s="1"/>
  <c r="H17" i="10"/>
  <c r="Y17" i="10" s="1"/>
  <c r="H14" i="10"/>
  <c r="Q69" i="2"/>
  <c r="R24" i="8" s="1"/>
  <c r="I39" i="10"/>
  <c r="W39" i="10" s="1"/>
  <c r="AB39" i="10" s="1"/>
  <c r="H23" i="10"/>
  <c r="Y23" i="10" s="1"/>
  <c r="H21" i="10"/>
  <c r="Y21" i="10" s="1"/>
  <c r="H26" i="10"/>
  <c r="Y26" i="10" s="1"/>
  <c r="H15" i="10"/>
  <c r="Y15" i="10" s="1"/>
  <c r="H27" i="10"/>
  <c r="Y27" i="10" s="1"/>
  <c r="AF18" i="2"/>
  <c r="W17" i="8" s="1"/>
  <c r="H18" i="10"/>
  <c r="Y18" i="10" s="1"/>
  <c r="H13" i="10"/>
  <c r="AF13" i="10"/>
  <c r="H20" i="10"/>
  <c r="Y20" i="10" s="1"/>
  <c r="H16" i="10"/>
  <c r="H22" i="10"/>
  <c r="H19" i="10"/>
  <c r="H25" i="10"/>
  <c r="H28" i="10"/>
  <c r="Q19" i="8"/>
  <c r="K69" i="2"/>
  <c r="Q24" i="8" s="1"/>
  <c r="R21" i="2"/>
  <c r="V20" i="8"/>
  <c r="AD23" i="10" l="1"/>
  <c r="J71" i="22" s="1"/>
  <c r="AD24" i="10"/>
  <c r="J72" i="22" s="1"/>
  <c r="AD26" i="10"/>
  <c r="J74" i="22" s="1"/>
  <c r="AD95" i="10"/>
  <c r="M65" i="22" s="1"/>
  <c r="AD101" i="10"/>
  <c r="M71" i="22" s="1"/>
  <c r="AD106" i="10"/>
  <c r="M76" i="22" s="1"/>
  <c r="AD97" i="10"/>
  <c r="M67" i="22" s="1"/>
  <c r="AD98" i="10"/>
  <c r="M68" i="22" s="1"/>
  <c r="AD15" i="10"/>
  <c r="J63" i="22" s="1"/>
  <c r="AD20" i="10"/>
  <c r="J68" i="22" s="1"/>
  <c r="AD21" i="10"/>
  <c r="J69" i="22" s="1"/>
  <c r="AD94" i="10"/>
  <c r="M64" i="22" s="1"/>
  <c r="AD105" i="10"/>
  <c r="M75" i="22" s="1"/>
  <c r="AD103" i="10"/>
  <c r="M73" i="22" s="1"/>
  <c r="AD99" i="10"/>
  <c r="M69" i="22" s="1"/>
  <c r="AD18" i="10"/>
  <c r="J66" i="22" s="1"/>
  <c r="AD93" i="10"/>
  <c r="M63" i="22" s="1"/>
  <c r="AD102" i="10"/>
  <c r="M72" i="22" s="1"/>
  <c r="Y14" i="10"/>
  <c r="AD14" i="10" s="1"/>
  <c r="J62" i="22" s="1"/>
  <c r="AD104" i="10"/>
  <c r="M74" i="22" s="1"/>
  <c r="AD27" i="10"/>
  <c r="J75" i="22" s="1"/>
  <c r="AD17" i="10"/>
  <c r="J65" i="22" s="1"/>
  <c r="AD92" i="10"/>
  <c r="M62" i="22" s="1"/>
  <c r="AD100" i="10"/>
  <c r="M70" i="22" s="1"/>
  <c r="AD96" i="10"/>
  <c r="M66" i="22" s="1"/>
  <c r="BX71" i="15"/>
  <c r="BX72" i="15" s="1"/>
  <c r="BX73" i="15" s="1"/>
  <c r="BX74" i="15" s="1"/>
  <c r="BX75" i="15" s="1"/>
  <c r="BX76" i="15" s="1"/>
  <c r="BX77" i="15" s="1"/>
  <c r="BX78" i="15" s="1"/>
  <c r="CN39" i="14"/>
  <c r="CN40" i="14" s="1"/>
  <c r="CN41" i="14" s="1"/>
  <c r="CN42" i="14" s="1"/>
  <c r="CN43" i="14" s="1"/>
  <c r="CN44" i="14" s="1"/>
  <c r="CN45" i="14" s="1"/>
  <c r="CN46" i="14" s="1"/>
  <c r="CN47" i="14" s="1"/>
  <c r="CN48" i="14" s="1"/>
  <c r="CN49" i="14" s="1"/>
  <c r="CN50" i="14" s="1"/>
  <c r="CN51" i="14" s="1"/>
  <c r="CN52" i="14" s="1"/>
  <c r="CN53" i="14" s="1"/>
  <c r="P161" i="14" s="1"/>
  <c r="AR39" i="14"/>
  <c r="Y39" i="10"/>
  <c r="AD39" i="10" s="1"/>
  <c r="BI113" i="13"/>
  <c r="BN113" i="13" s="1"/>
  <c r="BQ113" i="13"/>
  <c r="BQ114" i="13" s="1"/>
  <c r="BQ115" i="13" s="1"/>
  <c r="BQ116" i="13" s="1"/>
  <c r="BQ117" i="13" s="1"/>
  <c r="BQ118" i="13" s="1"/>
  <c r="BQ119" i="13" s="1"/>
  <c r="BQ120" i="13" s="1"/>
  <c r="BQ121" i="13" s="1"/>
  <c r="BQ122" i="13" s="1"/>
  <c r="BQ123" i="13" s="1"/>
  <c r="BQ124" i="13" s="1"/>
  <c r="BQ125" i="13" s="1"/>
  <c r="BQ126" i="13" s="1"/>
  <c r="BQ127" i="13" s="1"/>
  <c r="BQ128" i="13" s="1"/>
  <c r="AD162" i="13" s="1"/>
  <c r="AD163" i="13" s="1"/>
  <c r="AD165" i="13" s="1"/>
  <c r="AD167" i="13" s="1"/>
  <c r="AK88" i="14"/>
  <c r="AP88" i="14" s="1"/>
  <c r="AS88" i="14"/>
  <c r="AS89" i="14" s="1"/>
  <c r="AS90" i="14" s="1"/>
  <c r="AS91" i="14" s="1"/>
  <c r="AS92" i="14" s="1"/>
  <c r="AS93" i="14" s="1"/>
  <c r="AS94" i="14" s="1"/>
  <c r="AS95" i="14" s="1"/>
  <c r="AS96" i="14" s="1"/>
  <c r="AS97" i="14" s="1"/>
  <c r="AS98" i="14" s="1"/>
  <c r="AS99" i="14" s="1"/>
  <c r="AS100" i="14" s="1"/>
  <c r="AS101" i="14" s="1"/>
  <c r="AS102" i="14" s="1"/>
  <c r="AS103" i="14" s="1"/>
  <c r="X162" i="14" s="1"/>
  <c r="X163" i="14" s="1"/>
  <c r="X165" i="14" s="1"/>
  <c r="X167" i="14" s="1"/>
  <c r="DA88" i="16"/>
  <c r="DI88" i="16"/>
  <c r="DI89" i="16" s="1"/>
  <c r="DI90" i="16" s="1"/>
  <c r="DI91" i="16" s="1"/>
  <c r="DI92" i="16" s="1"/>
  <c r="DI93" i="16" s="1"/>
  <c r="DI94" i="16" s="1"/>
  <c r="DI95" i="16" s="1"/>
  <c r="DI96" i="16" s="1"/>
  <c r="DI97" i="16" s="1"/>
  <c r="DI98" i="16" s="1"/>
  <c r="DI99" i="16" s="1"/>
  <c r="DI100" i="16" s="1"/>
  <c r="DI101" i="16" s="1"/>
  <c r="DI102" i="16" s="1"/>
  <c r="DI103" i="16" s="1"/>
  <c r="AA162" i="16" s="1"/>
  <c r="AA163" i="16" s="1"/>
  <c r="M88" i="15"/>
  <c r="R88" i="15" s="1"/>
  <c r="U88" i="15"/>
  <c r="U89" i="15" s="1"/>
  <c r="U90" i="15" s="1"/>
  <c r="U91" i="15" s="1"/>
  <c r="U92" i="15" s="1"/>
  <c r="U93" i="15" s="1"/>
  <c r="U94" i="15" s="1"/>
  <c r="U95" i="15" s="1"/>
  <c r="U96" i="15" s="1"/>
  <c r="U97" i="15" s="1"/>
  <c r="U98" i="15" s="1"/>
  <c r="U99" i="15" s="1"/>
  <c r="U100" i="15" s="1"/>
  <c r="U101" i="15" s="1"/>
  <c r="U102" i="15" s="1"/>
  <c r="U103" i="15" s="1"/>
  <c r="W162" i="15" s="1"/>
  <c r="W163" i="15" s="1"/>
  <c r="W165" i="15" s="1"/>
  <c r="W167" i="15" s="1"/>
  <c r="CG88" i="14"/>
  <c r="CL88" i="14" s="1"/>
  <c r="CO88" i="14"/>
  <c r="CO89" i="14" s="1"/>
  <c r="CO90" i="14" s="1"/>
  <c r="CO91" i="14" s="1"/>
  <c r="CO92" i="14" s="1"/>
  <c r="CO93" i="14" s="1"/>
  <c r="CO94" i="14" s="1"/>
  <c r="CO95" i="14" s="1"/>
  <c r="CO96" i="14" s="1"/>
  <c r="CO97" i="14" s="1"/>
  <c r="CO98" i="14" s="1"/>
  <c r="CO99" i="14" s="1"/>
  <c r="CO100" i="14" s="1"/>
  <c r="CO101" i="14" s="1"/>
  <c r="CO102" i="14" s="1"/>
  <c r="CO103" i="14" s="1"/>
  <c r="Z162" i="14" s="1"/>
  <c r="Z163" i="14" s="1"/>
  <c r="Z165" i="14" s="1"/>
  <c r="Z167" i="14" s="1"/>
  <c r="M88" i="16"/>
  <c r="R88" i="16" s="1"/>
  <c r="U88" i="16"/>
  <c r="U89" i="16" s="1"/>
  <c r="U90" i="16" s="1"/>
  <c r="U91" i="16" s="1"/>
  <c r="U92" i="16" s="1"/>
  <c r="U93" i="16" s="1"/>
  <c r="U94" i="16" s="1"/>
  <c r="U95" i="16" s="1"/>
  <c r="U96" i="16" s="1"/>
  <c r="U97" i="16" s="1"/>
  <c r="U98" i="16" s="1"/>
  <c r="U99" i="16" s="1"/>
  <c r="U100" i="16" s="1"/>
  <c r="U101" i="16" s="1"/>
  <c r="U102" i="16" s="1"/>
  <c r="U103" i="16" s="1"/>
  <c r="W162" i="16" s="1"/>
  <c r="W163" i="16" s="1"/>
  <c r="AK88" i="13"/>
  <c r="AP88" i="13" s="1"/>
  <c r="AS88" i="13"/>
  <c r="AS89" i="13" s="1"/>
  <c r="AS90" i="13" s="1"/>
  <c r="AS91" i="13" s="1"/>
  <c r="AS92" i="13" s="1"/>
  <c r="AS93" i="13" s="1"/>
  <c r="AS94" i="13" s="1"/>
  <c r="AS95" i="13" s="1"/>
  <c r="AS96" i="13" s="1"/>
  <c r="AS97" i="13" s="1"/>
  <c r="AS98" i="13" s="1"/>
  <c r="AS99" i="13" s="1"/>
  <c r="AS100" i="13" s="1"/>
  <c r="AS101" i="13" s="1"/>
  <c r="AS102" i="13" s="1"/>
  <c r="AS103" i="13" s="1"/>
  <c r="X162" i="13" s="1"/>
  <c r="X163" i="13" s="1"/>
  <c r="X165" i="13" s="1"/>
  <c r="X167" i="13" s="1"/>
  <c r="CD88" i="16"/>
  <c r="CL88" i="16"/>
  <c r="CL89" i="16" s="1"/>
  <c r="CL90" i="16" s="1"/>
  <c r="CL91" i="16" s="1"/>
  <c r="CL92" i="16" s="1"/>
  <c r="CL93" i="16" s="1"/>
  <c r="CL94" i="16" s="1"/>
  <c r="CL95" i="16" s="1"/>
  <c r="CL96" i="16" s="1"/>
  <c r="CL97" i="16" s="1"/>
  <c r="CL98" i="16" s="1"/>
  <c r="CL99" i="16" s="1"/>
  <c r="CL100" i="16" s="1"/>
  <c r="CL101" i="16" s="1"/>
  <c r="CL102" i="16" s="1"/>
  <c r="CL103" i="16" s="1"/>
  <c r="Z162" i="16" s="1"/>
  <c r="AJ88" i="16"/>
  <c r="AR88" i="16"/>
  <c r="AR89" i="16" s="1"/>
  <c r="AR90" i="16" s="1"/>
  <c r="AR91" i="16" s="1"/>
  <c r="AR92" i="16" s="1"/>
  <c r="AR93" i="16" s="1"/>
  <c r="AR94" i="16" s="1"/>
  <c r="AR95" i="16" s="1"/>
  <c r="AR96" i="16" s="1"/>
  <c r="AR97" i="16" s="1"/>
  <c r="AR98" i="16" s="1"/>
  <c r="AR99" i="16" s="1"/>
  <c r="AR100" i="16" s="1"/>
  <c r="AR101" i="16" s="1"/>
  <c r="AR102" i="16" s="1"/>
  <c r="AR103" i="16" s="1"/>
  <c r="X162" i="16" s="1"/>
  <c r="X163" i="16" s="1"/>
  <c r="DE113" i="13"/>
  <c r="DJ113" i="13" s="1"/>
  <c r="DM113" i="13"/>
  <c r="DM114" i="13" s="1"/>
  <c r="DM115" i="13" s="1"/>
  <c r="DM116" i="13" s="1"/>
  <c r="DM117" i="13" s="1"/>
  <c r="DM118" i="13" s="1"/>
  <c r="DM119" i="13" s="1"/>
  <c r="DM120" i="13" s="1"/>
  <c r="DM121" i="13" s="1"/>
  <c r="DM122" i="13" s="1"/>
  <c r="DM123" i="13" s="1"/>
  <c r="DM124" i="13" s="1"/>
  <c r="DM125" i="13" s="1"/>
  <c r="DM126" i="13" s="1"/>
  <c r="DM127" i="13" s="1"/>
  <c r="DM128" i="13" s="1"/>
  <c r="AF162" i="13" s="1"/>
  <c r="AF163" i="13" s="1"/>
  <c r="AF165" i="13" s="1"/>
  <c r="AF167" i="13" s="1"/>
  <c r="M113" i="14"/>
  <c r="R113" i="14" s="1"/>
  <c r="U113" i="14"/>
  <c r="U114" i="14" s="1"/>
  <c r="U115" i="14" s="1"/>
  <c r="U116" i="14" s="1"/>
  <c r="U117" i="14" s="1"/>
  <c r="U118" i="14" s="1"/>
  <c r="U119" i="14" s="1"/>
  <c r="U120" i="14" s="1"/>
  <c r="U121" i="14" s="1"/>
  <c r="U122" i="14" s="1"/>
  <c r="U123" i="14" s="1"/>
  <c r="U124" i="14" s="1"/>
  <c r="U125" i="14" s="1"/>
  <c r="U126" i="14" s="1"/>
  <c r="U127" i="14" s="1"/>
  <c r="U128" i="14" s="1"/>
  <c r="AB162" i="14" s="1"/>
  <c r="AB163" i="14" s="1"/>
  <c r="AB165" i="14" s="1"/>
  <c r="AB167" i="14" s="1"/>
  <c r="CG113" i="13"/>
  <c r="CL113" i="13" s="1"/>
  <c r="CO113" i="13"/>
  <c r="CO114" i="13" s="1"/>
  <c r="CO115" i="13" s="1"/>
  <c r="CO116" i="13" s="1"/>
  <c r="CO117" i="13" s="1"/>
  <c r="CO118" i="13" s="1"/>
  <c r="CO119" i="13" s="1"/>
  <c r="CO120" i="13" s="1"/>
  <c r="CO121" i="13" s="1"/>
  <c r="CO122" i="13" s="1"/>
  <c r="CO123" i="13" s="1"/>
  <c r="CO124" i="13" s="1"/>
  <c r="CO125" i="13" s="1"/>
  <c r="CO126" i="13" s="1"/>
  <c r="CO127" i="13" s="1"/>
  <c r="CO128" i="13" s="1"/>
  <c r="AE162" i="13" s="1"/>
  <c r="AE163" i="13" s="1"/>
  <c r="AE165" i="13" s="1"/>
  <c r="AE167" i="13" s="1"/>
  <c r="M88" i="13"/>
  <c r="R88" i="13" s="1"/>
  <c r="U88" i="13"/>
  <c r="U89" i="13" s="1"/>
  <c r="U90" i="13" s="1"/>
  <c r="U91" i="13" s="1"/>
  <c r="U92" i="13" s="1"/>
  <c r="U93" i="13" s="1"/>
  <c r="U94" i="13" s="1"/>
  <c r="U95" i="13" s="1"/>
  <c r="U96" i="13" s="1"/>
  <c r="U97" i="13" s="1"/>
  <c r="U98" i="13" s="1"/>
  <c r="U99" i="13" s="1"/>
  <c r="U100" i="13" s="1"/>
  <c r="U101" i="13" s="1"/>
  <c r="U102" i="13" s="1"/>
  <c r="U103" i="13" s="1"/>
  <c r="W162" i="13" s="1"/>
  <c r="W163" i="13" s="1"/>
  <c r="W165" i="13" s="1"/>
  <c r="W167" i="13" s="1"/>
  <c r="BI88" i="13"/>
  <c r="BN88" i="13" s="1"/>
  <c r="BQ88" i="13"/>
  <c r="BQ89" i="13" s="1"/>
  <c r="BQ90" i="13" s="1"/>
  <c r="BQ91" i="13" s="1"/>
  <c r="BQ92" i="13" s="1"/>
  <c r="BQ93" i="13" s="1"/>
  <c r="BQ94" i="13" s="1"/>
  <c r="BQ95" i="13" s="1"/>
  <c r="BQ96" i="13" s="1"/>
  <c r="BQ97" i="13" s="1"/>
  <c r="BQ98" i="13" s="1"/>
  <c r="BQ99" i="13" s="1"/>
  <c r="BQ100" i="13" s="1"/>
  <c r="BQ101" i="13" s="1"/>
  <c r="BQ102" i="13" s="1"/>
  <c r="BQ103" i="13" s="1"/>
  <c r="Y162" i="13" s="1"/>
  <c r="M88" i="14"/>
  <c r="R88" i="14" s="1"/>
  <c r="CG88" i="13"/>
  <c r="CL88" i="13" s="1"/>
  <c r="CO88" i="13"/>
  <c r="CO89" i="13" s="1"/>
  <c r="CO90" i="13" s="1"/>
  <c r="CO91" i="13" s="1"/>
  <c r="CO92" i="13" s="1"/>
  <c r="CO93" i="13" s="1"/>
  <c r="CO94" i="13" s="1"/>
  <c r="CO95" i="13" s="1"/>
  <c r="CO96" i="13" s="1"/>
  <c r="CO97" i="13" s="1"/>
  <c r="CO98" i="13" s="1"/>
  <c r="CO99" i="13" s="1"/>
  <c r="CO100" i="13" s="1"/>
  <c r="CO101" i="13" s="1"/>
  <c r="CO102" i="13" s="1"/>
  <c r="CO103" i="13" s="1"/>
  <c r="Z162" i="13" s="1"/>
  <c r="Z163" i="13" s="1"/>
  <c r="Z165" i="13" s="1"/>
  <c r="Z167" i="13" s="1"/>
  <c r="DE88" i="13"/>
  <c r="DJ88" i="13" s="1"/>
  <c r="DM88" i="13"/>
  <c r="DM89" i="13" s="1"/>
  <c r="DM90" i="13" s="1"/>
  <c r="DM91" i="13" s="1"/>
  <c r="DM92" i="13" s="1"/>
  <c r="DM93" i="13" s="1"/>
  <c r="DM94" i="13" s="1"/>
  <c r="DM95" i="13" s="1"/>
  <c r="DM96" i="13" s="1"/>
  <c r="DM97" i="13" s="1"/>
  <c r="DM98" i="13" s="1"/>
  <c r="DM99" i="13" s="1"/>
  <c r="DM100" i="13" s="1"/>
  <c r="DM101" i="13" s="1"/>
  <c r="DM102" i="13" s="1"/>
  <c r="DM103" i="13" s="1"/>
  <c r="AA162" i="13" s="1"/>
  <c r="AA163" i="13" s="1"/>
  <c r="AA165" i="13" s="1"/>
  <c r="AA167" i="13" s="1"/>
  <c r="BI88" i="15"/>
  <c r="BN88" i="15" s="1"/>
  <c r="BQ88" i="15"/>
  <c r="BQ89" i="15" s="1"/>
  <c r="BQ90" i="15" s="1"/>
  <c r="BQ91" i="15" s="1"/>
  <c r="BQ92" i="15" s="1"/>
  <c r="BQ93" i="15" s="1"/>
  <c r="BQ94" i="15" s="1"/>
  <c r="BQ95" i="15" s="1"/>
  <c r="BQ96" i="15" s="1"/>
  <c r="BQ97" i="15" s="1"/>
  <c r="BQ98" i="15" s="1"/>
  <c r="BQ99" i="15" s="1"/>
  <c r="BQ100" i="15" s="1"/>
  <c r="BQ101" i="15" s="1"/>
  <c r="BQ102" i="15" s="1"/>
  <c r="BQ103" i="15" s="1"/>
  <c r="Y162" i="15" s="1"/>
  <c r="Y163" i="15" s="1"/>
  <c r="Y165" i="15" s="1"/>
  <c r="Y167" i="15" s="1"/>
  <c r="M113" i="13"/>
  <c r="R113" i="13" s="1"/>
  <c r="U113" i="13"/>
  <c r="U114" i="13" s="1"/>
  <c r="U115" i="13" s="1"/>
  <c r="U116" i="13" s="1"/>
  <c r="U117" i="13" s="1"/>
  <c r="U118" i="13" s="1"/>
  <c r="U119" i="13" s="1"/>
  <c r="U120" i="13" s="1"/>
  <c r="U121" i="13" s="1"/>
  <c r="U122" i="13" s="1"/>
  <c r="U123" i="13" s="1"/>
  <c r="U124" i="13" s="1"/>
  <c r="U125" i="13" s="1"/>
  <c r="U126" i="13" s="1"/>
  <c r="U127" i="13" s="1"/>
  <c r="U128" i="13" s="1"/>
  <c r="AB162" i="13" s="1"/>
  <c r="AB163" i="13" s="1"/>
  <c r="AB165" i="13" s="1"/>
  <c r="AB167" i="13" s="1"/>
  <c r="AK113" i="14"/>
  <c r="AP113" i="14" s="1"/>
  <c r="AS113" i="14"/>
  <c r="AS114" i="14" s="1"/>
  <c r="AS115" i="14" s="1"/>
  <c r="AS116" i="14" s="1"/>
  <c r="AS117" i="14" s="1"/>
  <c r="AS118" i="14" s="1"/>
  <c r="AS119" i="14" s="1"/>
  <c r="AS120" i="14" s="1"/>
  <c r="AS121" i="14" s="1"/>
  <c r="AS122" i="14" s="1"/>
  <c r="AS123" i="14" s="1"/>
  <c r="AS124" i="14" s="1"/>
  <c r="AS125" i="14" s="1"/>
  <c r="AS126" i="14" s="1"/>
  <c r="AS127" i="14" s="1"/>
  <c r="AS128" i="14" s="1"/>
  <c r="AC162" i="14" s="1"/>
  <c r="AC163" i="14" s="1"/>
  <c r="AC165" i="14" s="1"/>
  <c r="AC167" i="14" s="1"/>
  <c r="DE113" i="14"/>
  <c r="DJ113" i="14" s="1"/>
  <c r="DM113" i="14"/>
  <c r="DM114" i="14" s="1"/>
  <c r="DM115" i="14" s="1"/>
  <c r="DM116" i="14" s="1"/>
  <c r="DM117" i="14" s="1"/>
  <c r="DM118" i="14" s="1"/>
  <c r="DM119" i="14" s="1"/>
  <c r="DM120" i="14" s="1"/>
  <c r="DM121" i="14" s="1"/>
  <c r="DM122" i="14" s="1"/>
  <c r="DM123" i="14" s="1"/>
  <c r="DM124" i="14" s="1"/>
  <c r="DM125" i="14" s="1"/>
  <c r="DM126" i="14" s="1"/>
  <c r="DM127" i="14" s="1"/>
  <c r="DM128" i="14" s="1"/>
  <c r="AF162" i="14" s="1"/>
  <c r="AF163" i="14" s="1"/>
  <c r="AF165" i="14" s="1"/>
  <c r="AF167" i="14" s="1"/>
  <c r="BI113" i="14"/>
  <c r="BN113" i="14" s="1"/>
  <c r="BQ113" i="14"/>
  <c r="BQ114" i="14" s="1"/>
  <c r="BQ115" i="14" s="1"/>
  <c r="BQ116" i="14" s="1"/>
  <c r="BQ117" i="14" s="1"/>
  <c r="BQ118" i="14" s="1"/>
  <c r="BQ119" i="14" s="1"/>
  <c r="BQ120" i="14" s="1"/>
  <c r="BQ121" i="14" s="1"/>
  <c r="BQ122" i="14" s="1"/>
  <c r="BQ123" i="14" s="1"/>
  <c r="BQ124" i="14" s="1"/>
  <c r="BQ125" i="14" s="1"/>
  <c r="BQ126" i="14" s="1"/>
  <c r="BQ127" i="14" s="1"/>
  <c r="BI88" i="14"/>
  <c r="BN88" i="14" s="1"/>
  <c r="BQ88" i="14"/>
  <c r="BQ89" i="14" s="1"/>
  <c r="BQ90" i="14" s="1"/>
  <c r="BQ91" i="14" s="1"/>
  <c r="BQ92" i="14" s="1"/>
  <c r="BQ93" i="14" s="1"/>
  <c r="BQ94" i="14" s="1"/>
  <c r="BQ95" i="14" s="1"/>
  <c r="BQ96" i="14" s="1"/>
  <c r="BQ97" i="14" s="1"/>
  <c r="BQ98" i="14" s="1"/>
  <c r="BQ99" i="14" s="1"/>
  <c r="BQ100" i="14" s="1"/>
  <c r="BQ101" i="14" s="1"/>
  <c r="BQ102" i="14" s="1"/>
  <c r="BQ103" i="14" s="1"/>
  <c r="Y162" i="14" s="1"/>
  <c r="Y163" i="14" s="1"/>
  <c r="Y165" i="14" s="1"/>
  <c r="Y167" i="14" s="1"/>
  <c r="DX63" i="15"/>
  <c r="DX64" i="15" s="1"/>
  <c r="DX65" i="15" s="1"/>
  <c r="DX66" i="15" s="1"/>
  <c r="DX67" i="15" s="1"/>
  <c r="DX68" i="15" s="1"/>
  <c r="DX69" i="15" s="1"/>
  <c r="DX70" i="15" s="1"/>
  <c r="DX71" i="15" s="1"/>
  <c r="DX72" i="15" s="1"/>
  <c r="DX73" i="15" s="1"/>
  <c r="DX74" i="15" s="1"/>
  <c r="DX75" i="15" s="1"/>
  <c r="DX76" i="15" s="1"/>
  <c r="DX77" i="15" s="1"/>
  <c r="DX78" i="15" s="1"/>
  <c r="AX63" i="15"/>
  <c r="AX64" i="15" s="1"/>
  <c r="AX65" i="15" s="1"/>
  <c r="AX66" i="15" s="1"/>
  <c r="AX67" i="15" s="1"/>
  <c r="AX68" i="15" s="1"/>
  <c r="AX69" i="15" s="1"/>
  <c r="AX70" i="15" s="1"/>
  <c r="AX71" i="15" s="1"/>
  <c r="AX72" i="15" s="1"/>
  <c r="AX73" i="15" s="1"/>
  <c r="AX74" i="15" s="1"/>
  <c r="AX75" i="15" s="1"/>
  <c r="AX76" i="15" s="1"/>
  <c r="AX77" i="15" s="1"/>
  <c r="AX78" i="15" s="1"/>
  <c r="BG113" i="15"/>
  <c r="DC113" i="15"/>
  <c r="CE113" i="15"/>
  <c r="AI113" i="15"/>
  <c r="AN113" i="15" s="1"/>
  <c r="AW73" i="15"/>
  <c r="AW74" i="15" s="1"/>
  <c r="AW75" i="15" s="1"/>
  <c r="AW76" i="15" s="1"/>
  <c r="AW77" i="15" s="1"/>
  <c r="AW78" i="15" s="1"/>
  <c r="S162" i="15" s="1"/>
  <c r="S163" i="15" s="1"/>
  <c r="S165" i="15" s="1"/>
  <c r="S167" i="15" s="1"/>
  <c r="CX71" i="15"/>
  <c r="CX72" i="15" s="1"/>
  <c r="CX73" i="15" s="1"/>
  <c r="CX74" i="15" s="1"/>
  <c r="CX75" i="15" s="1"/>
  <c r="CX76" i="15" s="1"/>
  <c r="CX77" i="15" s="1"/>
  <c r="CX78" i="15" s="1"/>
  <c r="S20" i="8"/>
  <c r="X69" i="2"/>
  <c r="T24" i="8" s="1"/>
  <c r="CD113" i="16"/>
  <c r="CI113" i="16" s="1"/>
  <c r="DA113" i="16"/>
  <c r="DF113" i="16" s="1"/>
  <c r="AJ113" i="16"/>
  <c r="AO113" i="16" s="1"/>
  <c r="AR113" i="16"/>
  <c r="AR114" i="16" s="1"/>
  <c r="AR115" i="16" s="1"/>
  <c r="AR116" i="16" s="1"/>
  <c r="AR117" i="16" s="1"/>
  <c r="AR118" i="16" s="1"/>
  <c r="AR119" i="16" s="1"/>
  <c r="AR120" i="16" s="1"/>
  <c r="AR121" i="16" s="1"/>
  <c r="AR122" i="16" s="1"/>
  <c r="AR123" i="16" s="1"/>
  <c r="AR124" i="16" s="1"/>
  <c r="AR125" i="16" s="1"/>
  <c r="AR126" i="16" s="1"/>
  <c r="AR127" i="16" s="1"/>
  <c r="AR128" i="16" s="1"/>
  <c r="AC162" i="16" s="1"/>
  <c r="AC163" i="16" s="1"/>
  <c r="DV63" i="15"/>
  <c r="DY63" i="15"/>
  <c r="DY63" i="16"/>
  <c r="DV63" i="16"/>
  <c r="CV63" i="14"/>
  <c r="CY63" i="14"/>
  <c r="V63" i="15"/>
  <c r="Y63" i="15"/>
  <c r="DV63" i="14"/>
  <c r="DY63" i="14"/>
  <c r="AF65" i="10"/>
  <c r="H65" i="10"/>
  <c r="AV63" i="16"/>
  <c r="AY63" i="16"/>
  <c r="CO113" i="14"/>
  <c r="CO114" i="14" s="1"/>
  <c r="CO115" i="14" s="1"/>
  <c r="CO116" i="14" s="1"/>
  <c r="CO117" i="14" s="1"/>
  <c r="CO118" i="14" s="1"/>
  <c r="CO119" i="14" s="1"/>
  <c r="CO120" i="14" s="1"/>
  <c r="CO121" i="14" s="1"/>
  <c r="CO122" i="14" s="1"/>
  <c r="CO123" i="14" s="1"/>
  <c r="CO124" i="14" s="1"/>
  <c r="CO125" i="14" s="1"/>
  <c r="CO126" i="14" s="1"/>
  <c r="CO127" i="14" s="1"/>
  <c r="CO128" i="14" s="1"/>
  <c r="AE162" i="14" s="1"/>
  <c r="AE163" i="14" s="1"/>
  <c r="AE165" i="14" s="1"/>
  <c r="AE167" i="14" s="1"/>
  <c r="CF113" i="14"/>
  <c r="CK113" i="14" s="1"/>
  <c r="U113" i="15"/>
  <c r="U114" i="15" s="1"/>
  <c r="U115" i="15" s="1"/>
  <c r="U116" i="15" s="1"/>
  <c r="U117" i="15" s="1"/>
  <c r="U118" i="15" s="1"/>
  <c r="U119" i="15" s="1"/>
  <c r="U120" i="15" s="1"/>
  <c r="U121" i="15" s="1"/>
  <c r="U122" i="15" s="1"/>
  <c r="U123" i="15" s="1"/>
  <c r="U124" i="15" s="1"/>
  <c r="U125" i="15" s="1"/>
  <c r="U126" i="15" s="1"/>
  <c r="U127" i="15" s="1"/>
  <c r="U128" i="15" s="1"/>
  <c r="AB162" i="15" s="1"/>
  <c r="AB163" i="15" s="1"/>
  <c r="AB165" i="15" s="1"/>
  <c r="AB167" i="15" s="1"/>
  <c r="L113" i="15"/>
  <c r="Q113" i="15" s="1"/>
  <c r="AS113" i="13"/>
  <c r="AS114" i="13" s="1"/>
  <c r="AS115" i="13" s="1"/>
  <c r="AS116" i="13" s="1"/>
  <c r="AS117" i="13" s="1"/>
  <c r="AS118" i="13" s="1"/>
  <c r="AS119" i="13" s="1"/>
  <c r="AS120" i="13" s="1"/>
  <c r="AS121" i="13" s="1"/>
  <c r="AS122" i="13" s="1"/>
  <c r="AS123" i="13" s="1"/>
  <c r="AS124" i="13" s="1"/>
  <c r="AS125" i="13" s="1"/>
  <c r="AS126" i="13" s="1"/>
  <c r="AS127" i="13" s="1"/>
  <c r="AS128" i="13" s="1"/>
  <c r="AC162" i="13" s="1"/>
  <c r="AC163" i="13" s="1"/>
  <c r="AC165" i="13" s="1"/>
  <c r="AC167" i="13" s="1"/>
  <c r="AJ113" i="13"/>
  <c r="AO113" i="13" s="1"/>
  <c r="BO113" i="16"/>
  <c r="BO114" i="16" s="1"/>
  <c r="BO115" i="16" s="1"/>
  <c r="BO116" i="16" s="1"/>
  <c r="BO117" i="16" s="1"/>
  <c r="BO118" i="16" s="1"/>
  <c r="BO119" i="16" s="1"/>
  <c r="BO120" i="16" s="1"/>
  <c r="BO121" i="16" s="1"/>
  <c r="BO122" i="16" s="1"/>
  <c r="BO123" i="16" s="1"/>
  <c r="BO124" i="16" s="1"/>
  <c r="BO125" i="16" s="1"/>
  <c r="BO126" i="16" s="1"/>
  <c r="BO127" i="16" s="1"/>
  <c r="BO128" i="16" s="1"/>
  <c r="AD162" i="16" s="1"/>
  <c r="AD163" i="16" s="1"/>
  <c r="BF113" i="16"/>
  <c r="BK113" i="16" s="1"/>
  <c r="U113" i="16"/>
  <c r="U114" i="16" s="1"/>
  <c r="U115" i="16" s="1"/>
  <c r="U116" i="16" s="1"/>
  <c r="U117" i="16" s="1"/>
  <c r="U118" i="16" s="1"/>
  <c r="U119" i="16" s="1"/>
  <c r="U120" i="16" s="1"/>
  <c r="U121" i="16" s="1"/>
  <c r="U122" i="16" s="1"/>
  <c r="U123" i="16" s="1"/>
  <c r="U124" i="16" s="1"/>
  <c r="U125" i="16" s="1"/>
  <c r="U126" i="16" s="1"/>
  <c r="U127" i="16" s="1"/>
  <c r="U128" i="16" s="1"/>
  <c r="AB162" i="16" s="1"/>
  <c r="AB163" i="16" s="1"/>
  <c r="L113" i="16"/>
  <c r="Q113" i="16" s="1"/>
  <c r="AI88" i="15"/>
  <c r="AN88" i="15" s="1"/>
  <c r="BO88" i="16"/>
  <c r="BO89" i="16" s="1"/>
  <c r="BO90" i="16" s="1"/>
  <c r="BO91" i="16" s="1"/>
  <c r="BO92" i="16" s="1"/>
  <c r="BO93" i="16" s="1"/>
  <c r="BO94" i="16" s="1"/>
  <c r="BO95" i="16" s="1"/>
  <c r="BO96" i="16" s="1"/>
  <c r="BO97" i="16" s="1"/>
  <c r="BO98" i="16" s="1"/>
  <c r="BO99" i="16" s="1"/>
  <c r="BO100" i="16" s="1"/>
  <c r="BO101" i="16" s="1"/>
  <c r="BO102" i="16" s="1"/>
  <c r="BO103" i="16" s="1"/>
  <c r="Y162" i="16" s="1"/>
  <c r="Y163" i="16" s="1"/>
  <c r="BF88" i="16"/>
  <c r="BK88" i="16" s="1"/>
  <c r="DM88" i="15"/>
  <c r="DM89" i="15" s="1"/>
  <c r="DM90" i="15" s="1"/>
  <c r="DM91" i="15" s="1"/>
  <c r="DM92" i="15" s="1"/>
  <c r="DM93" i="15" s="1"/>
  <c r="DM94" i="15" s="1"/>
  <c r="DM95" i="15" s="1"/>
  <c r="DM96" i="15" s="1"/>
  <c r="DM97" i="15" s="1"/>
  <c r="DM98" i="15" s="1"/>
  <c r="DM99" i="15" s="1"/>
  <c r="DM100" i="15" s="1"/>
  <c r="DM101" i="15" s="1"/>
  <c r="DM102" i="15" s="1"/>
  <c r="DM103" i="15" s="1"/>
  <c r="AA162" i="15" s="1"/>
  <c r="AA163" i="15" s="1"/>
  <c r="AA165" i="15" s="1"/>
  <c r="AA167" i="15" s="1"/>
  <c r="DD88" i="15"/>
  <c r="DI88" i="15" s="1"/>
  <c r="DM88" i="14"/>
  <c r="DM89" i="14" s="1"/>
  <c r="DM90" i="14" s="1"/>
  <c r="DM91" i="14" s="1"/>
  <c r="DM92" i="14" s="1"/>
  <c r="DM93" i="14" s="1"/>
  <c r="DM94" i="14" s="1"/>
  <c r="DM95" i="14" s="1"/>
  <c r="DM96" i="14" s="1"/>
  <c r="DM97" i="14" s="1"/>
  <c r="DM98" i="14" s="1"/>
  <c r="DM99" i="14" s="1"/>
  <c r="DM100" i="14" s="1"/>
  <c r="DM101" i="14" s="1"/>
  <c r="DM102" i="14" s="1"/>
  <c r="DM103" i="14" s="1"/>
  <c r="AA162" i="14" s="1"/>
  <c r="AA163" i="14" s="1"/>
  <c r="AA165" i="14" s="1"/>
  <c r="AA167" i="14" s="1"/>
  <c r="DD88" i="14"/>
  <c r="DI88" i="14" s="1"/>
  <c r="BH88" i="14"/>
  <c r="BM88" i="14" s="1"/>
  <c r="AV63" i="15"/>
  <c r="AY63" i="15"/>
  <c r="CY63" i="16"/>
  <c r="CV63" i="16"/>
  <c r="V63" i="14"/>
  <c r="Y63" i="14"/>
  <c r="DE88" i="14"/>
  <c r="DJ88" i="14" s="1"/>
  <c r="DD113" i="13"/>
  <c r="DI113" i="13" s="1"/>
  <c r="CL113" i="16"/>
  <c r="CL114" i="16" s="1"/>
  <c r="CL115" i="16" s="1"/>
  <c r="CL116" i="16" s="1"/>
  <c r="CL117" i="16" s="1"/>
  <c r="CL118" i="16" s="1"/>
  <c r="CL119" i="16" s="1"/>
  <c r="CL120" i="16" s="1"/>
  <c r="CL121" i="16" s="1"/>
  <c r="CL122" i="16" s="1"/>
  <c r="CL123" i="16" s="1"/>
  <c r="CL124" i="16" s="1"/>
  <c r="CL125" i="16" s="1"/>
  <c r="CL126" i="16" s="1"/>
  <c r="CL127" i="16" s="1"/>
  <c r="CL128" i="16" s="1"/>
  <c r="AE162" i="16" s="1"/>
  <c r="AE163" i="16" s="1"/>
  <c r="CC113" i="16"/>
  <c r="CH113" i="16" s="1"/>
  <c r="L113" i="14"/>
  <c r="Q113" i="14" s="1"/>
  <c r="CF113" i="13"/>
  <c r="CK113" i="13" s="1"/>
  <c r="DI113" i="16"/>
  <c r="DI114" i="16" s="1"/>
  <c r="DI115" i="16" s="1"/>
  <c r="DI116" i="16" s="1"/>
  <c r="DI117" i="16" s="1"/>
  <c r="DI118" i="16" s="1"/>
  <c r="DI119" i="16" s="1"/>
  <c r="DI120" i="16" s="1"/>
  <c r="DI121" i="16" s="1"/>
  <c r="DI122" i="16" s="1"/>
  <c r="DI123" i="16" s="1"/>
  <c r="DI124" i="16" s="1"/>
  <c r="DI125" i="16" s="1"/>
  <c r="DI126" i="16" s="1"/>
  <c r="DI127" i="16" s="1"/>
  <c r="DI128" i="16" s="1"/>
  <c r="AF162" i="16" s="1"/>
  <c r="AF163" i="16" s="1"/>
  <c r="CZ113" i="16"/>
  <c r="DE113" i="16" s="1"/>
  <c r="AK113" i="13"/>
  <c r="AP113" i="13" s="1"/>
  <c r="M113" i="16"/>
  <c r="R113" i="16" s="1"/>
  <c r="CG113" i="14"/>
  <c r="CL113" i="14" s="1"/>
  <c r="DD88" i="13"/>
  <c r="DI88" i="13" s="1"/>
  <c r="AJ88" i="14"/>
  <c r="AO88" i="14" s="1"/>
  <c r="CZ88" i="16"/>
  <c r="DE88" i="16" s="1"/>
  <c r="BH88" i="15"/>
  <c r="BM88" i="15" s="1"/>
  <c r="L88" i="15"/>
  <c r="Q88" i="15" s="1"/>
  <c r="F32" i="22"/>
  <c r="I65" i="10"/>
  <c r="W65" i="10" s="1"/>
  <c r="AB65" i="10" s="1"/>
  <c r="V63" i="16"/>
  <c r="Y63" i="16"/>
  <c r="BV63" i="15"/>
  <c r="BY63" i="15"/>
  <c r="BV63" i="14"/>
  <c r="BY63" i="14"/>
  <c r="BG113" i="16"/>
  <c r="BL113" i="16" s="1"/>
  <c r="L113" i="13"/>
  <c r="Q113" i="13" s="1"/>
  <c r="AJ113" i="14"/>
  <c r="AO113" i="14" s="1"/>
  <c r="DD113" i="14"/>
  <c r="DI113" i="14" s="1"/>
  <c r="BH113" i="14"/>
  <c r="BM113" i="14" s="1"/>
  <c r="DE88" i="15"/>
  <c r="DJ88" i="15" s="1"/>
  <c r="CF88" i="14"/>
  <c r="CK88" i="14" s="1"/>
  <c r="L88" i="16"/>
  <c r="Q88" i="16" s="1"/>
  <c r="AJ88" i="13"/>
  <c r="AO88" i="13" s="1"/>
  <c r="CC88" i="16"/>
  <c r="CH88" i="16" s="1"/>
  <c r="AI88" i="16"/>
  <c r="AN88" i="16" s="1"/>
  <c r="G32" i="22"/>
  <c r="CE88" i="15"/>
  <c r="CJ88" i="15" s="1"/>
  <c r="CV63" i="15"/>
  <c r="CY63" i="15"/>
  <c r="BV63" i="16"/>
  <c r="BY63" i="16"/>
  <c r="AV63" i="14"/>
  <c r="AY63" i="14"/>
  <c r="BG88" i="16"/>
  <c r="BL88" i="16" s="1"/>
  <c r="AI113" i="16"/>
  <c r="AN113" i="16" s="1"/>
  <c r="BH113" i="13"/>
  <c r="BM113" i="13" s="1"/>
  <c r="M113" i="15"/>
  <c r="R113" i="15" s="1"/>
  <c r="L88" i="13"/>
  <c r="Q88" i="13" s="1"/>
  <c r="BH88" i="13"/>
  <c r="BM88" i="13" s="1"/>
  <c r="U88" i="14"/>
  <c r="U89" i="14" s="1"/>
  <c r="U90" i="14" s="1"/>
  <c r="U91" i="14" s="1"/>
  <c r="U92" i="14" s="1"/>
  <c r="U93" i="14" s="1"/>
  <c r="U94" i="14" s="1"/>
  <c r="U95" i="14" s="1"/>
  <c r="U96" i="14" s="1"/>
  <c r="U97" i="14" s="1"/>
  <c r="U98" i="14" s="1"/>
  <c r="U99" i="14" s="1"/>
  <c r="U100" i="14" s="1"/>
  <c r="U101" i="14" s="1"/>
  <c r="U102" i="14" s="1"/>
  <c r="U103" i="14" s="1"/>
  <c r="W162" i="14" s="1"/>
  <c r="W163" i="14" s="1"/>
  <c r="W165" i="14" s="1"/>
  <c r="W167" i="14" s="1"/>
  <c r="L88" i="14"/>
  <c r="Q88" i="14" s="1"/>
  <c r="CF88" i="13"/>
  <c r="CK88" i="13" s="1"/>
  <c r="Y17" i="2"/>
  <c r="U16" i="8" s="1"/>
  <c r="DV63" i="13"/>
  <c r="DY63" i="13"/>
  <c r="AV63" i="13"/>
  <c r="AY63" i="13"/>
  <c r="V63" i="13"/>
  <c r="Y63" i="13"/>
  <c r="CV63" i="13"/>
  <c r="CY63" i="13"/>
  <c r="BV63" i="13"/>
  <c r="BY63" i="13"/>
  <c r="AI39" i="10"/>
  <c r="K61" i="22"/>
  <c r="BP39" i="13"/>
  <c r="BP40" i="13" s="1"/>
  <c r="BP41" i="13" s="1"/>
  <c r="BP42" i="13" s="1"/>
  <c r="BP43" i="13" s="1"/>
  <c r="BP44" i="13" s="1"/>
  <c r="BP45" i="13" s="1"/>
  <c r="BP46" i="13" s="1"/>
  <c r="BP47" i="13" s="1"/>
  <c r="BP48" i="13" s="1"/>
  <c r="BP49" i="13" s="1"/>
  <c r="BP50" i="13" s="1"/>
  <c r="BP51" i="13" s="1"/>
  <c r="BP52" i="13" s="1"/>
  <c r="BP53" i="13" s="1"/>
  <c r="O161" i="13" s="1"/>
  <c r="DH39" i="16"/>
  <c r="DH40" i="16" s="1"/>
  <c r="DH41" i="16" s="1"/>
  <c r="DH42" i="16" s="1"/>
  <c r="DH43" i="16" s="1"/>
  <c r="DH44" i="16" s="1"/>
  <c r="DH45" i="16" s="1"/>
  <c r="DH46" i="16" s="1"/>
  <c r="DH47" i="16" s="1"/>
  <c r="DH48" i="16" s="1"/>
  <c r="DH49" i="16" s="1"/>
  <c r="DH50" i="16" s="1"/>
  <c r="DH51" i="16" s="1"/>
  <c r="DH52" i="16" s="1"/>
  <c r="DH53" i="16" s="1"/>
  <c r="Q161" i="16" s="1"/>
  <c r="BP39" i="14"/>
  <c r="BP40" i="14" s="1"/>
  <c r="BP41" i="14" s="1"/>
  <c r="BP42" i="14" s="1"/>
  <c r="BP43" i="14" s="1"/>
  <c r="BP44" i="14" s="1"/>
  <c r="BP45" i="14" s="1"/>
  <c r="BP46" i="14" s="1"/>
  <c r="BP47" i="14" s="1"/>
  <c r="BP48" i="14" s="1"/>
  <c r="BP49" i="14" s="1"/>
  <c r="BP50" i="14" s="1"/>
  <c r="BP51" i="14" s="1"/>
  <c r="BP52" i="14" s="1"/>
  <c r="BP53" i="14" s="1"/>
  <c r="O161" i="14" s="1"/>
  <c r="DL39" i="13"/>
  <c r="DL40" i="13" s="1"/>
  <c r="DL41" i="13" s="1"/>
  <c r="DL42" i="13" s="1"/>
  <c r="DL43" i="13" s="1"/>
  <c r="DL44" i="13" s="1"/>
  <c r="DL45" i="13" s="1"/>
  <c r="DL46" i="13" s="1"/>
  <c r="DL47" i="13" s="1"/>
  <c r="DL48" i="13" s="1"/>
  <c r="DL49" i="13" s="1"/>
  <c r="DL50" i="13" s="1"/>
  <c r="DL51" i="13" s="1"/>
  <c r="DL52" i="13" s="1"/>
  <c r="DL53" i="13" s="1"/>
  <c r="Q161" i="13" s="1"/>
  <c r="CK39" i="16"/>
  <c r="CK40" i="16" s="1"/>
  <c r="CK41" i="16" s="1"/>
  <c r="CK42" i="16" s="1"/>
  <c r="CK43" i="16" s="1"/>
  <c r="CK44" i="16" s="1"/>
  <c r="CK45" i="16" s="1"/>
  <c r="CK46" i="16" s="1"/>
  <c r="CK47" i="16" s="1"/>
  <c r="CK48" i="16" s="1"/>
  <c r="CK49" i="16" s="1"/>
  <c r="CK50" i="16" s="1"/>
  <c r="CK51" i="16" s="1"/>
  <c r="CK52" i="16" s="1"/>
  <c r="CK53" i="16" s="1"/>
  <c r="P161" i="16" s="1"/>
  <c r="DL39" i="14"/>
  <c r="DL40" i="14" s="1"/>
  <c r="DL41" i="14" s="1"/>
  <c r="DL42" i="14" s="1"/>
  <c r="DL43" i="14" s="1"/>
  <c r="DL44" i="14" s="1"/>
  <c r="DL45" i="14" s="1"/>
  <c r="DL46" i="14" s="1"/>
  <c r="DL47" i="14" s="1"/>
  <c r="DL48" i="14" s="1"/>
  <c r="DL49" i="14" s="1"/>
  <c r="DL50" i="14" s="1"/>
  <c r="DL51" i="14" s="1"/>
  <c r="DL52" i="14" s="1"/>
  <c r="DL53" i="14" s="1"/>
  <c r="Q161" i="14" s="1"/>
  <c r="BP39" i="15"/>
  <c r="BP40" i="15" s="1"/>
  <c r="BP41" i="15" s="1"/>
  <c r="BP42" i="15" s="1"/>
  <c r="BP43" i="15" s="1"/>
  <c r="BP44" i="15" s="1"/>
  <c r="BP45" i="15" s="1"/>
  <c r="BP46" i="15" s="1"/>
  <c r="BP47" i="15" s="1"/>
  <c r="BP48" i="15" s="1"/>
  <c r="BP49" i="15" s="1"/>
  <c r="BP50" i="15" s="1"/>
  <c r="BP51" i="15" s="1"/>
  <c r="BP52" i="15" s="1"/>
  <c r="BP53" i="15" s="1"/>
  <c r="O161" i="15" s="1"/>
  <c r="AR39" i="13"/>
  <c r="AR40" i="13" s="1"/>
  <c r="AR41" i="13" s="1"/>
  <c r="AR42" i="13" s="1"/>
  <c r="AR43" i="13" s="1"/>
  <c r="AR44" i="13" s="1"/>
  <c r="AR45" i="13" s="1"/>
  <c r="AR46" i="13" s="1"/>
  <c r="AR47" i="13" s="1"/>
  <c r="AR48" i="13" s="1"/>
  <c r="AR49" i="13" s="1"/>
  <c r="AR50" i="13" s="1"/>
  <c r="AR51" i="13" s="1"/>
  <c r="AR52" i="13" s="1"/>
  <c r="AR53" i="13" s="1"/>
  <c r="N161" i="13" s="1"/>
  <c r="AF17" i="2"/>
  <c r="W16" i="8" s="1"/>
  <c r="CB12" i="15"/>
  <c r="CE12" i="15" s="1"/>
  <c r="CJ12" i="15" s="1"/>
  <c r="CZ12" i="15"/>
  <c r="DC12" i="15" s="1"/>
  <c r="DH12" i="15" s="1"/>
  <c r="BD12" i="14"/>
  <c r="BG12" i="14" s="1"/>
  <c r="BL12" i="14" s="1"/>
  <c r="H12" i="14"/>
  <c r="K12" i="14" s="1"/>
  <c r="P12" i="14" s="1"/>
  <c r="CB12" i="13"/>
  <c r="CE12" i="13" s="1"/>
  <c r="CJ12" i="13" s="1"/>
  <c r="CZ12" i="14"/>
  <c r="DC12" i="14" s="1"/>
  <c r="DH12" i="14" s="1"/>
  <c r="CB12" i="14"/>
  <c r="CE12" i="14" s="1"/>
  <c r="CJ12" i="14" s="1"/>
  <c r="CZ12" i="13"/>
  <c r="DC12" i="13" s="1"/>
  <c r="DH12" i="13" s="1"/>
  <c r="AF12" i="15"/>
  <c r="AI12" i="15" s="1"/>
  <c r="AN12" i="15" s="1"/>
  <c r="BD12" i="13"/>
  <c r="BG12" i="13" s="1"/>
  <c r="BL12" i="13" s="1"/>
  <c r="CV12" i="16"/>
  <c r="CY12" i="16" s="1"/>
  <c r="DD12" i="16" s="1"/>
  <c r="BB12" i="16"/>
  <c r="BE12" i="16" s="1"/>
  <c r="BJ12" i="16" s="1"/>
  <c r="H12" i="16"/>
  <c r="K12" i="16" s="1"/>
  <c r="AF12" i="14"/>
  <c r="AI12" i="14" s="1"/>
  <c r="AN12" i="14" s="1"/>
  <c r="AE12" i="16"/>
  <c r="AH12" i="16" s="1"/>
  <c r="AM12" i="16" s="1"/>
  <c r="BY12" i="16"/>
  <c r="CB12" i="16" s="1"/>
  <c r="CG12" i="16" s="1"/>
  <c r="BD12" i="15"/>
  <c r="BG12" i="15" s="1"/>
  <c r="BL12" i="15" s="1"/>
  <c r="H12" i="15"/>
  <c r="K12" i="15" s="1"/>
  <c r="P12" i="15" s="1"/>
  <c r="AF12" i="13"/>
  <c r="AI12" i="13" s="1"/>
  <c r="AN12" i="13" s="1"/>
  <c r="H12" i="13"/>
  <c r="K12" i="13" s="1"/>
  <c r="P12" i="13" s="1"/>
  <c r="CN39" i="15"/>
  <c r="CN40" i="15" s="1"/>
  <c r="CN41" i="15" s="1"/>
  <c r="CN42" i="15" s="1"/>
  <c r="CN43" i="15" s="1"/>
  <c r="CN44" i="15" s="1"/>
  <c r="CN45" i="15" s="1"/>
  <c r="CN46" i="15" s="1"/>
  <c r="CN47" i="15" s="1"/>
  <c r="CN48" i="15" s="1"/>
  <c r="CN49" i="15" s="1"/>
  <c r="CN50" i="15" s="1"/>
  <c r="CN51" i="15" s="1"/>
  <c r="CN52" i="15" s="1"/>
  <c r="CN53" i="15" s="1"/>
  <c r="P161" i="15" s="1"/>
  <c r="CN39" i="13"/>
  <c r="CN40" i="13" s="1"/>
  <c r="CN41" i="13" s="1"/>
  <c r="CN42" i="13" s="1"/>
  <c r="CN43" i="13" s="1"/>
  <c r="CN44" i="13" s="1"/>
  <c r="CN45" i="13" s="1"/>
  <c r="CN46" i="13" s="1"/>
  <c r="CN47" i="13" s="1"/>
  <c r="CN48" i="13" s="1"/>
  <c r="CN49" i="13" s="1"/>
  <c r="CN50" i="13" s="1"/>
  <c r="CN51" i="13" s="1"/>
  <c r="CN52" i="13" s="1"/>
  <c r="CN53" i="13" s="1"/>
  <c r="P161" i="13" s="1"/>
  <c r="T39" i="16"/>
  <c r="T40" i="16" s="1"/>
  <c r="T41" i="16" s="1"/>
  <c r="T42" i="16" s="1"/>
  <c r="T43" i="16" s="1"/>
  <c r="T44" i="16" s="1"/>
  <c r="T45" i="16" s="1"/>
  <c r="T46" i="16" s="1"/>
  <c r="T47" i="16" s="1"/>
  <c r="T48" i="16" s="1"/>
  <c r="T49" i="16" s="1"/>
  <c r="T50" i="16" s="1"/>
  <c r="T51" i="16" s="1"/>
  <c r="T52" i="16" s="1"/>
  <c r="T53" i="16" s="1"/>
  <c r="M161" i="16" s="1"/>
  <c r="T39" i="15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M161" i="15" s="1"/>
  <c r="AF92" i="10"/>
  <c r="AF93" i="10" s="1"/>
  <c r="AF94" i="10" s="1"/>
  <c r="AF95" i="10" s="1"/>
  <c r="AF96" i="10" s="1"/>
  <c r="AF97" i="10" s="1"/>
  <c r="AF98" i="10" s="1"/>
  <c r="AF99" i="10" s="1"/>
  <c r="AF100" i="10" s="1"/>
  <c r="AF101" i="10" s="1"/>
  <c r="AF102" i="10" s="1"/>
  <c r="AF103" i="10" s="1"/>
  <c r="AF104" i="10" s="1"/>
  <c r="AF105" i="10" s="1"/>
  <c r="AF106" i="10" s="1"/>
  <c r="AQ39" i="16"/>
  <c r="AQ40" i="16" s="1"/>
  <c r="AQ41" i="16" s="1"/>
  <c r="AQ42" i="16" s="1"/>
  <c r="AQ43" i="16" s="1"/>
  <c r="AQ44" i="16" s="1"/>
  <c r="AQ45" i="16" s="1"/>
  <c r="AQ46" i="16" s="1"/>
  <c r="AQ47" i="16" s="1"/>
  <c r="AQ48" i="16" s="1"/>
  <c r="AQ49" i="16" s="1"/>
  <c r="AQ50" i="16" s="1"/>
  <c r="AQ51" i="16" s="1"/>
  <c r="AQ52" i="16" s="1"/>
  <c r="AQ53" i="16" s="1"/>
  <c r="N161" i="16" s="1"/>
  <c r="AR40" i="14"/>
  <c r="AR41" i="14" s="1"/>
  <c r="AR42" i="14" s="1"/>
  <c r="AR43" i="14" s="1"/>
  <c r="AR44" i="14" s="1"/>
  <c r="AR45" i="14" s="1"/>
  <c r="AR46" i="14" s="1"/>
  <c r="AR47" i="14" s="1"/>
  <c r="AR48" i="14" s="1"/>
  <c r="AR49" i="14" s="1"/>
  <c r="AR50" i="14" s="1"/>
  <c r="AR51" i="14" s="1"/>
  <c r="AR52" i="14" s="1"/>
  <c r="AR53" i="14" s="1"/>
  <c r="N161" i="14" s="1"/>
  <c r="T39" i="14"/>
  <c r="T40" i="14" s="1"/>
  <c r="T41" i="14" s="1"/>
  <c r="T42" i="14" s="1"/>
  <c r="T43" i="14" s="1"/>
  <c r="T44" i="14" s="1"/>
  <c r="T45" i="14" s="1"/>
  <c r="T46" i="14" s="1"/>
  <c r="T47" i="14" s="1"/>
  <c r="T48" i="14" s="1"/>
  <c r="T49" i="14" s="1"/>
  <c r="T50" i="14" s="1"/>
  <c r="T51" i="14" s="1"/>
  <c r="T52" i="14" s="1"/>
  <c r="T53" i="14" s="1"/>
  <c r="M161" i="14" s="1"/>
  <c r="AR39" i="15"/>
  <c r="AR40" i="15" s="1"/>
  <c r="AR41" i="15" s="1"/>
  <c r="AR42" i="15" s="1"/>
  <c r="AR43" i="15" s="1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N161" i="15" s="1"/>
  <c r="BN39" i="16"/>
  <c r="BN40" i="16" s="1"/>
  <c r="BN41" i="16" s="1"/>
  <c r="BN42" i="16" s="1"/>
  <c r="BN43" i="16" s="1"/>
  <c r="BN44" i="16" s="1"/>
  <c r="BN45" i="16" s="1"/>
  <c r="BN46" i="16" s="1"/>
  <c r="BN47" i="16" s="1"/>
  <c r="BN48" i="16" s="1"/>
  <c r="BN49" i="16" s="1"/>
  <c r="BN50" i="16" s="1"/>
  <c r="BN51" i="16" s="1"/>
  <c r="BN52" i="16" s="1"/>
  <c r="BN53" i="16" s="1"/>
  <c r="O161" i="16" s="1"/>
  <c r="DL39" i="15"/>
  <c r="DL40" i="15" s="1"/>
  <c r="DL41" i="15" s="1"/>
  <c r="DL42" i="15" s="1"/>
  <c r="DL43" i="15" s="1"/>
  <c r="DL44" i="15" s="1"/>
  <c r="DL45" i="15" s="1"/>
  <c r="DL46" i="15" s="1"/>
  <c r="DL47" i="15" s="1"/>
  <c r="DL48" i="15" s="1"/>
  <c r="DL49" i="15" s="1"/>
  <c r="DL50" i="15" s="1"/>
  <c r="DL51" i="15" s="1"/>
  <c r="DL52" i="15" s="1"/>
  <c r="DL53" i="15" s="1"/>
  <c r="Q161" i="15" s="1"/>
  <c r="T39" i="13"/>
  <c r="T40" i="13" s="1"/>
  <c r="T41" i="13" s="1"/>
  <c r="T42" i="13" s="1"/>
  <c r="T43" i="13" s="1"/>
  <c r="T44" i="13" s="1"/>
  <c r="T45" i="13" s="1"/>
  <c r="T46" i="13" s="1"/>
  <c r="T47" i="13" s="1"/>
  <c r="T48" i="13" s="1"/>
  <c r="T49" i="13" s="1"/>
  <c r="T50" i="13" s="1"/>
  <c r="T51" i="13" s="1"/>
  <c r="T52" i="13" s="1"/>
  <c r="T53" i="13" s="1"/>
  <c r="M161" i="13" s="1"/>
  <c r="AD27" i="16"/>
  <c r="AJ27" i="16" s="1"/>
  <c r="AO27" i="16" s="1"/>
  <c r="T12" i="15"/>
  <c r="G12" i="15"/>
  <c r="G14" i="16"/>
  <c r="M14" i="16" s="1"/>
  <c r="R14" i="16" s="1"/>
  <c r="G18" i="15"/>
  <c r="M18" i="15" s="1"/>
  <c r="R18" i="15" s="1"/>
  <c r="CA16" i="15"/>
  <c r="CG16" i="15" s="1"/>
  <c r="CL16" i="15" s="1"/>
  <c r="H78" i="10"/>
  <c r="Y78" i="10" s="1"/>
  <c r="BA23" i="16"/>
  <c r="BG23" i="16" s="1"/>
  <c r="BL23" i="16" s="1"/>
  <c r="BA25" i="16"/>
  <c r="BG25" i="16" s="1"/>
  <c r="BL25" i="16" s="1"/>
  <c r="BC21" i="15"/>
  <c r="BI21" i="15" s="1"/>
  <c r="BN21" i="15" s="1"/>
  <c r="CY17" i="13"/>
  <c r="DE17" i="13" s="1"/>
  <c r="DJ17" i="13" s="1"/>
  <c r="AD21" i="16"/>
  <c r="AJ21" i="16" s="1"/>
  <c r="AO21" i="16" s="1"/>
  <c r="CA22" i="13"/>
  <c r="CG22" i="13" s="1"/>
  <c r="CL22" i="13" s="1"/>
  <c r="BC16" i="14"/>
  <c r="BI16" i="14" s="1"/>
  <c r="BN16" i="14" s="1"/>
  <c r="BX27" i="16"/>
  <c r="CD27" i="16" s="1"/>
  <c r="CI27" i="16" s="1"/>
  <c r="AD24" i="16"/>
  <c r="AJ24" i="16" s="1"/>
  <c r="AO24" i="16" s="1"/>
  <c r="AE16" i="14"/>
  <c r="AK16" i="14" s="1"/>
  <c r="AP16" i="14" s="1"/>
  <c r="CA13" i="15"/>
  <c r="CG13" i="15" s="1"/>
  <c r="CL13" i="15" s="1"/>
  <c r="H70" i="10"/>
  <c r="Y70" i="10" s="1"/>
  <c r="CY23" i="13"/>
  <c r="DE23" i="13" s="1"/>
  <c r="DJ23" i="13" s="1"/>
  <c r="CA13" i="14"/>
  <c r="CG13" i="14" s="1"/>
  <c r="CL13" i="14" s="1"/>
  <c r="CY27" i="13"/>
  <c r="DE27" i="13" s="1"/>
  <c r="DJ27" i="13" s="1"/>
  <c r="AD15" i="16"/>
  <c r="AJ15" i="16" s="1"/>
  <c r="AO15" i="16" s="1"/>
  <c r="G22" i="14"/>
  <c r="M22" i="14" s="1"/>
  <c r="R22" i="14" s="1"/>
  <c r="G25" i="15"/>
  <c r="M25" i="15" s="1"/>
  <c r="R25" i="15" s="1"/>
  <c r="AD16" i="16"/>
  <c r="AJ16" i="16" s="1"/>
  <c r="AO16" i="16" s="1"/>
  <c r="CY24" i="13"/>
  <c r="DE24" i="13" s="1"/>
  <c r="DJ24" i="13" s="1"/>
  <c r="DH12" i="16"/>
  <c r="CU12" i="16"/>
  <c r="CU27" i="16"/>
  <c r="DA27" i="16" s="1"/>
  <c r="DF27" i="16" s="1"/>
  <c r="BC27" i="13"/>
  <c r="BI27" i="13" s="1"/>
  <c r="BN27" i="13" s="1"/>
  <c r="G23" i="16"/>
  <c r="M23" i="16" s="1"/>
  <c r="R23" i="16" s="1"/>
  <c r="DL12" i="14"/>
  <c r="CY12" i="14"/>
  <c r="G21" i="14"/>
  <c r="M21" i="14" s="1"/>
  <c r="R21" i="14" s="1"/>
  <c r="CY18" i="13"/>
  <c r="DE18" i="13" s="1"/>
  <c r="DJ18" i="13" s="1"/>
  <c r="BC20" i="13"/>
  <c r="BI20" i="13" s="1"/>
  <c r="BN20" i="13" s="1"/>
  <c r="G20" i="15"/>
  <c r="M20" i="15" s="1"/>
  <c r="R20" i="15" s="1"/>
  <c r="AD19" i="16"/>
  <c r="AJ19" i="16" s="1"/>
  <c r="AO19" i="16" s="1"/>
  <c r="BC26" i="14"/>
  <c r="BI26" i="14" s="1"/>
  <c r="BN26" i="14" s="1"/>
  <c r="AE20" i="13"/>
  <c r="AK20" i="13" s="1"/>
  <c r="AP20" i="13" s="1"/>
  <c r="CA18" i="13"/>
  <c r="CG18" i="13" s="1"/>
  <c r="CL18" i="13" s="1"/>
  <c r="T12" i="13"/>
  <c r="G12" i="13"/>
  <c r="AE24" i="14"/>
  <c r="AK24" i="14" s="1"/>
  <c r="AP24" i="14" s="1"/>
  <c r="BA13" i="16"/>
  <c r="BG13" i="16" s="1"/>
  <c r="BL13" i="16" s="1"/>
  <c r="AD25" i="16"/>
  <c r="AJ25" i="16" s="1"/>
  <c r="AO25" i="16" s="1"/>
  <c r="CY26" i="13"/>
  <c r="DE26" i="13" s="1"/>
  <c r="DJ26" i="13" s="1"/>
  <c r="CU16" i="16"/>
  <c r="DA16" i="16" s="1"/>
  <c r="DF16" i="16" s="1"/>
  <c r="AE25" i="13"/>
  <c r="AK25" i="13" s="1"/>
  <c r="AP25" i="13" s="1"/>
  <c r="AE18" i="14"/>
  <c r="AK18" i="14" s="1"/>
  <c r="AP18" i="14" s="1"/>
  <c r="AE22" i="15"/>
  <c r="AK22" i="15" s="1"/>
  <c r="AP22" i="15" s="1"/>
  <c r="CA25" i="14"/>
  <c r="CG25" i="14" s="1"/>
  <c r="CL25" i="14" s="1"/>
  <c r="CA24" i="15"/>
  <c r="CG24" i="15" s="1"/>
  <c r="CL24" i="15" s="1"/>
  <c r="CY25" i="15"/>
  <c r="DE25" i="15" s="1"/>
  <c r="DJ25" i="15" s="1"/>
  <c r="CA25" i="15"/>
  <c r="CG25" i="15" s="1"/>
  <c r="CL25" i="15" s="1"/>
  <c r="CY26" i="15"/>
  <c r="DE26" i="15" s="1"/>
  <c r="DJ26" i="15" s="1"/>
  <c r="H77" i="10"/>
  <c r="Y77" i="10" s="1"/>
  <c r="H75" i="10"/>
  <c r="Y75" i="10" s="1"/>
  <c r="BP12" i="14"/>
  <c r="BC12" i="14"/>
  <c r="BX13" i="16"/>
  <c r="CD13" i="16" s="1"/>
  <c r="CI13" i="16" s="1"/>
  <c r="CA20" i="14"/>
  <c r="CG20" i="14" s="1"/>
  <c r="CL20" i="14" s="1"/>
  <c r="AE19" i="15"/>
  <c r="AK19" i="15" s="1"/>
  <c r="AP19" i="15" s="1"/>
  <c r="G25" i="14"/>
  <c r="M25" i="14" s="1"/>
  <c r="R25" i="14" s="1"/>
  <c r="CA27" i="14"/>
  <c r="CG27" i="14" s="1"/>
  <c r="CL27" i="14" s="1"/>
  <c r="CY25" i="14"/>
  <c r="DE25" i="14" s="1"/>
  <c r="DJ25" i="14" s="1"/>
  <c r="BX26" i="16"/>
  <c r="CD26" i="16" s="1"/>
  <c r="CI26" i="16" s="1"/>
  <c r="G19" i="16"/>
  <c r="M19" i="16" s="1"/>
  <c r="R19" i="16" s="1"/>
  <c r="G27" i="14"/>
  <c r="M27" i="14" s="1"/>
  <c r="R27" i="14" s="1"/>
  <c r="G26" i="15"/>
  <c r="M26" i="15" s="1"/>
  <c r="R26" i="15" s="1"/>
  <c r="G20" i="16"/>
  <c r="M20" i="16" s="1"/>
  <c r="R20" i="16" s="1"/>
  <c r="CA14" i="14"/>
  <c r="CG14" i="14" s="1"/>
  <c r="CL14" i="14" s="1"/>
  <c r="CU13" i="16"/>
  <c r="DA13" i="16" s="1"/>
  <c r="DF13" i="16" s="1"/>
  <c r="G16" i="13"/>
  <c r="M16" i="13" s="1"/>
  <c r="R16" i="13" s="1"/>
  <c r="AE15" i="14"/>
  <c r="AK15" i="14" s="1"/>
  <c r="AP15" i="14" s="1"/>
  <c r="G25" i="16"/>
  <c r="M25" i="16" s="1"/>
  <c r="R25" i="16" s="1"/>
  <c r="CY16" i="14"/>
  <c r="DE16" i="14" s="1"/>
  <c r="DJ16" i="14" s="1"/>
  <c r="G24" i="14"/>
  <c r="M24" i="14" s="1"/>
  <c r="R24" i="14" s="1"/>
  <c r="BC19" i="14"/>
  <c r="BI19" i="14" s="1"/>
  <c r="BN19" i="14" s="1"/>
  <c r="BC24" i="13"/>
  <c r="BI24" i="13" s="1"/>
  <c r="BN24" i="13" s="1"/>
  <c r="G21" i="15"/>
  <c r="M21" i="15" s="1"/>
  <c r="R21" i="15" s="1"/>
  <c r="AD22" i="16"/>
  <c r="AJ22" i="16" s="1"/>
  <c r="AO22" i="16" s="1"/>
  <c r="CY14" i="14"/>
  <c r="DE14" i="14" s="1"/>
  <c r="DJ14" i="14" s="1"/>
  <c r="AE22" i="14"/>
  <c r="AK22" i="14" s="1"/>
  <c r="AP22" i="14" s="1"/>
  <c r="CA26" i="13"/>
  <c r="CG26" i="13" s="1"/>
  <c r="CL26" i="13" s="1"/>
  <c r="G17" i="13"/>
  <c r="M17" i="13" s="1"/>
  <c r="R17" i="13" s="1"/>
  <c r="G14" i="15"/>
  <c r="M14" i="15" s="1"/>
  <c r="R14" i="15" s="1"/>
  <c r="AD14" i="16"/>
  <c r="AJ14" i="16" s="1"/>
  <c r="AO14" i="16" s="1"/>
  <c r="CA15" i="13"/>
  <c r="CG15" i="13" s="1"/>
  <c r="CL15" i="13" s="1"/>
  <c r="CA17" i="14"/>
  <c r="CG17" i="14" s="1"/>
  <c r="CL17" i="14" s="1"/>
  <c r="CU18" i="16"/>
  <c r="DA18" i="16" s="1"/>
  <c r="DF18" i="16" s="1"/>
  <c r="AE17" i="13"/>
  <c r="AK17" i="13" s="1"/>
  <c r="AP17" i="13" s="1"/>
  <c r="AE21" i="14"/>
  <c r="AK21" i="14" s="1"/>
  <c r="AP21" i="14" s="1"/>
  <c r="BC24" i="15"/>
  <c r="BI24" i="15" s="1"/>
  <c r="BN24" i="15" s="1"/>
  <c r="BC27" i="14"/>
  <c r="BI27" i="14" s="1"/>
  <c r="BN27" i="14" s="1"/>
  <c r="CA21" i="15"/>
  <c r="CG21" i="15" s="1"/>
  <c r="CL21" i="15" s="1"/>
  <c r="CY27" i="15"/>
  <c r="DE27" i="15" s="1"/>
  <c r="DJ27" i="15" s="1"/>
  <c r="CA20" i="15"/>
  <c r="CG20" i="15" s="1"/>
  <c r="CL20" i="15" s="1"/>
  <c r="CA23" i="15"/>
  <c r="CG23" i="15" s="1"/>
  <c r="CL23" i="15" s="1"/>
  <c r="H74" i="10"/>
  <c r="Y74" i="10" s="1"/>
  <c r="BC18" i="13"/>
  <c r="BI18" i="13" s="1"/>
  <c r="BN18" i="13" s="1"/>
  <c r="AE14" i="15"/>
  <c r="AK14" i="15" s="1"/>
  <c r="AP14" i="15" s="1"/>
  <c r="BC20" i="15"/>
  <c r="BI20" i="15" s="1"/>
  <c r="BN20" i="15" s="1"/>
  <c r="BX16" i="16"/>
  <c r="CD16" i="16" s="1"/>
  <c r="CI16" i="16" s="1"/>
  <c r="BC19" i="13"/>
  <c r="BI19" i="13" s="1"/>
  <c r="BN19" i="13" s="1"/>
  <c r="G27" i="13"/>
  <c r="M27" i="13" s="1"/>
  <c r="R27" i="13" s="1"/>
  <c r="BA16" i="16"/>
  <c r="BG16" i="16" s="1"/>
  <c r="BL16" i="16" s="1"/>
  <c r="BA27" i="16"/>
  <c r="AE27" i="15"/>
  <c r="AK27" i="15" s="1"/>
  <c r="AP27" i="15" s="1"/>
  <c r="BX25" i="16"/>
  <c r="CD25" i="16" s="1"/>
  <c r="CI25" i="16" s="1"/>
  <c r="T12" i="14"/>
  <c r="G12" i="14"/>
  <c r="CY21" i="15"/>
  <c r="DE21" i="15" s="1"/>
  <c r="DJ21" i="15" s="1"/>
  <c r="G20" i="14"/>
  <c r="M20" i="14" s="1"/>
  <c r="R20" i="14" s="1"/>
  <c r="G17" i="14"/>
  <c r="M17" i="14" s="1"/>
  <c r="R17" i="14" s="1"/>
  <c r="AE17" i="15"/>
  <c r="AK17" i="15" s="1"/>
  <c r="AP17" i="15" s="1"/>
  <c r="BX21" i="16"/>
  <c r="CD21" i="16" s="1"/>
  <c r="CI21" i="16" s="1"/>
  <c r="BC25" i="14"/>
  <c r="BI25" i="14" s="1"/>
  <c r="BN25" i="14" s="1"/>
  <c r="G19" i="15"/>
  <c r="M19" i="15" s="1"/>
  <c r="R19" i="15" s="1"/>
  <c r="CA14" i="13"/>
  <c r="CG14" i="13" s="1"/>
  <c r="CL14" i="13" s="1"/>
  <c r="CY22" i="13"/>
  <c r="DE22" i="13" s="1"/>
  <c r="DJ22" i="13" s="1"/>
  <c r="AE20" i="15"/>
  <c r="AK20" i="15" s="1"/>
  <c r="AP20" i="15" s="1"/>
  <c r="CA22" i="15"/>
  <c r="CG22" i="15" s="1"/>
  <c r="CL22" i="15" s="1"/>
  <c r="H76" i="10"/>
  <c r="Y76" i="10" s="1"/>
  <c r="AE16" i="15"/>
  <c r="AK16" i="15" s="1"/>
  <c r="AP16" i="15" s="1"/>
  <c r="H69" i="10"/>
  <c r="Y69" i="10" s="1"/>
  <c r="G21" i="13"/>
  <c r="M21" i="13" s="1"/>
  <c r="R21" i="13" s="1"/>
  <c r="CY20" i="13"/>
  <c r="DE20" i="13" s="1"/>
  <c r="DJ20" i="13" s="1"/>
  <c r="AE23" i="13"/>
  <c r="AK23" i="13" s="1"/>
  <c r="AP23" i="13" s="1"/>
  <c r="BA26" i="16"/>
  <c r="BG26" i="16" s="1"/>
  <c r="BL26" i="16" s="1"/>
  <c r="CU15" i="16"/>
  <c r="DA15" i="16" s="1"/>
  <c r="DF15" i="16" s="1"/>
  <c r="CY14" i="13"/>
  <c r="DE14" i="13" s="1"/>
  <c r="DJ14" i="13" s="1"/>
  <c r="BX14" i="16"/>
  <c r="CD14" i="16" s="1"/>
  <c r="CI14" i="16" s="1"/>
  <c r="CY17" i="14"/>
  <c r="DE17" i="14" s="1"/>
  <c r="DJ17" i="14" s="1"/>
  <c r="G25" i="13"/>
  <c r="M25" i="13" s="1"/>
  <c r="R25" i="13" s="1"/>
  <c r="CA24" i="14"/>
  <c r="CG24" i="14" s="1"/>
  <c r="CL24" i="14" s="1"/>
  <c r="BC25" i="15"/>
  <c r="BI25" i="15" s="1"/>
  <c r="BN25" i="15" s="1"/>
  <c r="CA17" i="15"/>
  <c r="CG17" i="15" s="1"/>
  <c r="CL17" i="15" s="1"/>
  <c r="H79" i="10"/>
  <c r="Y79" i="10" s="1"/>
  <c r="H73" i="10"/>
  <c r="Y73" i="10" s="1"/>
  <c r="AE22" i="13"/>
  <c r="AK22" i="13" s="1"/>
  <c r="AP22" i="13" s="1"/>
  <c r="AE16" i="13"/>
  <c r="AK16" i="13" s="1"/>
  <c r="AP16" i="13" s="1"/>
  <c r="CY19" i="14"/>
  <c r="DE19" i="14" s="1"/>
  <c r="DJ19" i="14" s="1"/>
  <c r="G17" i="16"/>
  <c r="M17" i="16" s="1"/>
  <c r="R17" i="16" s="1"/>
  <c r="CA26" i="14"/>
  <c r="CG26" i="14" s="1"/>
  <c r="CL26" i="14" s="1"/>
  <c r="BX18" i="16"/>
  <c r="CD18" i="16" s="1"/>
  <c r="CI18" i="16" s="1"/>
  <c r="G23" i="13"/>
  <c r="M23" i="13" s="1"/>
  <c r="R23" i="13" s="1"/>
  <c r="BP12" i="13"/>
  <c r="BC12" i="13"/>
  <c r="BA24" i="16"/>
  <c r="BG24" i="16" s="1"/>
  <c r="BL24" i="16" s="1"/>
  <c r="BC15" i="15"/>
  <c r="BI15" i="15" s="1"/>
  <c r="BN15" i="15" s="1"/>
  <c r="BC27" i="15"/>
  <c r="BI27" i="15" s="1"/>
  <c r="BN27" i="15" s="1"/>
  <c r="CA13" i="13"/>
  <c r="CG13" i="13" s="1"/>
  <c r="CL13" i="13" s="1"/>
  <c r="BC18" i="14"/>
  <c r="BI18" i="14" s="1"/>
  <c r="BN18" i="14" s="1"/>
  <c r="CU17" i="16"/>
  <c r="DA17" i="16" s="1"/>
  <c r="DF17" i="16" s="1"/>
  <c r="AE21" i="13"/>
  <c r="AK21" i="13" s="1"/>
  <c r="AP21" i="13" s="1"/>
  <c r="BC14" i="15"/>
  <c r="BI14" i="15" s="1"/>
  <c r="BN14" i="15" s="1"/>
  <c r="CY21" i="13"/>
  <c r="DE21" i="13" s="1"/>
  <c r="DJ21" i="13" s="1"/>
  <c r="CY26" i="14"/>
  <c r="DE26" i="14" s="1"/>
  <c r="DJ26" i="14" s="1"/>
  <c r="G23" i="15"/>
  <c r="M23" i="15" s="1"/>
  <c r="R23" i="15" s="1"/>
  <c r="G14" i="13"/>
  <c r="M14" i="13" s="1"/>
  <c r="R14" i="13" s="1"/>
  <c r="AE19" i="14"/>
  <c r="AK19" i="14" s="1"/>
  <c r="AP19" i="14" s="1"/>
  <c r="AE24" i="15"/>
  <c r="AK24" i="15" s="1"/>
  <c r="AP24" i="15" s="1"/>
  <c r="G27" i="16"/>
  <c r="M27" i="16" s="1"/>
  <c r="R27" i="16" s="1"/>
  <c r="CY27" i="14"/>
  <c r="DE27" i="14" s="1"/>
  <c r="DJ27" i="14" s="1"/>
  <c r="AD18" i="16"/>
  <c r="AJ18" i="16" s="1"/>
  <c r="AO18" i="16" s="1"/>
  <c r="CN12" i="14"/>
  <c r="CA12" i="14"/>
  <c r="AE26" i="13"/>
  <c r="AK26" i="13" s="1"/>
  <c r="AP26" i="13" s="1"/>
  <c r="G16" i="15"/>
  <c r="M16" i="15" s="1"/>
  <c r="R16" i="15" s="1"/>
  <c r="BA18" i="16"/>
  <c r="BG18" i="16" s="1"/>
  <c r="BL18" i="16" s="1"/>
  <c r="CA23" i="13"/>
  <c r="CG23" i="13" s="1"/>
  <c r="CL23" i="13" s="1"/>
  <c r="BC20" i="14"/>
  <c r="BI20" i="14" s="1"/>
  <c r="BN20" i="14" s="1"/>
  <c r="CU22" i="16"/>
  <c r="DA22" i="16" s="1"/>
  <c r="DF22" i="16" s="1"/>
  <c r="BC17" i="13"/>
  <c r="BI17" i="13" s="1"/>
  <c r="BN17" i="13" s="1"/>
  <c r="AE26" i="14"/>
  <c r="AK26" i="14" s="1"/>
  <c r="AP26" i="14" s="1"/>
  <c r="BC26" i="15"/>
  <c r="BI26" i="15" s="1"/>
  <c r="BN26" i="15" s="1"/>
  <c r="CY24" i="14"/>
  <c r="DE24" i="14" s="1"/>
  <c r="DJ24" i="14" s="1"/>
  <c r="CY13" i="15"/>
  <c r="DE13" i="15" s="1"/>
  <c r="DJ13" i="15" s="1"/>
  <c r="CA27" i="15"/>
  <c r="CG27" i="15" s="1"/>
  <c r="CL27" i="15" s="1"/>
  <c r="CY16" i="15"/>
  <c r="DE16" i="15" s="1"/>
  <c r="DJ16" i="15" s="1"/>
  <c r="CA15" i="15"/>
  <c r="CG15" i="15" s="1"/>
  <c r="CL15" i="15" s="1"/>
  <c r="AE14" i="13"/>
  <c r="AK14" i="13" s="1"/>
  <c r="AP14" i="13" s="1"/>
  <c r="BC24" i="14"/>
  <c r="BI24" i="14" s="1"/>
  <c r="BN24" i="14" s="1"/>
  <c r="G19" i="14"/>
  <c r="M19" i="14" s="1"/>
  <c r="R19" i="14" s="1"/>
  <c r="CA25" i="13"/>
  <c r="CG25" i="13" s="1"/>
  <c r="CL25" i="13" s="1"/>
  <c r="AD17" i="16"/>
  <c r="AJ17" i="16" s="1"/>
  <c r="AO17" i="16" s="1"/>
  <c r="CN12" i="13"/>
  <c r="CA12" i="13"/>
  <c r="BC13" i="14"/>
  <c r="BI13" i="14" s="1"/>
  <c r="BN13" i="14" s="1"/>
  <c r="BX19" i="16"/>
  <c r="CD19" i="16" s="1"/>
  <c r="CI19" i="16" s="1"/>
  <c r="AD23" i="16"/>
  <c r="AJ23" i="16" s="1"/>
  <c r="AO23" i="16" s="1"/>
  <c r="AR12" i="13"/>
  <c r="AE12" i="13"/>
  <c r="AD26" i="16"/>
  <c r="AJ26" i="16" s="1"/>
  <c r="AO26" i="16" s="1"/>
  <c r="CA14" i="15"/>
  <c r="CG14" i="15" s="1"/>
  <c r="CL14" i="15" s="1"/>
  <c r="H66" i="10"/>
  <c r="Y66" i="10" s="1"/>
  <c r="G15" i="14"/>
  <c r="M15" i="14" s="1"/>
  <c r="R15" i="14" s="1"/>
  <c r="BX23" i="16"/>
  <c r="CD23" i="16" s="1"/>
  <c r="CI23" i="16" s="1"/>
  <c r="CU25" i="16"/>
  <c r="DA25" i="16" s="1"/>
  <c r="DF25" i="16" s="1"/>
  <c r="AR12" i="14"/>
  <c r="AE12" i="14"/>
  <c r="BA17" i="16"/>
  <c r="BG17" i="16" s="1"/>
  <c r="BL17" i="16" s="1"/>
  <c r="G18" i="14"/>
  <c r="M18" i="14" s="1"/>
  <c r="R18" i="14" s="1"/>
  <c r="CU14" i="16"/>
  <c r="DA14" i="16" s="1"/>
  <c r="DF14" i="16" s="1"/>
  <c r="CA18" i="14"/>
  <c r="CG18" i="14" s="1"/>
  <c r="CL18" i="14" s="1"/>
  <c r="CY23" i="15"/>
  <c r="DE23" i="15" s="1"/>
  <c r="DJ23" i="15" s="1"/>
  <c r="BC22" i="15"/>
  <c r="BI22" i="15" s="1"/>
  <c r="BN22" i="15" s="1"/>
  <c r="CA24" i="13"/>
  <c r="CG24" i="13" s="1"/>
  <c r="CL24" i="13" s="1"/>
  <c r="BC14" i="14"/>
  <c r="BI14" i="14" s="1"/>
  <c r="BN14" i="14" s="1"/>
  <c r="BC21" i="14"/>
  <c r="BI21" i="14" s="1"/>
  <c r="BN21" i="14" s="1"/>
  <c r="G22" i="16"/>
  <c r="M22" i="16" s="1"/>
  <c r="R22" i="16" s="1"/>
  <c r="G27" i="15"/>
  <c r="M27" i="15" s="1"/>
  <c r="R27" i="15" s="1"/>
  <c r="CA21" i="14"/>
  <c r="CG21" i="14" s="1"/>
  <c r="CL21" i="14" s="1"/>
  <c r="AE17" i="14"/>
  <c r="AK17" i="14" s="1"/>
  <c r="AP17" i="14" s="1"/>
  <c r="CY20" i="14"/>
  <c r="DE20" i="14" s="1"/>
  <c r="DJ20" i="14" s="1"/>
  <c r="AE14" i="14"/>
  <c r="AK14" i="14" s="1"/>
  <c r="AP14" i="14" s="1"/>
  <c r="G26" i="16"/>
  <c r="M26" i="16" s="1"/>
  <c r="R26" i="16" s="1"/>
  <c r="CY25" i="13"/>
  <c r="DE25" i="13" s="1"/>
  <c r="DJ25" i="13" s="1"/>
  <c r="G16" i="16"/>
  <c r="M16" i="16" s="1"/>
  <c r="R16" i="16" s="1"/>
  <c r="CU20" i="16"/>
  <c r="DA20" i="16" s="1"/>
  <c r="DF20" i="16" s="1"/>
  <c r="G23" i="14"/>
  <c r="M23" i="14" s="1"/>
  <c r="R23" i="14" s="1"/>
  <c r="CY15" i="15"/>
  <c r="DE15" i="15" s="1"/>
  <c r="DJ15" i="15" s="1"/>
  <c r="CA19" i="15"/>
  <c r="CG19" i="15" s="1"/>
  <c r="CL19" i="15" s="1"/>
  <c r="H68" i="10"/>
  <c r="Y68" i="10" s="1"/>
  <c r="H80" i="10"/>
  <c r="Y80" i="10" s="1"/>
  <c r="BC23" i="15"/>
  <c r="BI23" i="15" s="1"/>
  <c r="BN23" i="15" s="1"/>
  <c r="G13" i="14"/>
  <c r="M13" i="14" s="1"/>
  <c r="R13" i="14" s="1"/>
  <c r="G18" i="13"/>
  <c r="M18" i="13" s="1"/>
  <c r="R18" i="13" s="1"/>
  <c r="CA16" i="13"/>
  <c r="CG16" i="13" s="1"/>
  <c r="CL16" i="13" s="1"/>
  <c r="CY15" i="14"/>
  <c r="DE15" i="14" s="1"/>
  <c r="DJ15" i="14" s="1"/>
  <c r="G26" i="13"/>
  <c r="M26" i="13" s="1"/>
  <c r="R26" i="13" s="1"/>
  <c r="AE24" i="13"/>
  <c r="AK24" i="13" s="1"/>
  <c r="AP24" i="13" s="1"/>
  <c r="BC22" i="13"/>
  <c r="BI22" i="13" s="1"/>
  <c r="BN22" i="13" s="1"/>
  <c r="CA20" i="13"/>
  <c r="CG20" i="13" s="1"/>
  <c r="CL20" i="13" s="1"/>
  <c r="BC18" i="15"/>
  <c r="BI18" i="15" s="1"/>
  <c r="BN18" i="15" s="1"/>
  <c r="AQ12" i="16"/>
  <c r="AD12" i="16"/>
  <c r="CA17" i="13"/>
  <c r="CG17" i="13" s="1"/>
  <c r="CL17" i="13" s="1"/>
  <c r="CY13" i="14"/>
  <c r="DE13" i="14" s="1"/>
  <c r="DJ13" i="14" s="1"/>
  <c r="CU19" i="16"/>
  <c r="DA19" i="16" s="1"/>
  <c r="DF19" i="16" s="1"/>
  <c r="AE13" i="13"/>
  <c r="AK13" i="13" s="1"/>
  <c r="AP13" i="13" s="1"/>
  <c r="BC16" i="15"/>
  <c r="BI16" i="15" s="1"/>
  <c r="BN16" i="15" s="1"/>
  <c r="CA15" i="14"/>
  <c r="CG15" i="14" s="1"/>
  <c r="CL15" i="14" s="1"/>
  <c r="BX24" i="16"/>
  <c r="CD24" i="16" s="1"/>
  <c r="CI24" i="16" s="1"/>
  <c r="AE26" i="15"/>
  <c r="AK26" i="15" s="1"/>
  <c r="AP26" i="15" s="1"/>
  <c r="G22" i="13"/>
  <c r="M22" i="13" s="1"/>
  <c r="R22" i="13" s="1"/>
  <c r="G26" i="14"/>
  <c r="M26" i="14" s="1"/>
  <c r="R26" i="14" s="1"/>
  <c r="AE25" i="15"/>
  <c r="AK25" i="15" s="1"/>
  <c r="AP25" i="15" s="1"/>
  <c r="CA16" i="14"/>
  <c r="CG16" i="14" s="1"/>
  <c r="CL16" i="14" s="1"/>
  <c r="BX17" i="16"/>
  <c r="CD17" i="16" s="1"/>
  <c r="CI17" i="16" s="1"/>
  <c r="AD20" i="16"/>
  <c r="AJ20" i="16" s="1"/>
  <c r="AO20" i="16" s="1"/>
  <c r="CA22" i="14"/>
  <c r="CG22" i="14" s="1"/>
  <c r="CL22" i="14" s="1"/>
  <c r="AE18" i="13"/>
  <c r="AK18" i="13" s="1"/>
  <c r="AP18" i="13" s="1"/>
  <c r="G17" i="15"/>
  <c r="M17" i="15" s="1"/>
  <c r="R17" i="15" s="1"/>
  <c r="BA20" i="16"/>
  <c r="BG20" i="16" s="1"/>
  <c r="BL20" i="16" s="1"/>
  <c r="CA27" i="13"/>
  <c r="CG27" i="13" s="1"/>
  <c r="CL27" i="13" s="1"/>
  <c r="BC23" i="14"/>
  <c r="BI23" i="14" s="1"/>
  <c r="BN23" i="14" s="1"/>
  <c r="CU24" i="16"/>
  <c r="DA24" i="16" s="1"/>
  <c r="DF24" i="16" s="1"/>
  <c r="BC21" i="13"/>
  <c r="BI21" i="13" s="1"/>
  <c r="BN21" i="13" s="1"/>
  <c r="BP12" i="15"/>
  <c r="BC12" i="15"/>
  <c r="BA19" i="16"/>
  <c r="BG19" i="16" s="1"/>
  <c r="BL19" i="16" s="1"/>
  <c r="BX15" i="16"/>
  <c r="CD15" i="16" s="1"/>
  <c r="CI15" i="16" s="1"/>
  <c r="CY17" i="15"/>
  <c r="DE17" i="15" s="1"/>
  <c r="DJ17" i="15" s="1"/>
  <c r="DL12" i="15"/>
  <c r="CY12" i="15"/>
  <c r="CY18" i="15"/>
  <c r="DE18" i="15" s="1"/>
  <c r="DJ18" i="15" s="1"/>
  <c r="CA18" i="15"/>
  <c r="CG18" i="15" s="1"/>
  <c r="CL18" i="15" s="1"/>
  <c r="H71" i="10"/>
  <c r="Y71" i="10" s="1"/>
  <c r="G21" i="16"/>
  <c r="M21" i="16" s="1"/>
  <c r="R21" i="16" s="1"/>
  <c r="AE21" i="15"/>
  <c r="AK21" i="15" s="1"/>
  <c r="AP21" i="15" s="1"/>
  <c r="CY22" i="14"/>
  <c r="DE22" i="14" s="1"/>
  <c r="DJ22" i="14" s="1"/>
  <c r="CU23" i="16"/>
  <c r="DA23" i="16" s="1"/>
  <c r="DF23" i="16" s="1"/>
  <c r="BC22" i="14"/>
  <c r="BI22" i="14" s="1"/>
  <c r="BN22" i="14" s="1"/>
  <c r="AE19" i="13"/>
  <c r="AK19" i="13" s="1"/>
  <c r="AP19" i="13" s="1"/>
  <c r="BC17" i="15"/>
  <c r="BI17" i="15" s="1"/>
  <c r="BN17" i="15" s="1"/>
  <c r="G16" i="14"/>
  <c r="M16" i="14" s="1"/>
  <c r="R16" i="14" s="1"/>
  <c r="CY19" i="13"/>
  <c r="DE19" i="13" s="1"/>
  <c r="DJ19" i="13" s="1"/>
  <c r="AE18" i="15"/>
  <c r="AK18" i="15" s="1"/>
  <c r="AP18" i="15" s="1"/>
  <c r="CY22" i="15"/>
  <c r="DE22" i="15" s="1"/>
  <c r="DJ22" i="15" s="1"/>
  <c r="CY13" i="13"/>
  <c r="DE13" i="13" s="1"/>
  <c r="DJ13" i="13" s="1"/>
  <c r="AE15" i="15"/>
  <c r="AK15" i="15" s="1"/>
  <c r="AP15" i="15" s="1"/>
  <c r="CY16" i="13"/>
  <c r="DE16" i="13" s="1"/>
  <c r="DJ16" i="13" s="1"/>
  <c r="BA15" i="16"/>
  <c r="BG15" i="16" s="1"/>
  <c r="BL15" i="16" s="1"/>
  <c r="BC23" i="13"/>
  <c r="BI23" i="13" s="1"/>
  <c r="BN23" i="13" s="1"/>
  <c r="BC16" i="13"/>
  <c r="BI16" i="13" s="1"/>
  <c r="BN16" i="13" s="1"/>
  <c r="G19" i="13"/>
  <c r="M19" i="13" s="1"/>
  <c r="R19" i="13" s="1"/>
  <c r="G13" i="16"/>
  <c r="M13" i="16" s="1"/>
  <c r="R13" i="16" s="1"/>
  <c r="G20" i="13"/>
  <c r="M20" i="13" s="1"/>
  <c r="R20" i="13" s="1"/>
  <c r="CY24" i="15"/>
  <c r="DE24" i="15" s="1"/>
  <c r="DJ24" i="15" s="1"/>
  <c r="CA19" i="14"/>
  <c r="CG19" i="14" s="1"/>
  <c r="CL19" i="14" s="1"/>
  <c r="G15" i="13"/>
  <c r="M15" i="13" s="1"/>
  <c r="R15" i="13" s="1"/>
  <c r="BC26" i="13"/>
  <c r="BI26" i="13" s="1"/>
  <c r="BN26" i="13" s="1"/>
  <c r="BA14" i="16"/>
  <c r="BG14" i="16" s="1"/>
  <c r="BL14" i="16" s="1"/>
  <c r="G13" i="13"/>
  <c r="M13" i="13" s="1"/>
  <c r="R13" i="13" s="1"/>
  <c r="BC13" i="15"/>
  <c r="BI13" i="15" s="1"/>
  <c r="BN13" i="15" s="1"/>
  <c r="G24" i="13"/>
  <c r="M24" i="13" s="1"/>
  <c r="R24" i="13" s="1"/>
  <c r="G13" i="15"/>
  <c r="M13" i="15" s="1"/>
  <c r="R13" i="15" s="1"/>
  <c r="G22" i="15"/>
  <c r="M22" i="15" s="1"/>
  <c r="R22" i="15" s="1"/>
  <c r="AR12" i="15"/>
  <c r="AE12" i="15"/>
  <c r="G15" i="15"/>
  <c r="M15" i="15" s="1"/>
  <c r="R15" i="15" s="1"/>
  <c r="CA19" i="13"/>
  <c r="CG19" i="13" s="1"/>
  <c r="CL19" i="13" s="1"/>
  <c r="BC13" i="13"/>
  <c r="BI13" i="13" s="1"/>
  <c r="BN13" i="13" s="1"/>
  <c r="CY18" i="14"/>
  <c r="DE18" i="14" s="1"/>
  <c r="DJ18" i="14" s="1"/>
  <c r="CY14" i="15"/>
  <c r="DE14" i="15" s="1"/>
  <c r="DJ14" i="15" s="1"/>
  <c r="H67" i="10"/>
  <c r="Y67" i="10" s="1"/>
  <c r="H72" i="10"/>
  <c r="Y72" i="10" s="1"/>
  <c r="G18" i="16"/>
  <c r="M18" i="16" s="1"/>
  <c r="R18" i="16" s="1"/>
  <c r="BN12" i="16"/>
  <c r="BA12" i="16"/>
  <c r="AE15" i="13"/>
  <c r="AK15" i="13" s="1"/>
  <c r="AP15" i="13" s="1"/>
  <c r="DL12" i="13"/>
  <c r="CY12" i="13"/>
  <c r="AE20" i="14"/>
  <c r="AK20" i="14" s="1"/>
  <c r="AP20" i="14" s="1"/>
  <c r="BC14" i="13"/>
  <c r="BI14" i="13" s="1"/>
  <c r="BN14" i="13" s="1"/>
  <c r="AE23" i="14"/>
  <c r="AK23" i="14" s="1"/>
  <c r="AP23" i="14" s="1"/>
  <c r="G14" i="14"/>
  <c r="M14" i="14" s="1"/>
  <c r="R14" i="14" s="1"/>
  <c r="BC17" i="14"/>
  <c r="BI17" i="14" s="1"/>
  <c r="BN17" i="14" s="1"/>
  <c r="BC19" i="15"/>
  <c r="BI19" i="15" s="1"/>
  <c r="BN19" i="15" s="1"/>
  <c r="AD13" i="16"/>
  <c r="AJ13" i="16" s="1"/>
  <c r="AO13" i="16" s="1"/>
  <c r="CA21" i="13"/>
  <c r="CG21" i="13" s="1"/>
  <c r="CL21" i="13" s="1"/>
  <c r="CK12" i="16"/>
  <c r="BX12" i="16"/>
  <c r="CU21" i="16"/>
  <c r="DA21" i="16" s="1"/>
  <c r="DF21" i="16" s="1"/>
  <c r="BC15" i="13"/>
  <c r="BI15" i="13" s="1"/>
  <c r="BN15" i="13" s="1"/>
  <c r="G24" i="15"/>
  <c r="M24" i="15" s="1"/>
  <c r="R24" i="15" s="1"/>
  <c r="BC15" i="14"/>
  <c r="BI15" i="14" s="1"/>
  <c r="BN15" i="14" s="1"/>
  <c r="AE25" i="14"/>
  <c r="AK25" i="14" s="1"/>
  <c r="AP25" i="14" s="1"/>
  <c r="T12" i="16"/>
  <c r="G12" i="16"/>
  <c r="AE27" i="13"/>
  <c r="AK27" i="13" s="1"/>
  <c r="AP27" i="13" s="1"/>
  <c r="AE27" i="14"/>
  <c r="AK27" i="14" s="1"/>
  <c r="AP27" i="14" s="1"/>
  <c r="G15" i="16"/>
  <c r="M15" i="16" s="1"/>
  <c r="R15" i="16" s="1"/>
  <c r="CA23" i="14"/>
  <c r="CG23" i="14" s="1"/>
  <c r="CL23" i="14" s="1"/>
  <c r="BX22" i="16"/>
  <c r="CD22" i="16" s="1"/>
  <c r="CI22" i="16" s="1"/>
  <c r="G24" i="16"/>
  <c r="M24" i="16" s="1"/>
  <c r="R24" i="16" s="1"/>
  <c r="CY23" i="14"/>
  <c r="DE23" i="14" s="1"/>
  <c r="DJ23" i="14" s="1"/>
  <c r="AE13" i="14"/>
  <c r="AK13" i="14" s="1"/>
  <c r="AP13" i="14" s="1"/>
  <c r="AE23" i="15"/>
  <c r="AK23" i="15" s="1"/>
  <c r="AP23" i="15" s="1"/>
  <c r="BA21" i="16"/>
  <c r="BG21" i="16" s="1"/>
  <c r="BL21" i="16" s="1"/>
  <c r="CY15" i="13"/>
  <c r="DE15" i="13" s="1"/>
  <c r="DJ15" i="13" s="1"/>
  <c r="CY21" i="14"/>
  <c r="DE21" i="14" s="1"/>
  <c r="DJ21" i="14" s="1"/>
  <c r="CU26" i="16"/>
  <c r="DA26" i="16" s="1"/>
  <c r="DF26" i="16" s="1"/>
  <c r="BC25" i="13"/>
  <c r="BI25" i="13" s="1"/>
  <c r="BN25" i="13" s="1"/>
  <c r="AE13" i="15"/>
  <c r="AK13" i="15" s="1"/>
  <c r="AP13" i="15" s="1"/>
  <c r="BA22" i="16"/>
  <c r="BG22" i="16" s="1"/>
  <c r="BL22" i="16" s="1"/>
  <c r="BX20" i="16"/>
  <c r="CD20" i="16" s="1"/>
  <c r="CI20" i="16" s="1"/>
  <c r="CY19" i="15"/>
  <c r="DE19" i="15" s="1"/>
  <c r="DJ19" i="15" s="1"/>
  <c r="CN12" i="15"/>
  <c r="CA12" i="15"/>
  <c r="CY20" i="15"/>
  <c r="DE20" i="15" s="1"/>
  <c r="DJ20" i="15" s="1"/>
  <c r="CA26" i="15"/>
  <c r="CG26" i="15" s="1"/>
  <c r="CL26" i="15" s="1"/>
  <c r="AF14" i="10"/>
  <c r="AF15" i="10" s="1"/>
  <c r="AF16" i="10" s="1"/>
  <c r="AF17" i="10" s="1"/>
  <c r="AF18" i="10" s="1"/>
  <c r="AF19" i="10" s="1"/>
  <c r="AF20" i="10" s="1"/>
  <c r="AF21" i="10" s="1"/>
  <c r="AF22" i="10" s="1"/>
  <c r="AF23" i="10" s="1"/>
  <c r="AF24" i="10" s="1"/>
  <c r="AF25" i="10" s="1"/>
  <c r="AF26" i="10" s="1"/>
  <c r="AF27" i="10" s="1"/>
  <c r="AF28" i="10" s="1"/>
  <c r="J7" i="11" s="1"/>
  <c r="AE69" i="2"/>
  <c r="V24" i="8" s="1"/>
  <c r="X39" i="10"/>
  <c r="AC39" i="10" s="1"/>
  <c r="AG39" i="10"/>
  <c r="AG40" i="10" s="1"/>
  <c r="AG41" i="10" s="1"/>
  <c r="AG42" i="10" s="1"/>
  <c r="AG43" i="10" s="1"/>
  <c r="AG44" i="10" s="1"/>
  <c r="AG45" i="10" s="1"/>
  <c r="AG46" i="10" s="1"/>
  <c r="AG47" i="10" s="1"/>
  <c r="AG48" i="10" s="1"/>
  <c r="AG49" i="10" s="1"/>
  <c r="AG50" i="10" s="1"/>
  <c r="AG51" i="10" s="1"/>
  <c r="AG52" i="10" s="1"/>
  <c r="AG53" i="10" s="1"/>
  <c r="AG54" i="10" s="1"/>
  <c r="K8" i="11" s="1"/>
  <c r="K9" i="11" s="1"/>
  <c r="K11" i="11" s="1"/>
  <c r="K13" i="11" s="1"/>
  <c r="X13" i="10"/>
  <c r="AC13" i="10" s="1"/>
  <c r="AG13" i="10"/>
  <c r="AG14" i="10" s="1"/>
  <c r="AG15" i="10" s="1"/>
  <c r="Y13" i="10"/>
  <c r="AD13" i="10" s="1"/>
  <c r="Q71" i="2"/>
  <c r="K71" i="2"/>
  <c r="S19" i="8"/>
  <c r="R69" i="2"/>
  <c r="S24" i="8" s="1"/>
  <c r="K68" i="2"/>
  <c r="Q23" i="8" s="1"/>
  <c r="AF21" i="2"/>
  <c r="W20" i="8"/>
  <c r="Y21" i="2"/>
  <c r="U20" i="8"/>
  <c r="K21" i="2"/>
  <c r="AD71" i="10" l="1"/>
  <c r="L67" i="22" s="1"/>
  <c r="AD69" i="10"/>
  <c r="L65" i="22" s="1"/>
  <c r="R11" i="23" s="1"/>
  <c r="AD78" i="10"/>
  <c r="L74" i="22" s="1"/>
  <c r="R20" i="23" s="1"/>
  <c r="CF113" i="15"/>
  <c r="CK113" i="15" s="1"/>
  <c r="CJ113" i="15"/>
  <c r="AD72" i="10"/>
  <c r="L68" i="22" s="1"/>
  <c r="R14" i="23" s="1"/>
  <c r="AD66" i="10"/>
  <c r="L62" i="22" s="1"/>
  <c r="R8" i="23" s="1"/>
  <c r="DD113" i="15"/>
  <c r="DI113" i="15" s="1"/>
  <c r="DH113" i="15"/>
  <c r="AD67" i="10"/>
  <c r="L63" i="22" s="1"/>
  <c r="R9" i="23" s="1"/>
  <c r="AD73" i="10"/>
  <c r="L69" i="22" s="1"/>
  <c r="R15" i="23" s="1"/>
  <c r="AD76" i="10"/>
  <c r="L72" i="22" s="1"/>
  <c r="R18" i="23" s="1"/>
  <c r="AD74" i="10"/>
  <c r="L70" i="22" s="1"/>
  <c r="P12" i="16"/>
  <c r="U12" i="16" s="1"/>
  <c r="U13" i="16" s="1"/>
  <c r="U14" i="16" s="1"/>
  <c r="U15" i="16" s="1"/>
  <c r="U16" i="16" s="1"/>
  <c r="U17" i="16" s="1"/>
  <c r="U18" i="16" s="1"/>
  <c r="U19" i="16" s="1"/>
  <c r="U20" i="16" s="1"/>
  <c r="U21" i="16" s="1"/>
  <c r="U22" i="16" s="1"/>
  <c r="U23" i="16" s="1"/>
  <c r="U24" i="16" s="1"/>
  <c r="U25" i="16" s="1"/>
  <c r="U26" i="16" s="1"/>
  <c r="U27" i="16" s="1"/>
  <c r="H162" i="16" s="1"/>
  <c r="BH113" i="15"/>
  <c r="BM113" i="15" s="1"/>
  <c r="BL113" i="15"/>
  <c r="AD79" i="10"/>
  <c r="L75" i="22" s="1"/>
  <c r="R21" i="23" s="1"/>
  <c r="AD80" i="10"/>
  <c r="L76" i="22" s="1"/>
  <c r="AD75" i="10"/>
  <c r="L71" i="22" s="1"/>
  <c r="R17" i="23" s="1"/>
  <c r="AD70" i="10"/>
  <c r="L66" i="22" s="1"/>
  <c r="R12" i="23" s="1"/>
  <c r="AD68" i="10"/>
  <c r="L64" i="22" s="1"/>
  <c r="AD77" i="10"/>
  <c r="L73" i="22" s="1"/>
  <c r="G7" i="23"/>
  <c r="J7" i="23" s="1"/>
  <c r="CI88" i="16"/>
  <c r="CN88" i="16" s="1"/>
  <c r="CN89" i="16" s="1"/>
  <c r="CN90" i="16" s="1"/>
  <c r="CN91" i="16" s="1"/>
  <c r="CN92" i="16" s="1"/>
  <c r="CN93" i="16" s="1"/>
  <c r="CN94" i="16" s="1"/>
  <c r="CN95" i="16" s="1"/>
  <c r="CN96" i="16" s="1"/>
  <c r="CN97" i="16" s="1"/>
  <c r="CN98" i="16" s="1"/>
  <c r="CN99" i="16" s="1"/>
  <c r="CN100" i="16" s="1"/>
  <c r="CN101" i="16" s="1"/>
  <c r="CN102" i="16" s="1"/>
  <c r="CN103" i="16" s="1"/>
  <c r="AO88" i="16"/>
  <c r="AT88" i="16" s="1"/>
  <c r="AT89" i="16" s="1"/>
  <c r="AT90" i="16" s="1"/>
  <c r="AT91" i="16" s="1"/>
  <c r="AT92" i="16" s="1"/>
  <c r="AT93" i="16" s="1"/>
  <c r="AT94" i="16" s="1"/>
  <c r="AT95" i="16" s="1"/>
  <c r="AT96" i="16" s="1"/>
  <c r="AT97" i="16" s="1"/>
  <c r="AT98" i="16" s="1"/>
  <c r="AT99" i="16" s="1"/>
  <c r="AT100" i="16" s="1"/>
  <c r="AT101" i="16" s="1"/>
  <c r="AT102" i="16" s="1"/>
  <c r="AT103" i="16" s="1"/>
  <c r="DF88" i="16"/>
  <c r="DK88" i="16" s="1"/>
  <c r="DK89" i="16" s="1"/>
  <c r="DK90" i="16" s="1"/>
  <c r="DK91" i="16" s="1"/>
  <c r="DK92" i="16" s="1"/>
  <c r="DK93" i="16" s="1"/>
  <c r="DK94" i="16" s="1"/>
  <c r="DK95" i="16" s="1"/>
  <c r="DK96" i="16" s="1"/>
  <c r="DK97" i="16" s="1"/>
  <c r="DK98" i="16" s="1"/>
  <c r="DK99" i="16" s="1"/>
  <c r="DK100" i="16" s="1"/>
  <c r="DK101" i="16" s="1"/>
  <c r="DK102" i="16" s="1"/>
  <c r="DK103" i="16" s="1"/>
  <c r="BY64" i="14"/>
  <c r="V113" i="15"/>
  <c r="V114" i="15" s="1"/>
  <c r="V115" i="15" s="1"/>
  <c r="V116" i="15" s="1"/>
  <c r="V117" i="15" s="1"/>
  <c r="V118" i="15" s="1"/>
  <c r="V119" i="15" s="1"/>
  <c r="V120" i="15" s="1"/>
  <c r="V121" i="15" s="1"/>
  <c r="V122" i="15" s="1"/>
  <c r="V123" i="15" s="1"/>
  <c r="V124" i="15" s="1"/>
  <c r="V125" i="15" s="1"/>
  <c r="V126" i="15" s="1"/>
  <c r="V127" i="15" s="1"/>
  <c r="V128" i="15" s="1"/>
  <c r="DK113" i="16"/>
  <c r="DK114" i="16" s="1"/>
  <c r="DK115" i="16" s="1"/>
  <c r="DK116" i="16" s="1"/>
  <c r="DK117" i="16" s="1"/>
  <c r="DK118" i="16" s="1"/>
  <c r="DK119" i="16" s="1"/>
  <c r="DK120" i="16" s="1"/>
  <c r="DK121" i="16" s="1"/>
  <c r="DK122" i="16" s="1"/>
  <c r="DK123" i="16" s="1"/>
  <c r="DK124" i="16" s="1"/>
  <c r="DK125" i="16" s="1"/>
  <c r="DK126" i="16" s="1"/>
  <c r="DK127" i="16" s="1"/>
  <c r="DK128" i="16" s="1"/>
  <c r="AK113" i="15"/>
  <c r="AP113" i="15" s="1"/>
  <c r="AS113" i="15"/>
  <c r="AS114" i="15" s="1"/>
  <c r="AS115" i="15" s="1"/>
  <c r="AS116" i="15" s="1"/>
  <c r="AS117" i="15" s="1"/>
  <c r="AS118" i="15" s="1"/>
  <c r="AS119" i="15" s="1"/>
  <c r="AS120" i="15" s="1"/>
  <c r="AS121" i="15" s="1"/>
  <c r="AS122" i="15" s="1"/>
  <c r="AS123" i="15" s="1"/>
  <c r="AS124" i="15" s="1"/>
  <c r="AS125" i="15" s="1"/>
  <c r="AS126" i="15" s="1"/>
  <c r="AS127" i="15" s="1"/>
  <c r="AS128" i="15" s="1"/>
  <c r="AC162" i="15" s="1"/>
  <c r="AC163" i="15" s="1"/>
  <c r="AC165" i="15" s="1"/>
  <c r="AC167" i="15" s="1"/>
  <c r="BS88" i="14"/>
  <c r="BS89" i="14" s="1"/>
  <c r="BS90" i="14" s="1"/>
  <c r="BS91" i="14" s="1"/>
  <c r="BS92" i="14" s="1"/>
  <c r="BS93" i="14" s="1"/>
  <c r="BS94" i="14" s="1"/>
  <c r="BS95" i="14" s="1"/>
  <c r="BS96" i="14" s="1"/>
  <c r="BS97" i="14" s="1"/>
  <c r="BS98" i="14" s="1"/>
  <c r="BS99" i="14" s="1"/>
  <c r="BS100" i="14" s="1"/>
  <c r="BS101" i="14" s="1"/>
  <c r="BS102" i="14" s="1"/>
  <c r="BS103" i="14" s="1"/>
  <c r="DO113" i="14"/>
  <c r="DO114" i="14" s="1"/>
  <c r="DO115" i="14" s="1"/>
  <c r="DO116" i="14" s="1"/>
  <c r="DO117" i="14" s="1"/>
  <c r="DO118" i="14" s="1"/>
  <c r="DO119" i="14" s="1"/>
  <c r="DO120" i="14" s="1"/>
  <c r="DO121" i="14" s="1"/>
  <c r="DO122" i="14" s="1"/>
  <c r="DO123" i="14" s="1"/>
  <c r="DO124" i="14" s="1"/>
  <c r="DO125" i="14" s="1"/>
  <c r="DO126" i="14" s="1"/>
  <c r="DO127" i="14" s="1"/>
  <c r="DO128" i="14" s="1"/>
  <c r="W113" i="13"/>
  <c r="W114" i="13" s="1"/>
  <c r="W115" i="13" s="1"/>
  <c r="W116" i="13" s="1"/>
  <c r="W117" i="13" s="1"/>
  <c r="W118" i="13" s="1"/>
  <c r="W119" i="13" s="1"/>
  <c r="W120" i="13" s="1"/>
  <c r="W121" i="13" s="1"/>
  <c r="W122" i="13" s="1"/>
  <c r="W123" i="13" s="1"/>
  <c r="W124" i="13" s="1"/>
  <c r="W125" i="13" s="1"/>
  <c r="W126" i="13" s="1"/>
  <c r="W127" i="13" s="1"/>
  <c r="W128" i="13" s="1"/>
  <c r="DO88" i="13"/>
  <c r="DO89" i="13" s="1"/>
  <c r="DO90" i="13" s="1"/>
  <c r="DO91" i="13" s="1"/>
  <c r="DO92" i="13" s="1"/>
  <c r="DO93" i="13" s="1"/>
  <c r="DO94" i="13" s="1"/>
  <c r="DO95" i="13" s="1"/>
  <c r="DO96" i="13" s="1"/>
  <c r="DO97" i="13" s="1"/>
  <c r="DO98" i="13" s="1"/>
  <c r="DO99" i="13" s="1"/>
  <c r="DO100" i="13" s="1"/>
  <c r="DO101" i="13" s="1"/>
  <c r="DO102" i="13" s="1"/>
  <c r="DO103" i="13" s="1"/>
  <c r="W88" i="14"/>
  <c r="W89" i="14" s="1"/>
  <c r="W90" i="14" s="1"/>
  <c r="W91" i="14" s="1"/>
  <c r="W92" i="14" s="1"/>
  <c r="W93" i="14" s="1"/>
  <c r="W94" i="14" s="1"/>
  <c r="W95" i="14" s="1"/>
  <c r="W96" i="14" s="1"/>
  <c r="W97" i="14" s="1"/>
  <c r="W98" i="14" s="1"/>
  <c r="W99" i="14" s="1"/>
  <c r="W100" i="14" s="1"/>
  <c r="W101" i="14" s="1"/>
  <c r="W102" i="14" s="1"/>
  <c r="W103" i="14" s="1"/>
  <c r="W88" i="13"/>
  <c r="W89" i="13" s="1"/>
  <c r="W90" i="13" s="1"/>
  <c r="W91" i="13" s="1"/>
  <c r="W92" i="13" s="1"/>
  <c r="W93" i="13" s="1"/>
  <c r="W94" i="13" s="1"/>
  <c r="W95" i="13" s="1"/>
  <c r="W96" i="13" s="1"/>
  <c r="W97" i="13" s="1"/>
  <c r="W98" i="13" s="1"/>
  <c r="W99" i="13" s="1"/>
  <c r="W100" i="13" s="1"/>
  <c r="W101" i="13" s="1"/>
  <c r="W102" i="13" s="1"/>
  <c r="W103" i="13" s="1"/>
  <c r="W113" i="14"/>
  <c r="W114" i="14" s="1"/>
  <c r="W115" i="14" s="1"/>
  <c r="W116" i="14" s="1"/>
  <c r="W117" i="14" s="1"/>
  <c r="W118" i="14" s="1"/>
  <c r="W119" i="14" s="1"/>
  <c r="W120" i="14" s="1"/>
  <c r="W121" i="14" s="1"/>
  <c r="W122" i="14" s="1"/>
  <c r="W123" i="14" s="1"/>
  <c r="W124" i="14" s="1"/>
  <c r="W125" i="14" s="1"/>
  <c r="W126" i="14" s="1"/>
  <c r="W127" i="14" s="1"/>
  <c r="W128" i="14" s="1"/>
  <c r="AU88" i="13"/>
  <c r="AU89" i="13" s="1"/>
  <c r="AU90" i="13" s="1"/>
  <c r="AU91" i="13" s="1"/>
  <c r="AU92" i="13" s="1"/>
  <c r="AU93" i="13" s="1"/>
  <c r="AU94" i="13" s="1"/>
  <c r="AU95" i="13" s="1"/>
  <c r="AU96" i="13" s="1"/>
  <c r="AU97" i="13" s="1"/>
  <c r="AU98" i="13" s="1"/>
  <c r="AU99" i="13" s="1"/>
  <c r="AU100" i="13" s="1"/>
  <c r="AU101" i="13" s="1"/>
  <c r="AU102" i="13" s="1"/>
  <c r="AU103" i="13" s="1"/>
  <c r="CQ88" i="14"/>
  <c r="CQ89" i="14" s="1"/>
  <c r="CQ90" i="14" s="1"/>
  <c r="CQ91" i="14" s="1"/>
  <c r="CQ92" i="14" s="1"/>
  <c r="CQ93" i="14" s="1"/>
  <c r="CQ94" i="14" s="1"/>
  <c r="CQ95" i="14" s="1"/>
  <c r="CQ96" i="14" s="1"/>
  <c r="CQ97" i="14" s="1"/>
  <c r="CQ98" i="14" s="1"/>
  <c r="CQ99" i="14" s="1"/>
  <c r="CQ100" i="14" s="1"/>
  <c r="CQ101" i="14" s="1"/>
  <c r="CQ102" i="14" s="1"/>
  <c r="CQ103" i="14" s="1"/>
  <c r="CP88" i="13"/>
  <c r="CP89" i="13" s="1"/>
  <c r="CP90" i="13" s="1"/>
  <c r="CP91" i="13" s="1"/>
  <c r="CP92" i="13" s="1"/>
  <c r="CP93" i="13" s="1"/>
  <c r="CP94" i="13" s="1"/>
  <c r="CP95" i="13" s="1"/>
  <c r="CP96" i="13" s="1"/>
  <c r="CP97" i="13" s="1"/>
  <c r="CP98" i="13" s="1"/>
  <c r="CP99" i="13" s="1"/>
  <c r="CP100" i="13" s="1"/>
  <c r="CP101" i="13" s="1"/>
  <c r="CP102" i="13" s="1"/>
  <c r="CP103" i="13" s="1"/>
  <c r="BR88" i="13"/>
  <c r="BR89" i="13" s="1"/>
  <c r="BR90" i="13" s="1"/>
  <c r="BR91" i="13" s="1"/>
  <c r="BR92" i="13" s="1"/>
  <c r="BR93" i="13" s="1"/>
  <c r="BR94" i="13" s="1"/>
  <c r="BR95" i="13" s="1"/>
  <c r="BR96" i="13" s="1"/>
  <c r="BR97" i="13" s="1"/>
  <c r="BR98" i="13" s="1"/>
  <c r="BR99" i="13" s="1"/>
  <c r="BR100" i="13" s="1"/>
  <c r="BR101" i="13" s="1"/>
  <c r="BR102" i="13" s="1"/>
  <c r="BR103" i="13" s="1"/>
  <c r="W113" i="15"/>
  <c r="W114" i="15" s="1"/>
  <c r="W115" i="15" s="1"/>
  <c r="W116" i="15" s="1"/>
  <c r="W117" i="15" s="1"/>
  <c r="W118" i="15" s="1"/>
  <c r="W119" i="15" s="1"/>
  <c r="W120" i="15" s="1"/>
  <c r="W121" i="15" s="1"/>
  <c r="W122" i="15" s="1"/>
  <c r="W123" i="15" s="1"/>
  <c r="W124" i="15" s="1"/>
  <c r="W125" i="15" s="1"/>
  <c r="W126" i="15" s="1"/>
  <c r="W127" i="15" s="1"/>
  <c r="W128" i="15" s="1"/>
  <c r="V88" i="16"/>
  <c r="V89" i="16" s="1"/>
  <c r="V90" i="16" s="1"/>
  <c r="V91" i="16" s="1"/>
  <c r="V92" i="16" s="1"/>
  <c r="V93" i="16" s="1"/>
  <c r="V94" i="16" s="1"/>
  <c r="V95" i="16" s="1"/>
  <c r="V96" i="16" s="1"/>
  <c r="V97" i="16" s="1"/>
  <c r="V98" i="16" s="1"/>
  <c r="V99" i="16" s="1"/>
  <c r="V100" i="16" s="1"/>
  <c r="V101" i="16" s="1"/>
  <c r="V102" i="16" s="1"/>
  <c r="V103" i="16" s="1"/>
  <c r="DO88" i="15"/>
  <c r="DO89" i="15" s="1"/>
  <c r="DO90" i="15" s="1"/>
  <c r="DO91" i="15" s="1"/>
  <c r="DO92" i="15" s="1"/>
  <c r="DO93" i="15" s="1"/>
  <c r="DO94" i="15" s="1"/>
  <c r="DO95" i="15" s="1"/>
  <c r="DO96" i="15" s="1"/>
  <c r="DO97" i="15" s="1"/>
  <c r="DO98" i="15" s="1"/>
  <c r="DO99" i="15" s="1"/>
  <c r="DO100" i="15" s="1"/>
  <c r="DO101" i="15" s="1"/>
  <c r="DO102" i="15" s="1"/>
  <c r="DO103" i="15" s="1"/>
  <c r="DN113" i="14"/>
  <c r="DN114" i="14" s="1"/>
  <c r="DN115" i="14" s="1"/>
  <c r="DN116" i="14" s="1"/>
  <c r="DN117" i="14" s="1"/>
  <c r="DN118" i="14" s="1"/>
  <c r="DN119" i="14" s="1"/>
  <c r="DN120" i="14" s="1"/>
  <c r="DN121" i="14" s="1"/>
  <c r="DN122" i="14" s="1"/>
  <c r="DN123" i="14" s="1"/>
  <c r="DN124" i="14" s="1"/>
  <c r="DN125" i="14" s="1"/>
  <c r="DN126" i="14" s="1"/>
  <c r="DN127" i="14" s="1"/>
  <c r="DN128" i="14" s="1"/>
  <c r="BR113" i="15"/>
  <c r="BR114" i="15" s="1"/>
  <c r="BR115" i="15" s="1"/>
  <c r="BR116" i="15" s="1"/>
  <c r="BR117" i="15" s="1"/>
  <c r="BR118" i="15" s="1"/>
  <c r="BR119" i="15" s="1"/>
  <c r="BR120" i="15" s="1"/>
  <c r="BR121" i="15" s="1"/>
  <c r="BR122" i="15" s="1"/>
  <c r="BR123" i="15" s="1"/>
  <c r="BR124" i="15" s="1"/>
  <c r="BR125" i="15" s="1"/>
  <c r="BR126" i="15" s="1"/>
  <c r="BR127" i="15" s="1"/>
  <c r="BR128" i="15" s="1"/>
  <c r="V113" i="14"/>
  <c r="V114" i="14" s="1"/>
  <c r="V115" i="14" s="1"/>
  <c r="V116" i="14" s="1"/>
  <c r="V117" i="14" s="1"/>
  <c r="V118" i="14" s="1"/>
  <c r="V119" i="14" s="1"/>
  <c r="V120" i="14" s="1"/>
  <c r="V121" i="14" s="1"/>
  <c r="V122" i="14" s="1"/>
  <c r="V123" i="14" s="1"/>
  <c r="V124" i="14" s="1"/>
  <c r="V125" i="14" s="1"/>
  <c r="V126" i="14" s="1"/>
  <c r="V127" i="14" s="1"/>
  <c r="V128" i="14" s="1"/>
  <c r="DN113" i="13"/>
  <c r="DN114" i="13" s="1"/>
  <c r="DN115" i="13" s="1"/>
  <c r="DN116" i="13" s="1"/>
  <c r="DN117" i="13" s="1"/>
  <c r="DN118" i="13" s="1"/>
  <c r="DN119" i="13" s="1"/>
  <c r="DN120" i="13" s="1"/>
  <c r="DN121" i="13" s="1"/>
  <c r="DN122" i="13" s="1"/>
  <c r="DN123" i="13" s="1"/>
  <c r="DN124" i="13" s="1"/>
  <c r="DN125" i="13" s="1"/>
  <c r="DN126" i="13" s="1"/>
  <c r="DN127" i="13" s="1"/>
  <c r="DN128" i="13" s="1"/>
  <c r="BR88" i="14"/>
  <c r="BR89" i="14" s="1"/>
  <c r="BR90" i="14" s="1"/>
  <c r="BR91" i="14" s="1"/>
  <c r="BR92" i="14" s="1"/>
  <c r="BR93" i="14" s="1"/>
  <c r="BR94" i="14" s="1"/>
  <c r="BR95" i="14" s="1"/>
  <c r="BR96" i="14" s="1"/>
  <c r="BR97" i="14" s="1"/>
  <c r="BR98" i="14" s="1"/>
  <c r="BR99" i="14" s="1"/>
  <c r="BR100" i="14" s="1"/>
  <c r="BR101" i="14" s="1"/>
  <c r="BR102" i="14" s="1"/>
  <c r="BR103" i="14" s="1"/>
  <c r="DN88" i="15"/>
  <c r="DN89" i="15" s="1"/>
  <c r="DN90" i="15" s="1"/>
  <c r="DN91" i="15" s="1"/>
  <c r="DN92" i="15" s="1"/>
  <c r="DN93" i="15" s="1"/>
  <c r="DN94" i="15" s="1"/>
  <c r="DN95" i="15" s="1"/>
  <c r="DN96" i="15" s="1"/>
  <c r="DN97" i="15" s="1"/>
  <c r="DN98" i="15" s="1"/>
  <c r="DN99" i="15" s="1"/>
  <c r="DN100" i="15" s="1"/>
  <c r="DN101" i="15" s="1"/>
  <c r="DN102" i="15" s="1"/>
  <c r="DN103" i="15" s="1"/>
  <c r="CN113" i="16"/>
  <c r="CN114" i="16" s="1"/>
  <c r="CN115" i="16" s="1"/>
  <c r="CN116" i="16" s="1"/>
  <c r="CN117" i="16" s="1"/>
  <c r="CN118" i="16" s="1"/>
  <c r="CN119" i="16" s="1"/>
  <c r="CN120" i="16" s="1"/>
  <c r="CN121" i="16" s="1"/>
  <c r="CN122" i="16" s="1"/>
  <c r="CN123" i="16" s="1"/>
  <c r="CN124" i="16" s="1"/>
  <c r="CN125" i="16" s="1"/>
  <c r="CN126" i="16" s="1"/>
  <c r="CN127" i="16" s="1"/>
  <c r="CN128" i="16" s="1"/>
  <c r="CG113" i="15"/>
  <c r="CL113" i="15" s="1"/>
  <c r="CO113" i="15"/>
  <c r="CO114" i="15" s="1"/>
  <c r="CO115" i="15" s="1"/>
  <c r="CO116" i="15" s="1"/>
  <c r="CO117" i="15" s="1"/>
  <c r="CO118" i="15" s="1"/>
  <c r="CO119" i="15" s="1"/>
  <c r="CO120" i="15" s="1"/>
  <c r="CO121" i="15" s="1"/>
  <c r="CO122" i="15" s="1"/>
  <c r="CO123" i="15" s="1"/>
  <c r="CO124" i="15" s="1"/>
  <c r="CO125" i="15" s="1"/>
  <c r="CO126" i="15" s="1"/>
  <c r="CO127" i="15" s="1"/>
  <c r="CO128" i="15" s="1"/>
  <c r="AE162" i="15" s="1"/>
  <c r="AE163" i="15" s="1"/>
  <c r="AE165" i="15" s="1"/>
  <c r="AE167" i="15" s="1"/>
  <c r="BS113" i="13"/>
  <c r="BS114" i="13" s="1"/>
  <c r="BS115" i="13" s="1"/>
  <c r="BS116" i="13" s="1"/>
  <c r="BS117" i="13" s="1"/>
  <c r="BS118" i="13" s="1"/>
  <c r="BS119" i="13" s="1"/>
  <c r="BS120" i="13" s="1"/>
  <c r="BS121" i="13" s="1"/>
  <c r="BS122" i="13" s="1"/>
  <c r="BS123" i="13" s="1"/>
  <c r="BS124" i="13" s="1"/>
  <c r="BS125" i="13" s="1"/>
  <c r="BS126" i="13" s="1"/>
  <c r="BS127" i="13" s="1"/>
  <c r="BS128" i="13" s="1"/>
  <c r="BR113" i="13"/>
  <c r="BR114" i="13" s="1"/>
  <c r="BR115" i="13" s="1"/>
  <c r="BR116" i="13" s="1"/>
  <c r="BR117" i="13" s="1"/>
  <c r="BR118" i="13" s="1"/>
  <c r="BR119" i="13" s="1"/>
  <c r="BR120" i="13" s="1"/>
  <c r="BR121" i="13" s="1"/>
  <c r="BR122" i="13" s="1"/>
  <c r="BR123" i="13" s="1"/>
  <c r="BR124" i="13" s="1"/>
  <c r="BR125" i="13" s="1"/>
  <c r="BR126" i="13" s="1"/>
  <c r="BR127" i="13" s="1"/>
  <c r="BR128" i="13" s="1"/>
  <c r="V88" i="15"/>
  <c r="V89" i="15" s="1"/>
  <c r="V90" i="15" s="1"/>
  <c r="V91" i="15" s="1"/>
  <c r="V92" i="15" s="1"/>
  <c r="V93" i="15" s="1"/>
  <c r="V94" i="15" s="1"/>
  <c r="V95" i="15" s="1"/>
  <c r="V96" i="15" s="1"/>
  <c r="V97" i="15" s="1"/>
  <c r="V98" i="15" s="1"/>
  <c r="V99" i="15" s="1"/>
  <c r="V100" i="15" s="1"/>
  <c r="V101" i="15" s="1"/>
  <c r="V102" i="15" s="1"/>
  <c r="V103" i="15" s="1"/>
  <c r="DN88" i="13"/>
  <c r="DN89" i="13" s="1"/>
  <c r="DN90" i="13" s="1"/>
  <c r="DN91" i="13" s="1"/>
  <c r="DN92" i="13" s="1"/>
  <c r="DN93" i="13" s="1"/>
  <c r="DN94" i="13" s="1"/>
  <c r="DN95" i="13" s="1"/>
  <c r="DN96" i="13" s="1"/>
  <c r="DN97" i="13" s="1"/>
  <c r="DN98" i="13" s="1"/>
  <c r="DN99" i="13" s="1"/>
  <c r="DN100" i="13" s="1"/>
  <c r="DN101" i="13" s="1"/>
  <c r="DN102" i="13" s="1"/>
  <c r="DN103" i="13" s="1"/>
  <c r="AU113" i="13"/>
  <c r="AU114" i="13" s="1"/>
  <c r="AU115" i="13" s="1"/>
  <c r="AU116" i="13" s="1"/>
  <c r="AU117" i="13" s="1"/>
  <c r="AU118" i="13" s="1"/>
  <c r="AU119" i="13" s="1"/>
  <c r="AU120" i="13" s="1"/>
  <c r="AU121" i="13" s="1"/>
  <c r="AU122" i="13" s="1"/>
  <c r="AU123" i="13" s="1"/>
  <c r="AU124" i="13" s="1"/>
  <c r="AU125" i="13" s="1"/>
  <c r="AU126" i="13" s="1"/>
  <c r="AU127" i="13" s="1"/>
  <c r="AU128" i="13" s="1"/>
  <c r="AJ113" i="15"/>
  <c r="AO113" i="15" s="1"/>
  <c r="DN113" i="15"/>
  <c r="DN114" i="15" s="1"/>
  <c r="DN115" i="15" s="1"/>
  <c r="DN116" i="15" s="1"/>
  <c r="DN117" i="15" s="1"/>
  <c r="DN118" i="15" s="1"/>
  <c r="DN119" i="15" s="1"/>
  <c r="DN120" i="15" s="1"/>
  <c r="DN121" i="15" s="1"/>
  <c r="DN122" i="15" s="1"/>
  <c r="DN123" i="15" s="1"/>
  <c r="DN124" i="15" s="1"/>
  <c r="DN125" i="15" s="1"/>
  <c r="DN126" i="15" s="1"/>
  <c r="DN127" i="15" s="1"/>
  <c r="DN128" i="15" s="1"/>
  <c r="BR88" i="15"/>
  <c r="BR89" i="15" s="1"/>
  <c r="BR90" i="15" s="1"/>
  <c r="BR91" i="15" s="1"/>
  <c r="BR92" i="15" s="1"/>
  <c r="BR93" i="15" s="1"/>
  <c r="BR94" i="15" s="1"/>
  <c r="BR95" i="15" s="1"/>
  <c r="BR96" i="15" s="1"/>
  <c r="BR97" i="15" s="1"/>
  <c r="BR98" i="15" s="1"/>
  <c r="BR99" i="15" s="1"/>
  <c r="BR100" i="15" s="1"/>
  <c r="BR101" i="15" s="1"/>
  <c r="BR102" i="15" s="1"/>
  <c r="BR103" i="15" s="1"/>
  <c r="AT88" i="14"/>
  <c r="AT89" i="14" s="1"/>
  <c r="AT90" i="14" s="1"/>
  <c r="AT91" i="14" s="1"/>
  <c r="AT92" i="14" s="1"/>
  <c r="AT93" i="14" s="1"/>
  <c r="AT94" i="14" s="1"/>
  <c r="AT95" i="14" s="1"/>
  <c r="AT96" i="14" s="1"/>
  <c r="AT97" i="14" s="1"/>
  <c r="AT98" i="14" s="1"/>
  <c r="AT99" i="14" s="1"/>
  <c r="AT100" i="14" s="1"/>
  <c r="AT101" i="14" s="1"/>
  <c r="AT102" i="14" s="1"/>
  <c r="AT103" i="14" s="1"/>
  <c r="CQ113" i="14"/>
  <c r="CQ114" i="14" s="1"/>
  <c r="CQ115" i="14" s="1"/>
  <c r="CQ116" i="14" s="1"/>
  <c r="CQ117" i="14" s="1"/>
  <c r="CQ118" i="14" s="1"/>
  <c r="CQ119" i="14" s="1"/>
  <c r="CQ120" i="14" s="1"/>
  <c r="CQ121" i="14" s="1"/>
  <c r="CQ122" i="14" s="1"/>
  <c r="CQ123" i="14" s="1"/>
  <c r="CQ124" i="14" s="1"/>
  <c r="CQ125" i="14" s="1"/>
  <c r="CQ126" i="14" s="1"/>
  <c r="CQ127" i="14" s="1"/>
  <c r="CQ128" i="14" s="1"/>
  <c r="V113" i="16"/>
  <c r="V114" i="16" s="1"/>
  <c r="V115" i="16" s="1"/>
  <c r="V116" i="16" s="1"/>
  <c r="V117" i="16" s="1"/>
  <c r="V118" i="16" s="1"/>
  <c r="V119" i="16" s="1"/>
  <c r="V120" i="16" s="1"/>
  <c r="V121" i="16" s="1"/>
  <c r="V122" i="16" s="1"/>
  <c r="V123" i="16" s="1"/>
  <c r="V124" i="16" s="1"/>
  <c r="V125" i="16" s="1"/>
  <c r="V126" i="16" s="1"/>
  <c r="V127" i="16" s="1"/>
  <c r="V128" i="16" s="1"/>
  <c r="AT113" i="13"/>
  <c r="AT114" i="13" s="1"/>
  <c r="AT115" i="13" s="1"/>
  <c r="AT116" i="13" s="1"/>
  <c r="AT117" i="13" s="1"/>
  <c r="AT118" i="13" s="1"/>
  <c r="AT119" i="13" s="1"/>
  <c r="AT120" i="13" s="1"/>
  <c r="AT121" i="13" s="1"/>
  <c r="AT122" i="13" s="1"/>
  <c r="AT123" i="13" s="1"/>
  <c r="AT124" i="13" s="1"/>
  <c r="AT125" i="13" s="1"/>
  <c r="AT126" i="13" s="1"/>
  <c r="AT127" i="13" s="1"/>
  <c r="AT128" i="13" s="1"/>
  <c r="CP113" i="14"/>
  <c r="CP114" i="14" s="1"/>
  <c r="CP115" i="14" s="1"/>
  <c r="CP116" i="14" s="1"/>
  <c r="CP117" i="14" s="1"/>
  <c r="CP118" i="14" s="1"/>
  <c r="CP119" i="14" s="1"/>
  <c r="CP120" i="14" s="1"/>
  <c r="CP121" i="14" s="1"/>
  <c r="CP122" i="14" s="1"/>
  <c r="CP123" i="14" s="1"/>
  <c r="CP124" i="14" s="1"/>
  <c r="CP125" i="14" s="1"/>
  <c r="CP126" i="14" s="1"/>
  <c r="CP127" i="14" s="1"/>
  <c r="CP128" i="14" s="1"/>
  <c r="DE113" i="15"/>
  <c r="DJ113" i="15" s="1"/>
  <c r="DM113" i="15"/>
  <c r="DM114" i="15" s="1"/>
  <c r="DM115" i="15" s="1"/>
  <c r="DM116" i="15" s="1"/>
  <c r="DM117" i="15" s="1"/>
  <c r="DM118" i="15" s="1"/>
  <c r="DM119" i="15" s="1"/>
  <c r="DM120" i="15" s="1"/>
  <c r="DM121" i="15" s="1"/>
  <c r="DM122" i="15" s="1"/>
  <c r="DM123" i="15" s="1"/>
  <c r="DM124" i="15" s="1"/>
  <c r="DM125" i="15" s="1"/>
  <c r="DM126" i="15" s="1"/>
  <c r="DM127" i="15" s="1"/>
  <c r="DM128" i="15" s="1"/>
  <c r="AF162" i="15" s="1"/>
  <c r="AF163" i="15" s="1"/>
  <c r="AF165" i="15" s="1"/>
  <c r="AF167" i="15" s="1"/>
  <c r="BS113" i="14"/>
  <c r="BS114" i="14" s="1"/>
  <c r="BS115" i="14" s="1"/>
  <c r="BS116" i="14" s="1"/>
  <c r="BS117" i="14" s="1"/>
  <c r="BS118" i="14" s="1"/>
  <c r="BS119" i="14" s="1"/>
  <c r="BS120" i="14" s="1"/>
  <c r="BS121" i="14" s="1"/>
  <c r="BS122" i="14" s="1"/>
  <c r="BS123" i="14" s="1"/>
  <c r="BS124" i="14" s="1"/>
  <c r="BS125" i="14" s="1"/>
  <c r="BS126" i="14" s="1"/>
  <c r="BS127" i="14" s="1"/>
  <c r="BS128" i="14" s="1"/>
  <c r="AU113" i="14"/>
  <c r="AU114" i="14" s="1"/>
  <c r="AU115" i="14" s="1"/>
  <c r="AU116" i="14" s="1"/>
  <c r="AU117" i="14" s="1"/>
  <c r="AU118" i="14" s="1"/>
  <c r="AU119" i="14" s="1"/>
  <c r="AU120" i="14" s="1"/>
  <c r="AU121" i="14" s="1"/>
  <c r="AU122" i="14" s="1"/>
  <c r="AU123" i="14" s="1"/>
  <c r="AU124" i="14" s="1"/>
  <c r="AU125" i="14" s="1"/>
  <c r="AU126" i="14" s="1"/>
  <c r="AU127" i="14" s="1"/>
  <c r="AU128" i="14" s="1"/>
  <c r="BS88" i="15"/>
  <c r="BS89" i="15" s="1"/>
  <c r="BS90" i="15" s="1"/>
  <c r="BS91" i="15" s="1"/>
  <c r="BS92" i="15" s="1"/>
  <c r="BS93" i="15" s="1"/>
  <c r="BS94" i="15" s="1"/>
  <c r="BS95" i="15" s="1"/>
  <c r="BS96" i="15" s="1"/>
  <c r="BS97" i="15" s="1"/>
  <c r="BS98" i="15" s="1"/>
  <c r="BS99" i="15" s="1"/>
  <c r="BS100" i="15" s="1"/>
  <c r="BS101" i="15" s="1"/>
  <c r="BS102" i="15" s="1"/>
  <c r="BS103" i="15" s="1"/>
  <c r="CQ88" i="13"/>
  <c r="CQ89" i="13" s="1"/>
  <c r="CQ90" i="13" s="1"/>
  <c r="CQ91" i="13" s="1"/>
  <c r="CQ92" i="13" s="1"/>
  <c r="CQ93" i="13" s="1"/>
  <c r="CQ94" i="13" s="1"/>
  <c r="CQ95" i="13" s="1"/>
  <c r="CQ96" i="13" s="1"/>
  <c r="CQ97" i="13" s="1"/>
  <c r="CQ98" i="13" s="1"/>
  <c r="CQ99" i="13" s="1"/>
  <c r="CQ100" i="13" s="1"/>
  <c r="CQ101" i="13" s="1"/>
  <c r="CQ102" i="13" s="1"/>
  <c r="CQ103" i="13" s="1"/>
  <c r="BS88" i="13"/>
  <c r="BS89" i="13" s="1"/>
  <c r="BS90" i="13" s="1"/>
  <c r="BS91" i="13" s="1"/>
  <c r="BS92" i="13" s="1"/>
  <c r="BS93" i="13" s="1"/>
  <c r="BS94" i="13" s="1"/>
  <c r="BS95" i="13" s="1"/>
  <c r="BS96" i="13" s="1"/>
  <c r="BS97" i="13" s="1"/>
  <c r="BS98" i="13" s="1"/>
  <c r="BS99" i="13" s="1"/>
  <c r="BS100" i="13" s="1"/>
  <c r="BS101" i="13" s="1"/>
  <c r="BS102" i="13" s="1"/>
  <c r="BS103" i="13" s="1"/>
  <c r="CQ113" i="13"/>
  <c r="CQ114" i="13" s="1"/>
  <c r="CQ115" i="13" s="1"/>
  <c r="CQ116" i="13" s="1"/>
  <c r="CQ117" i="13" s="1"/>
  <c r="CQ118" i="13" s="1"/>
  <c r="CQ119" i="13" s="1"/>
  <c r="CQ120" i="13" s="1"/>
  <c r="CQ121" i="13" s="1"/>
  <c r="CQ122" i="13" s="1"/>
  <c r="CQ123" i="13" s="1"/>
  <c r="CQ124" i="13" s="1"/>
  <c r="CQ125" i="13" s="1"/>
  <c r="CQ126" i="13" s="1"/>
  <c r="CQ127" i="13" s="1"/>
  <c r="CQ128" i="13" s="1"/>
  <c r="DO113" i="13"/>
  <c r="DO114" i="13" s="1"/>
  <c r="DO115" i="13" s="1"/>
  <c r="DO116" i="13" s="1"/>
  <c r="DO117" i="13" s="1"/>
  <c r="DO118" i="13" s="1"/>
  <c r="DO119" i="13" s="1"/>
  <c r="DO120" i="13" s="1"/>
  <c r="DO121" i="13" s="1"/>
  <c r="DO122" i="13" s="1"/>
  <c r="DO123" i="13" s="1"/>
  <c r="DO124" i="13" s="1"/>
  <c r="DO125" i="13" s="1"/>
  <c r="DO126" i="13" s="1"/>
  <c r="DO127" i="13" s="1"/>
  <c r="DO128" i="13" s="1"/>
  <c r="W88" i="16"/>
  <c r="W89" i="16" s="1"/>
  <c r="W90" i="16" s="1"/>
  <c r="W91" i="16" s="1"/>
  <c r="W92" i="16" s="1"/>
  <c r="W93" i="16" s="1"/>
  <c r="W94" i="16" s="1"/>
  <c r="W95" i="16" s="1"/>
  <c r="W96" i="16" s="1"/>
  <c r="W97" i="16" s="1"/>
  <c r="W98" i="16" s="1"/>
  <c r="W99" i="16" s="1"/>
  <c r="W100" i="16" s="1"/>
  <c r="W101" i="16" s="1"/>
  <c r="W102" i="16" s="1"/>
  <c r="W103" i="16" s="1"/>
  <c r="CP113" i="15"/>
  <c r="CP114" i="15" s="1"/>
  <c r="CP115" i="15" s="1"/>
  <c r="CP116" i="15" s="1"/>
  <c r="CP117" i="15" s="1"/>
  <c r="CP118" i="15" s="1"/>
  <c r="CP119" i="15" s="1"/>
  <c r="CP120" i="15" s="1"/>
  <c r="CP121" i="15" s="1"/>
  <c r="CP122" i="15" s="1"/>
  <c r="CP123" i="15" s="1"/>
  <c r="CP124" i="15" s="1"/>
  <c r="CP125" i="15" s="1"/>
  <c r="CP126" i="15" s="1"/>
  <c r="CP127" i="15" s="1"/>
  <c r="CP128" i="15" s="1"/>
  <c r="V88" i="14"/>
  <c r="V89" i="14" s="1"/>
  <c r="V90" i="14" s="1"/>
  <c r="V91" i="14" s="1"/>
  <c r="V92" i="14" s="1"/>
  <c r="V93" i="14" s="1"/>
  <c r="V94" i="14" s="1"/>
  <c r="V95" i="14" s="1"/>
  <c r="V96" i="14" s="1"/>
  <c r="V97" i="14" s="1"/>
  <c r="V98" i="14" s="1"/>
  <c r="V99" i="14" s="1"/>
  <c r="V100" i="14" s="1"/>
  <c r="V101" i="14" s="1"/>
  <c r="V102" i="14" s="1"/>
  <c r="V103" i="14" s="1"/>
  <c r="V88" i="13"/>
  <c r="V89" i="13" s="1"/>
  <c r="V90" i="13" s="1"/>
  <c r="V91" i="13" s="1"/>
  <c r="V92" i="13" s="1"/>
  <c r="V93" i="13" s="1"/>
  <c r="V94" i="13" s="1"/>
  <c r="V95" i="13" s="1"/>
  <c r="V96" i="13" s="1"/>
  <c r="V97" i="13" s="1"/>
  <c r="V98" i="13" s="1"/>
  <c r="V99" i="13" s="1"/>
  <c r="V100" i="13" s="1"/>
  <c r="V101" i="13" s="1"/>
  <c r="V102" i="13" s="1"/>
  <c r="V103" i="13" s="1"/>
  <c r="AT88" i="13"/>
  <c r="AT89" i="13" s="1"/>
  <c r="AT90" i="13" s="1"/>
  <c r="AT91" i="13" s="1"/>
  <c r="AT92" i="13" s="1"/>
  <c r="AT93" i="13" s="1"/>
  <c r="AT94" i="13" s="1"/>
  <c r="AT95" i="13" s="1"/>
  <c r="AT96" i="13" s="1"/>
  <c r="AT97" i="13" s="1"/>
  <c r="AT98" i="13" s="1"/>
  <c r="AT99" i="13" s="1"/>
  <c r="AT100" i="13" s="1"/>
  <c r="AT101" i="13" s="1"/>
  <c r="AT102" i="13" s="1"/>
  <c r="AT103" i="13" s="1"/>
  <c r="CP88" i="14"/>
  <c r="CP89" i="14" s="1"/>
  <c r="CP90" i="14" s="1"/>
  <c r="CP91" i="14" s="1"/>
  <c r="CP92" i="14" s="1"/>
  <c r="CP93" i="14" s="1"/>
  <c r="CP94" i="14" s="1"/>
  <c r="CP95" i="14" s="1"/>
  <c r="CP96" i="14" s="1"/>
  <c r="CP97" i="14" s="1"/>
  <c r="CP98" i="14" s="1"/>
  <c r="CP99" i="14" s="1"/>
  <c r="CP100" i="14" s="1"/>
  <c r="CP101" i="14" s="1"/>
  <c r="CP102" i="14" s="1"/>
  <c r="CP103" i="14" s="1"/>
  <c r="BR113" i="14"/>
  <c r="BR114" i="14" s="1"/>
  <c r="BR115" i="14" s="1"/>
  <c r="BR116" i="14" s="1"/>
  <c r="BR117" i="14" s="1"/>
  <c r="BR118" i="14" s="1"/>
  <c r="BR119" i="14" s="1"/>
  <c r="BR120" i="14" s="1"/>
  <c r="BR121" i="14" s="1"/>
  <c r="BR122" i="14" s="1"/>
  <c r="BR123" i="14" s="1"/>
  <c r="BR124" i="14" s="1"/>
  <c r="BR125" i="14" s="1"/>
  <c r="BR126" i="14" s="1"/>
  <c r="BR127" i="14" s="1"/>
  <c r="BR128" i="14" s="1"/>
  <c r="AT113" i="14"/>
  <c r="AT114" i="14" s="1"/>
  <c r="AT115" i="14" s="1"/>
  <c r="AT116" i="14" s="1"/>
  <c r="AT117" i="14" s="1"/>
  <c r="AT118" i="14" s="1"/>
  <c r="AT119" i="14" s="1"/>
  <c r="AT120" i="14" s="1"/>
  <c r="AT121" i="14" s="1"/>
  <c r="AT122" i="14" s="1"/>
  <c r="AT123" i="14" s="1"/>
  <c r="AT124" i="14" s="1"/>
  <c r="AT125" i="14" s="1"/>
  <c r="AT126" i="14" s="1"/>
  <c r="AT127" i="14" s="1"/>
  <c r="AT128" i="14" s="1"/>
  <c r="V113" i="13"/>
  <c r="V114" i="13" s="1"/>
  <c r="V115" i="13" s="1"/>
  <c r="V116" i="13" s="1"/>
  <c r="V117" i="13" s="1"/>
  <c r="V118" i="13" s="1"/>
  <c r="V119" i="13" s="1"/>
  <c r="V120" i="13" s="1"/>
  <c r="V121" i="13" s="1"/>
  <c r="V122" i="13" s="1"/>
  <c r="V123" i="13" s="1"/>
  <c r="V124" i="13" s="1"/>
  <c r="V125" i="13" s="1"/>
  <c r="V126" i="13" s="1"/>
  <c r="V127" i="13" s="1"/>
  <c r="V128" i="13" s="1"/>
  <c r="W113" i="16"/>
  <c r="W114" i="16" s="1"/>
  <c r="W115" i="16" s="1"/>
  <c r="W116" i="16" s="1"/>
  <c r="W117" i="16" s="1"/>
  <c r="W118" i="16" s="1"/>
  <c r="W119" i="16" s="1"/>
  <c r="W120" i="16" s="1"/>
  <c r="W121" i="16" s="1"/>
  <c r="W122" i="16" s="1"/>
  <c r="W123" i="16" s="1"/>
  <c r="W124" i="16" s="1"/>
  <c r="W125" i="16" s="1"/>
  <c r="W126" i="16" s="1"/>
  <c r="W127" i="16" s="1"/>
  <c r="W128" i="16" s="1"/>
  <c r="CP113" i="13"/>
  <c r="CP114" i="13" s="1"/>
  <c r="CP115" i="13" s="1"/>
  <c r="CP116" i="13" s="1"/>
  <c r="CP117" i="13" s="1"/>
  <c r="CP118" i="13" s="1"/>
  <c r="CP119" i="13" s="1"/>
  <c r="CP120" i="13" s="1"/>
  <c r="CP121" i="13" s="1"/>
  <c r="CP122" i="13" s="1"/>
  <c r="CP123" i="13" s="1"/>
  <c r="CP124" i="13" s="1"/>
  <c r="CP125" i="13" s="1"/>
  <c r="CP126" i="13" s="1"/>
  <c r="CP127" i="13" s="1"/>
  <c r="CP128" i="13" s="1"/>
  <c r="DO88" i="14"/>
  <c r="DO89" i="14" s="1"/>
  <c r="DO90" i="14" s="1"/>
  <c r="DO91" i="14" s="1"/>
  <c r="DO92" i="14" s="1"/>
  <c r="DO93" i="14" s="1"/>
  <c r="DO94" i="14" s="1"/>
  <c r="DO95" i="14" s="1"/>
  <c r="DO96" i="14" s="1"/>
  <c r="DO97" i="14" s="1"/>
  <c r="DO98" i="14" s="1"/>
  <c r="DO99" i="14" s="1"/>
  <c r="DO100" i="14" s="1"/>
  <c r="DO101" i="14" s="1"/>
  <c r="DO102" i="14" s="1"/>
  <c r="DO103" i="14" s="1"/>
  <c r="DN88" i="14"/>
  <c r="DN89" i="14" s="1"/>
  <c r="DN90" i="14" s="1"/>
  <c r="DN91" i="14" s="1"/>
  <c r="DN92" i="14" s="1"/>
  <c r="DN93" i="14" s="1"/>
  <c r="DN94" i="14" s="1"/>
  <c r="DN95" i="14" s="1"/>
  <c r="DN96" i="14" s="1"/>
  <c r="DN97" i="14" s="1"/>
  <c r="DN98" i="14" s="1"/>
  <c r="DN99" i="14" s="1"/>
  <c r="DN100" i="14" s="1"/>
  <c r="DN101" i="14" s="1"/>
  <c r="DN102" i="14" s="1"/>
  <c r="DN103" i="14" s="1"/>
  <c r="AT113" i="16"/>
  <c r="AT114" i="16" s="1"/>
  <c r="AT115" i="16" s="1"/>
  <c r="AT116" i="16" s="1"/>
  <c r="AT117" i="16" s="1"/>
  <c r="AT118" i="16" s="1"/>
  <c r="AT119" i="16" s="1"/>
  <c r="AT120" i="16" s="1"/>
  <c r="AT121" i="16" s="1"/>
  <c r="AT122" i="16" s="1"/>
  <c r="AT123" i="16" s="1"/>
  <c r="AT124" i="16" s="1"/>
  <c r="AT125" i="16" s="1"/>
  <c r="AT126" i="16" s="1"/>
  <c r="AT127" i="16" s="1"/>
  <c r="AT128" i="16" s="1"/>
  <c r="BI113" i="15"/>
  <c r="BN113" i="15" s="1"/>
  <c r="BQ113" i="15"/>
  <c r="BQ114" i="15" s="1"/>
  <c r="BQ115" i="15" s="1"/>
  <c r="BQ116" i="15" s="1"/>
  <c r="BQ117" i="15" s="1"/>
  <c r="BQ118" i="15" s="1"/>
  <c r="BQ119" i="15" s="1"/>
  <c r="BQ120" i="15" s="1"/>
  <c r="BQ121" i="15" s="1"/>
  <c r="BQ122" i="15" s="1"/>
  <c r="BQ123" i="15" s="1"/>
  <c r="BQ124" i="15" s="1"/>
  <c r="BQ125" i="15" s="1"/>
  <c r="BQ126" i="15" s="1"/>
  <c r="BQ127" i="15" s="1"/>
  <c r="BQ128" i="15" s="1"/>
  <c r="AD162" i="15" s="1"/>
  <c r="AD163" i="15" s="1"/>
  <c r="AD165" i="15" s="1"/>
  <c r="AD167" i="15" s="1"/>
  <c r="W88" i="15"/>
  <c r="W89" i="15" s="1"/>
  <c r="W90" i="15" s="1"/>
  <c r="W91" i="15" s="1"/>
  <c r="W92" i="15" s="1"/>
  <c r="W93" i="15" s="1"/>
  <c r="W94" i="15" s="1"/>
  <c r="W95" i="15" s="1"/>
  <c r="W96" i="15" s="1"/>
  <c r="W97" i="15" s="1"/>
  <c r="W98" i="15" s="1"/>
  <c r="W99" i="15" s="1"/>
  <c r="W100" i="15" s="1"/>
  <c r="W101" i="15" s="1"/>
  <c r="W102" i="15" s="1"/>
  <c r="W103" i="15" s="1"/>
  <c r="AU88" i="14"/>
  <c r="AU89" i="14" s="1"/>
  <c r="AU90" i="14" s="1"/>
  <c r="AU91" i="14" s="1"/>
  <c r="AU92" i="14" s="1"/>
  <c r="AU93" i="14" s="1"/>
  <c r="AU94" i="14" s="1"/>
  <c r="AU95" i="14" s="1"/>
  <c r="AU96" i="14" s="1"/>
  <c r="AU97" i="14" s="1"/>
  <c r="AU98" i="14" s="1"/>
  <c r="AU99" i="14" s="1"/>
  <c r="AU100" i="14" s="1"/>
  <c r="AU101" i="14" s="1"/>
  <c r="AU102" i="14" s="1"/>
  <c r="AU103" i="14" s="1"/>
  <c r="BQ128" i="14"/>
  <c r="AD162" i="14" s="1"/>
  <c r="AF66" i="10"/>
  <c r="AF67" i="10" s="1"/>
  <c r="AF68" i="10" s="1"/>
  <c r="AF69" i="10" s="1"/>
  <c r="AF70" i="10" s="1"/>
  <c r="AF71" i="10" s="1"/>
  <c r="AF72" i="10" s="1"/>
  <c r="AF73" i="10" s="1"/>
  <c r="AF74" i="10" s="1"/>
  <c r="AF75" i="10" s="1"/>
  <c r="AF76" i="10" s="1"/>
  <c r="AF77" i="10" s="1"/>
  <c r="AF78" i="10" s="1"/>
  <c r="AF79" i="10" s="1"/>
  <c r="AF80" i="10" s="1"/>
  <c r="X71" i="2"/>
  <c r="T29" i="8" s="1"/>
  <c r="T27" i="8" s="1"/>
  <c r="BY64" i="15"/>
  <c r="BY65" i="15" s="1"/>
  <c r="BY66" i="15" s="1"/>
  <c r="BY67" i="15" s="1"/>
  <c r="BY68" i="15" s="1"/>
  <c r="BY69" i="15" s="1"/>
  <c r="BY70" i="15" s="1"/>
  <c r="BY71" i="15" s="1"/>
  <c r="BY72" i="15" s="1"/>
  <c r="BY73" i="15" s="1"/>
  <c r="BY74" i="15" s="1"/>
  <c r="BY75" i="15" s="1"/>
  <c r="BY76" i="15" s="1"/>
  <c r="BY77" i="15" s="1"/>
  <c r="BY78" i="15" s="1"/>
  <c r="BY64" i="13"/>
  <c r="BY65" i="13" s="1"/>
  <c r="BY66" i="13" s="1"/>
  <c r="BY67" i="13" s="1"/>
  <c r="BY68" i="13" s="1"/>
  <c r="BY69" i="13" s="1"/>
  <c r="BY70" i="13" s="1"/>
  <c r="BY71" i="13" s="1"/>
  <c r="BY72" i="13" s="1"/>
  <c r="BY73" i="13" s="1"/>
  <c r="BY74" i="13" s="1"/>
  <c r="BY75" i="13" s="1"/>
  <c r="BY76" i="13" s="1"/>
  <c r="BY77" i="13" s="1"/>
  <c r="BY78" i="13" s="1"/>
  <c r="AB164" i="14"/>
  <c r="AB166" i="14" s="1"/>
  <c r="AB168" i="14" s="1"/>
  <c r="X164" i="13"/>
  <c r="X166" i="13" s="1"/>
  <c r="X168" i="13" s="1"/>
  <c r="CM113" i="16"/>
  <c r="CM114" i="16" s="1"/>
  <c r="CM115" i="16" s="1"/>
  <c r="CM116" i="16" s="1"/>
  <c r="CM117" i="16" s="1"/>
  <c r="CM118" i="16" s="1"/>
  <c r="CM119" i="16" s="1"/>
  <c r="CM120" i="16" s="1"/>
  <c r="CM121" i="16" s="1"/>
  <c r="CM122" i="16" s="1"/>
  <c r="CM123" i="16" s="1"/>
  <c r="CM124" i="16" s="1"/>
  <c r="CM125" i="16" s="1"/>
  <c r="CM126" i="16" s="1"/>
  <c r="CM127" i="16" s="1"/>
  <c r="CM128" i="16" s="1"/>
  <c r="BP113" i="16"/>
  <c r="BP114" i="16" s="1"/>
  <c r="BP115" i="16" s="1"/>
  <c r="BP116" i="16" s="1"/>
  <c r="BP117" i="16" s="1"/>
  <c r="BP118" i="16" s="1"/>
  <c r="BP119" i="16" s="1"/>
  <c r="BP120" i="16" s="1"/>
  <c r="BP121" i="16" s="1"/>
  <c r="BP122" i="16" s="1"/>
  <c r="BP123" i="16" s="1"/>
  <c r="BP124" i="16" s="1"/>
  <c r="BP125" i="16" s="1"/>
  <c r="BP126" i="16" s="1"/>
  <c r="BP127" i="16" s="1"/>
  <c r="BP128" i="16" s="1"/>
  <c r="AD164" i="13"/>
  <c r="E18" i="12" s="1"/>
  <c r="Z164" i="14"/>
  <c r="H24" i="12" s="1"/>
  <c r="M7" i="23"/>
  <c r="O7" i="23" s="1"/>
  <c r="O8" i="23" s="1"/>
  <c r="O9" i="23" s="1"/>
  <c r="O10" i="23" s="1"/>
  <c r="O11" i="23" s="1"/>
  <c r="O12" i="23" s="1"/>
  <c r="O13" i="23" s="1"/>
  <c r="O14" i="23" s="1"/>
  <c r="O15" i="23" s="1"/>
  <c r="O16" i="23" s="1"/>
  <c r="O17" i="23" s="1"/>
  <c r="O18" i="23" s="1"/>
  <c r="O19" i="23" s="1"/>
  <c r="O20" i="23" s="1"/>
  <c r="O21" i="23" s="1"/>
  <c r="O22" i="23" s="1"/>
  <c r="C29" i="23" s="1"/>
  <c r="N7" i="23"/>
  <c r="P7" i="23" s="1"/>
  <c r="P8" i="23" s="1"/>
  <c r="P9" i="23" s="1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C30" i="23" s="1"/>
  <c r="AS113" i="16"/>
  <c r="AS114" i="16" s="1"/>
  <c r="AS115" i="16" s="1"/>
  <c r="AS116" i="16" s="1"/>
  <c r="AS117" i="16" s="1"/>
  <c r="AS118" i="16" s="1"/>
  <c r="AS119" i="16" s="1"/>
  <c r="AS120" i="16" s="1"/>
  <c r="AS121" i="16" s="1"/>
  <c r="AS122" i="16" s="1"/>
  <c r="AS123" i="16" s="1"/>
  <c r="AS124" i="16" s="1"/>
  <c r="AS125" i="16" s="1"/>
  <c r="AS126" i="16" s="1"/>
  <c r="AS127" i="16" s="1"/>
  <c r="AS128" i="16" s="1"/>
  <c r="DJ113" i="16"/>
  <c r="DJ114" i="16" s="1"/>
  <c r="DJ115" i="16" s="1"/>
  <c r="DJ116" i="16" s="1"/>
  <c r="DJ117" i="16" s="1"/>
  <c r="DJ118" i="16" s="1"/>
  <c r="DJ119" i="16" s="1"/>
  <c r="DJ120" i="16" s="1"/>
  <c r="DJ121" i="16" s="1"/>
  <c r="DJ122" i="16" s="1"/>
  <c r="DJ123" i="16" s="1"/>
  <c r="DJ124" i="16" s="1"/>
  <c r="DJ125" i="16" s="1"/>
  <c r="DJ126" i="16" s="1"/>
  <c r="DJ127" i="16" s="1"/>
  <c r="DJ128" i="16" s="1"/>
  <c r="Y65" i="10"/>
  <c r="AD65" i="10" s="1"/>
  <c r="AF164" i="14"/>
  <c r="D25" i="12" s="1"/>
  <c r="Y164" i="15"/>
  <c r="Y166" i="15" s="1"/>
  <c r="Y168" i="15" s="1"/>
  <c r="BQ113" i="16"/>
  <c r="BQ114" i="16" s="1"/>
  <c r="BQ115" i="16" s="1"/>
  <c r="BQ116" i="16" s="1"/>
  <c r="BQ117" i="16" s="1"/>
  <c r="BQ118" i="16" s="1"/>
  <c r="BQ119" i="16" s="1"/>
  <c r="BQ120" i="16" s="1"/>
  <c r="BQ121" i="16" s="1"/>
  <c r="BQ122" i="16" s="1"/>
  <c r="BQ123" i="16" s="1"/>
  <c r="BQ124" i="16" s="1"/>
  <c r="BQ125" i="16" s="1"/>
  <c r="BQ126" i="16" s="1"/>
  <c r="BQ127" i="16" s="1"/>
  <c r="BQ128" i="16" s="1"/>
  <c r="V64" i="15"/>
  <c r="V65" i="15" s="1"/>
  <c r="V66" i="15" s="1"/>
  <c r="V67" i="15" s="1"/>
  <c r="V68" i="15" s="1"/>
  <c r="V69" i="15" s="1"/>
  <c r="V70" i="15" s="1"/>
  <c r="V71" i="15" s="1"/>
  <c r="V72" i="15" s="1"/>
  <c r="V73" i="15" s="1"/>
  <c r="V74" i="15" s="1"/>
  <c r="V75" i="15" s="1"/>
  <c r="V76" i="15" s="1"/>
  <c r="V77" i="15" s="1"/>
  <c r="V78" i="15" s="1"/>
  <c r="R161" i="15" s="1"/>
  <c r="R164" i="15" s="1"/>
  <c r="V64" i="14"/>
  <c r="V65" i="14" s="1"/>
  <c r="V66" i="14" s="1"/>
  <c r="V67" i="14" s="1"/>
  <c r="V68" i="14" s="1"/>
  <c r="V69" i="14" s="1"/>
  <c r="V70" i="14" s="1"/>
  <c r="V71" i="14" s="1"/>
  <c r="V72" i="14" s="1"/>
  <c r="V73" i="14" s="1"/>
  <c r="V74" i="14" s="1"/>
  <c r="V75" i="14" s="1"/>
  <c r="V76" i="14" s="1"/>
  <c r="V77" i="14" s="1"/>
  <c r="V78" i="14" s="1"/>
  <c r="R161" i="14" s="1"/>
  <c r="R164" i="14" s="1"/>
  <c r="AV64" i="15"/>
  <c r="AV65" i="15" s="1"/>
  <c r="AV66" i="15" s="1"/>
  <c r="AV67" i="15" s="1"/>
  <c r="AV68" i="15" s="1"/>
  <c r="AV69" i="15" s="1"/>
  <c r="AV70" i="15" s="1"/>
  <c r="AV71" i="15" s="1"/>
  <c r="AV72" i="15" s="1"/>
  <c r="AV73" i="15" s="1"/>
  <c r="AV74" i="15" s="1"/>
  <c r="AV75" i="15" s="1"/>
  <c r="AV76" i="15" s="1"/>
  <c r="AV77" i="15" s="1"/>
  <c r="AV78" i="15" s="1"/>
  <c r="S161" i="15" s="1"/>
  <c r="S164" i="15" s="1"/>
  <c r="Z163" i="16"/>
  <c r="Z164" i="16"/>
  <c r="H38" i="12" s="1"/>
  <c r="AC164" i="15"/>
  <c r="W164" i="15"/>
  <c r="W164" i="16"/>
  <c r="F38" i="12" s="1"/>
  <c r="AA164" i="14"/>
  <c r="AA164" i="13"/>
  <c r="AF164" i="13"/>
  <c r="CY64" i="15"/>
  <c r="CY65" i="15" s="1"/>
  <c r="CY66" i="15" s="1"/>
  <c r="CY67" i="15" s="1"/>
  <c r="CY68" i="15" s="1"/>
  <c r="CY69" i="15" s="1"/>
  <c r="CY70" i="15" s="1"/>
  <c r="CY71" i="15" s="1"/>
  <c r="CY72" i="15" s="1"/>
  <c r="CY73" i="15" s="1"/>
  <c r="CY74" i="15" s="1"/>
  <c r="CY75" i="15" s="1"/>
  <c r="CY76" i="15" s="1"/>
  <c r="CY77" i="15" s="1"/>
  <c r="CY78" i="15" s="1"/>
  <c r="Y64" i="15"/>
  <c r="Y65" i="15" s="1"/>
  <c r="Y66" i="15" s="1"/>
  <c r="Y67" i="15" s="1"/>
  <c r="Y68" i="15" s="1"/>
  <c r="Y69" i="15" s="1"/>
  <c r="Y70" i="15" s="1"/>
  <c r="Y71" i="15" s="1"/>
  <c r="Y72" i="15" s="1"/>
  <c r="Y73" i="15" s="1"/>
  <c r="Y74" i="15" s="1"/>
  <c r="Y75" i="15" s="1"/>
  <c r="Y76" i="15" s="1"/>
  <c r="Y77" i="15" s="1"/>
  <c r="Y78" i="15" s="1"/>
  <c r="CY64" i="14"/>
  <c r="CY65" i="14" s="1"/>
  <c r="CY66" i="14" s="1"/>
  <c r="CY67" i="14" s="1"/>
  <c r="CY68" i="14" s="1"/>
  <c r="CY69" i="14" s="1"/>
  <c r="CY70" i="14" s="1"/>
  <c r="CY71" i="14" s="1"/>
  <c r="CY72" i="14" s="1"/>
  <c r="CY73" i="14" s="1"/>
  <c r="CY74" i="14" s="1"/>
  <c r="CY75" i="14" s="1"/>
  <c r="CY76" i="14" s="1"/>
  <c r="CY77" i="14" s="1"/>
  <c r="CY78" i="14" s="1"/>
  <c r="X164" i="14"/>
  <c r="W164" i="14"/>
  <c r="AE164" i="16"/>
  <c r="H39" i="12" s="1"/>
  <c r="AD164" i="16"/>
  <c r="E39" i="12" s="1"/>
  <c r="AB164" i="15"/>
  <c r="Z164" i="13"/>
  <c r="W164" i="13"/>
  <c r="AC164" i="14"/>
  <c r="AA164" i="15"/>
  <c r="AC164" i="13"/>
  <c r="AA164" i="16"/>
  <c r="D38" i="12" s="1"/>
  <c r="AF164" i="16"/>
  <c r="D39" i="12" s="1"/>
  <c r="AD164" i="15"/>
  <c r="Y164" i="13"/>
  <c r="Y163" i="13"/>
  <c r="Y165" i="13" s="1"/>
  <c r="Y167" i="13" s="1"/>
  <c r="CV64" i="15"/>
  <c r="CV65" i="15" s="1"/>
  <c r="CV66" i="15" s="1"/>
  <c r="CV67" i="15" s="1"/>
  <c r="CV68" i="15" s="1"/>
  <c r="CV69" i="15" s="1"/>
  <c r="CV70" i="15" s="1"/>
  <c r="CV71" i="15" s="1"/>
  <c r="CV72" i="15" s="1"/>
  <c r="CV73" i="15" s="1"/>
  <c r="CV74" i="15" s="1"/>
  <c r="CV75" i="15" s="1"/>
  <c r="CV76" i="15" s="1"/>
  <c r="CV77" i="15" s="1"/>
  <c r="CV78" i="15" s="1"/>
  <c r="U161" i="15" s="1"/>
  <c r="U164" i="15" s="1"/>
  <c r="AY64" i="15"/>
  <c r="AY65" i="15" s="1"/>
  <c r="AY66" i="15" s="1"/>
  <c r="AY67" i="15" s="1"/>
  <c r="AY68" i="15" s="1"/>
  <c r="AY69" i="15" s="1"/>
  <c r="AY70" i="15" s="1"/>
  <c r="AY71" i="15" s="1"/>
  <c r="AY72" i="15" s="1"/>
  <c r="AY73" i="15" s="1"/>
  <c r="AY74" i="15" s="1"/>
  <c r="AY75" i="15" s="1"/>
  <c r="AY76" i="15" s="1"/>
  <c r="AY77" i="15" s="1"/>
  <c r="AY78" i="15" s="1"/>
  <c r="Y164" i="14"/>
  <c r="AC164" i="16"/>
  <c r="G39" i="12" s="1"/>
  <c r="AB164" i="16"/>
  <c r="F39" i="12" s="1"/>
  <c r="X164" i="16"/>
  <c r="G38" i="12" s="1"/>
  <c r="Y164" i="16"/>
  <c r="E38" i="12" s="1"/>
  <c r="AE164" i="13"/>
  <c r="AE164" i="14"/>
  <c r="AB164" i="13"/>
  <c r="DV64" i="16"/>
  <c r="DV65" i="16" s="1"/>
  <c r="DV66" i="16" s="1"/>
  <c r="DV67" i="16" s="1"/>
  <c r="DV68" i="16" s="1"/>
  <c r="DV69" i="16" s="1"/>
  <c r="DV70" i="16" s="1"/>
  <c r="DV71" i="16" s="1"/>
  <c r="DV72" i="16" s="1"/>
  <c r="DV73" i="16" s="1"/>
  <c r="DV74" i="16" s="1"/>
  <c r="DV75" i="16" s="1"/>
  <c r="DV76" i="16" s="1"/>
  <c r="DV77" i="16" s="1"/>
  <c r="DV78" i="16" s="1"/>
  <c r="V161" i="16" s="1"/>
  <c r="V164" i="16" s="1"/>
  <c r="D43" i="12" s="1"/>
  <c r="AV64" i="14"/>
  <c r="AV65" i="14" s="1"/>
  <c r="AV66" i="14" s="1"/>
  <c r="AV67" i="14" s="1"/>
  <c r="AV68" i="14" s="1"/>
  <c r="AV69" i="14" s="1"/>
  <c r="AV70" i="14" s="1"/>
  <c r="AV71" i="14" s="1"/>
  <c r="AV72" i="14" s="1"/>
  <c r="AV73" i="14" s="1"/>
  <c r="AV74" i="14" s="1"/>
  <c r="AV75" i="14" s="1"/>
  <c r="AV76" i="14" s="1"/>
  <c r="AV77" i="14" s="1"/>
  <c r="AV78" i="14" s="1"/>
  <c r="S161" i="14" s="1"/>
  <c r="S164" i="14" s="1"/>
  <c r="BY65" i="14"/>
  <c r="BY66" i="14" s="1"/>
  <c r="BY67" i="14" s="1"/>
  <c r="BY68" i="14" s="1"/>
  <c r="BY69" i="14" s="1"/>
  <c r="BY70" i="14" s="1"/>
  <c r="BY71" i="14" s="1"/>
  <c r="BY72" i="14" s="1"/>
  <c r="BY73" i="14" s="1"/>
  <c r="BY74" i="14" s="1"/>
  <c r="BY75" i="14" s="1"/>
  <c r="BY76" i="14" s="1"/>
  <c r="BY77" i="14" s="1"/>
  <c r="BY78" i="14" s="1"/>
  <c r="AG65" i="10"/>
  <c r="AG66" i="10" s="1"/>
  <c r="AG67" i="10" s="1"/>
  <c r="AG68" i="10" s="1"/>
  <c r="AG69" i="10" s="1"/>
  <c r="AG70" i="10" s="1"/>
  <c r="AG71" i="10" s="1"/>
  <c r="AG72" i="10" s="1"/>
  <c r="AG73" i="10" s="1"/>
  <c r="AG74" i="10" s="1"/>
  <c r="AG75" i="10" s="1"/>
  <c r="AG76" i="10" s="1"/>
  <c r="AG77" i="10" s="1"/>
  <c r="AG78" i="10" s="1"/>
  <c r="AG79" i="10" s="1"/>
  <c r="AG80" i="10" s="1"/>
  <c r="X65" i="10"/>
  <c r="AC65" i="10" s="1"/>
  <c r="CV64" i="16"/>
  <c r="CV65" i="16" s="1"/>
  <c r="CV66" i="16" s="1"/>
  <c r="CV67" i="16" s="1"/>
  <c r="CV68" i="16" s="1"/>
  <c r="CV69" i="16" s="1"/>
  <c r="CV70" i="16" s="1"/>
  <c r="CV71" i="16" s="1"/>
  <c r="CV72" i="16" s="1"/>
  <c r="CV73" i="16" s="1"/>
  <c r="CV74" i="16" s="1"/>
  <c r="CV75" i="16" s="1"/>
  <c r="CV76" i="16" s="1"/>
  <c r="CV77" i="16" s="1"/>
  <c r="CV78" i="16" s="1"/>
  <c r="U161" i="16" s="1"/>
  <c r="U164" i="16" s="1"/>
  <c r="H43" i="12" s="1"/>
  <c r="CV64" i="14"/>
  <c r="CV65" i="14" s="1"/>
  <c r="CV66" i="14" s="1"/>
  <c r="CV67" i="14" s="1"/>
  <c r="CV68" i="14" s="1"/>
  <c r="CV69" i="14" s="1"/>
  <c r="CV70" i="14" s="1"/>
  <c r="CV71" i="14" s="1"/>
  <c r="CV72" i="14" s="1"/>
  <c r="CV73" i="14" s="1"/>
  <c r="CV74" i="14" s="1"/>
  <c r="CV75" i="14" s="1"/>
  <c r="CV76" i="14" s="1"/>
  <c r="CV77" i="14" s="1"/>
  <c r="CV78" i="14" s="1"/>
  <c r="U161" i="14" s="1"/>
  <c r="U164" i="14" s="1"/>
  <c r="DY64" i="16"/>
  <c r="DY65" i="16" s="1"/>
  <c r="DY66" i="16" s="1"/>
  <c r="DY67" i="16" s="1"/>
  <c r="DY68" i="16" s="1"/>
  <c r="DY69" i="16" s="1"/>
  <c r="DY70" i="16" s="1"/>
  <c r="DY71" i="16" s="1"/>
  <c r="DY72" i="16" s="1"/>
  <c r="DY73" i="16" s="1"/>
  <c r="DY74" i="16" s="1"/>
  <c r="DY75" i="16" s="1"/>
  <c r="DY76" i="16" s="1"/>
  <c r="DY77" i="16" s="1"/>
  <c r="DY78" i="16" s="1"/>
  <c r="AS88" i="16"/>
  <c r="AS89" i="16" s="1"/>
  <c r="AS90" i="16" s="1"/>
  <c r="AS91" i="16" s="1"/>
  <c r="AS92" i="16" s="1"/>
  <c r="AS93" i="16" s="1"/>
  <c r="AS94" i="16" s="1"/>
  <c r="AS95" i="16" s="1"/>
  <c r="AS96" i="16" s="1"/>
  <c r="AS97" i="16" s="1"/>
  <c r="AS98" i="16" s="1"/>
  <c r="AS99" i="16" s="1"/>
  <c r="AS100" i="16" s="1"/>
  <c r="AS101" i="16" s="1"/>
  <c r="AS102" i="16" s="1"/>
  <c r="AS103" i="16" s="1"/>
  <c r="BV64" i="13"/>
  <c r="BV65" i="13" s="1"/>
  <c r="BV66" i="13" s="1"/>
  <c r="BV67" i="13" s="1"/>
  <c r="BV68" i="13" s="1"/>
  <c r="BV69" i="13" s="1"/>
  <c r="BV70" i="13" s="1"/>
  <c r="BV71" i="13" s="1"/>
  <c r="BV72" i="13" s="1"/>
  <c r="BV73" i="13" s="1"/>
  <c r="BV74" i="13" s="1"/>
  <c r="BV75" i="13" s="1"/>
  <c r="BV76" i="13" s="1"/>
  <c r="BV77" i="13" s="1"/>
  <c r="BV78" i="13" s="1"/>
  <c r="T161" i="13" s="1"/>
  <c r="T164" i="13" s="1"/>
  <c r="BY64" i="16"/>
  <c r="BY65" i="16" s="1"/>
  <c r="BY66" i="16" s="1"/>
  <c r="BY67" i="16" s="1"/>
  <c r="BY68" i="16" s="1"/>
  <c r="BY69" i="16" s="1"/>
  <c r="BY70" i="16" s="1"/>
  <c r="BY71" i="16" s="1"/>
  <c r="BY72" i="16" s="1"/>
  <c r="BY73" i="16" s="1"/>
  <c r="BY74" i="16" s="1"/>
  <c r="BY75" i="16" s="1"/>
  <c r="BY76" i="16" s="1"/>
  <c r="BY77" i="16" s="1"/>
  <c r="BY78" i="16" s="1"/>
  <c r="CO88" i="15"/>
  <c r="CO89" i="15" s="1"/>
  <c r="CO90" i="15" s="1"/>
  <c r="CO91" i="15" s="1"/>
  <c r="CO92" i="15" s="1"/>
  <c r="CO93" i="15" s="1"/>
  <c r="CO94" i="15" s="1"/>
  <c r="CO95" i="15" s="1"/>
  <c r="CO96" i="15" s="1"/>
  <c r="CO97" i="15" s="1"/>
  <c r="CO98" i="15" s="1"/>
  <c r="CO99" i="15" s="1"/>
  <c r="CO100" i="15" s="1"/>
  <c r="CO101" i="15" s="1"/>
  <c r="CO102" i="15" s="1"/>
  <c r="CO103" i="15" s="1"/>
  <c r="Z162" i="15" s="1"/>
  <c r="CF88" i="15"/>
  <c r="CK88" i="15" s="1"/>
  <c r="CG88" i="15"/>
  <c r="CL88" i="15" s="1"/>
  <c r="CM88" i="16"/>
  <c r="CM89" i="16" s="1"/>
  <c r="CM90" i="16" s="1"/>
  <c r="CM91" i="16" s="1"/>
  <c r="CM92" i="16" s="1"/>
  <c r="CM93" i="16" s="1"/>
  <c r="CM94" i="16" s="1"/>
  <c r="CM95" i="16" s="1"/>
  <c r="CM96" i="16" s="1"/>
  <c r="CM97" i="16" s="1"/>
  <c r="CM98" i="16" s="1"/>
  <c r="CM99" i="16" s="1"/>
  <c r="CM100" i="16" s="1"/>
  <c r="CM101" i="16" s="1"/>
  <c r="CM102" i="16" s="1"/>
  <c r="CM103" i="16" s="1"/>
  <c r="BV64" i="15"/>
  <c r="BV65" i="15" s="1"/>
  <c r="BV66" i="15" s="1"/>
  <c r="BV67" i="15" s="1"/>
  <c r="BV68" i="15" s="1"/>
  <c r="BV69" i="15" s="1"/>
  <c r="BV70" i="15" s="1"/>
  <c r="BV71" i="15" s="1"/>
  <c r="BV72" i="15" s="1"/>
  <c r="BV73" i="15" s="1"/>
  <c r="BV74" i="15" s="1"/>
  <c r="BV75" i="15" s="1"/>
  <c r="BV76" i="15" s="1"/>
  <c r="BV77" i="15" s="1"/>
  <c r="BV78" i="15" s="1"/>
  <c r="T161" i="15" s="1"/>
  <c r="T164" i="15" s="1"/>
  <c r="CY64" i="16"/>
  <c r="CY65" i="16" s="1"/>
  <c r="CY66" i="16" s="1"/>
  <c r="CY67" i="16" s="1"/>
  <c r="CY68" i="16" s="1"/>
  <c r="CY69" i="16" s="1"/>
  <c r="CY70" i="16" s="1"/>
  <c r="CY71" i="16" s="1"/>
  <c r="CY72" i="16" s="1"/>
  <c r="CY73" i="16" s="1"/>
  <c r="CY74" i="16" s="1"/>
  <c r="CY75" i="16" s="1"/>
  <c r="CY76" i="16" s="1"/>
  <c r="CY77" i="16" s="1"/>
  <c r="CY78" i="16" s="1"/>
  <c r="BV64" i="14"/>
  <c r="BV65" i="14" s="1"/>
  <c r="BV66" i="14" s="1"/>
  <c r="BV67" i="14" s="1"/>
  <c r="BV68" i="14" s="1"/>
  <c r="BV69" i="14" s="1"/>
  <c r="BV70" i="14" s="1"/>
  <c r="BV71" i="14" s="1"/>
  <c r="BV72" i="14" s="1"/>
  <c r="BV73" i="14" s="1"/>
  <c r="BV74" i="14" s="1"/>
  <c r="BV75" i="14" s="1"/>
  <c r="BV76" i="14" s="1"/>
  <c r="BV77" i="14" s="1"/>
  <c r="BV78" i="14" s="1"/>
  <c r="T161" i="14" s="1"/>
  <c r="T164" i="14" s="1"/>
  <c r="AJ88" i="15"/>
  <c r="AO88" i="15" s="1"/>
  <c r="AK88" i="15"/>
  <c r="AP88" i="15" s="1"/>
  <c r="AY64" i="16"/>
  <c r="AY65" i="16" s="1"/>
  <c r="AY66" i="16" s="1"/>
  <c r="AY67" i="16" s="1"/>
  <c r="AY68" i="16" s="1"/>
  <c r="AY69" i="16" s="1"/>
  <c r="AY70" i="16" s="1"/>
  <c r="AY71" i="16" s="1"/>
  <c r="AY72" i="16" s="1"/>
  <c r="AY73" i="16" s="1"/>
  <c r="AY74" i="16" s="1"/>
  <c r="AY75" i="16" s="1"/>
  <c r="AY76" i="16" s="1"/>
  <c r="AY77" i="16" s="1"/>
  <c r="AY78" i="16" s="1"/>
  <c r="DY64" i="14"/>
  <c r="DY65" i="14" s="1"/>
  <c r="DY66" i="14" s="1"/>
  <c r="DY67" i="14" s="1"/>
  <c r="DY68" i="14" s="1"/>
  <c r="DY69" i="14" s="1"/>
  <c r="DY70" i="14" s="1"/>
  <c r="DY71" i="14" s="1"/>
  <c r="DY72" i="14" s="1"/>
  <c r="DY73" i="14" s="1"/>
  <c r="DY74" i="14" s="1"/>
  <c r="DY75" i="14" s="1"/>
  <c r="DY76" i="14" s="1"/>
  <c r="DY77" i="14" s="1"/>
  <c r="DY78" i="14" s="1"/>
  <c r="DY64" i="15"/>
  <c r="DY65" i="15" s="1"/>
  <c r="DY66" i="15" s="1"/>
  <c r="DY67" i="15" s="1"/>
  <c r="DY68" i="15" s="1"/>
  <c r="DY69" i="15" s="1"/>
  <c r="DY70" i="15" s="1"/>
  <c r="DY71" i="15" s="1"/>
  <c r="DY72" i="15" s="1"/>
  <c r="DY73" i="15" s="1"/>
  <c r="DY74" i="15" s="1"/>
  <c r="DY75" i="15" s="1"/>
  <c r="DY76" i="15" s="1"/>
  <c r="DY77" i="15" s="1"/>
  <c r="DY78" i="15" s="1"/>
  <c r="AY64" i="14"/>
  <c r="AY65" i="14" s="1"/>
  <c r="AY66" i="14" s="1"/>
  <c r="AY67" i="14" s="1"/>
  <c r="AY68" i="14" s="1"/>
  <c r="AY69" i="14" s="1"/>
  <c r="AY70" i="14" s="1"/>
  <c r="AY71" i="14" s="1"/>
  <c r="AY72" i="14" s="1"/>
  <c r="AY73" i="14" s="1"/>
  <c r="AY74" i="14" s="1"/>
  <c r="AY75" i="14" s="1"/>
  <c r="AY76" i="14" s="1"/>
  <c r="AY77" i="14" s="1"/>
  <c r="AY78" i="14" s="1"/>
  <c r="V64" i="16"/>
  <c r="V65" i="16" s="1"/>
  <c r="V66" i="16" s="1"/>
  <c r="V67" i="16" s="1"/>
  <c r="V68" i="16" s="1"/>
  <c r="V69" i="16" s="1"/>
  <c r="V70" i="16" s="1"/>
  <c r="V71" i="16" s="1"/>
  <c r="V72" i="16" s="1"/>
  <c r="V73" i="16" s="1"/>
  <c r="V74" i="16" s="1"/>
  <c r="V75" i="16" s="1"/>
  <c r="V76" i="16" s="1"/>
  <c r="V77" i="16" s="1"/>
  <c r="V78" i="16" s="1"/>
  <c r="R161" i="16" s="1"/>
  <c r="R164" i="16" s="1"/>
  <c r="F43" i="12" s="1"/>
  <c r="BN13" i="16"/>
  <c r="BN14" i="16" s="1"/>
  <c r="BN15" i="16" s="1"/>
  <c r="BN16" i="16" s="1"/>
  <c r="BN17" i="16" s="1"/>
  <c r="BN18" i="16" s="1"/>
  <c r="BN19" i="16" s="1"/>
  <c r="BN20" i="16" s="1"/>
  <c r="BN21" i="16" s="1"/>
  <c r="BN22" i="16" s="1"/>
  <c r="BN23" i="16" s="1"/>
  <c r="BN24" i="16" s="1"/>
  <c r="BN25" i="16" s="1"/>
  <c r="BN26" i="16" s="1"/>
  <c r="BN27" i="16" s="1"/>
  <c r="J161" i="16" s="1"/>
  <c r="BQ88" i="16"/>
  <c r="BQ89" i="16" s="1"/>
  <c r="BQ90" i="16" s="1"/>
  <c r="BQ91" i="16" s="1"/>
  <c r="BQ92" i="16" s="1"/>
  <c r="BQ93" i="16" s="1"/>
  <c r="BQ94" i="16" s="1"/>
  <c r="BQ95" i="16" s="1"/>
  <c r="BQ96" i="16" s="1"/>
  <c r="BQ97" i="16" s="1"/>
  <c r="BQ98" i="16" s="1"/>
  <c r="BQ99" i="16" s="1"/>
  <c r="BQ100" i="16" s="1"/>
  <c r="BQ101" i="16" s="1"/>
  <c r="BQ102" i="16" s="1"/>
  <c r="BQ103" i="16" s="1"/>
  <c r="BV64" i="16"/>
  <c r="BV65" i="16" s="1"/>
  <c r="BV66" i="16" s="1"/>
  <c r="BV67" i="16" s="1"/>
  <c r="BV68" i="16" s="1"/>
  <c r="BV69" i="16" s="1"/>
  <c r="BV70" i="16" s="1"/>
  <c r="BV71" i="16" s="1"/>
  <c r="BV72" i="16" s="1"/>
  <c r="BV73" i="16" s="1"/>
  <c r="BV74" i="16" s="1"/>
  <c r="BV75" i="16" s="1"/>
  <c r="BV76" i="16" s="1"/>
  <c r="BV77" i="16" s="1"/>
  <c r="BV78" i="16" s="1"/>
  <c r="T161" i="16" s="1"/>
  <c r="T164" i="16" s="1"/>
  <c r="E43" i="12" s="1"/>
  <c r="Y64" i="16"/>
  <c r="Y65" i="16" s="1"/>
  <c r="Y66" i="16" s="1"/>
  <c r="Y67" i="16" s="1"/>
  <c r="Y68" i="16" s="1"/>
  <c r="Y69" i="16" s="1"/>
  <c r="Y70" i="16" s="1"/>
  <c r="Y71" i="16" s="1"/>
  <c r="Y72" i="16" s="1"/>
  <c r="Y73" i="16" s="1"/>
  <c r="Y74" i="16" s="1"/>
  <c r="Y75" i="16" s="1"/>
  <c r="Y76" i="16" s="1"/>
  <c r="Y77" i="16" s="1"/>
  <c r="Y78" i="16" s="1"/>
  <c r="DJ88" i="16"/>
  <c r="DJ89" i="16" s="1"/>
  <c r="DJ90" i="16" s="1"/>
  <c r="DJ91" i="16" s="1"/>
  <c r="DJ92" i="16" s="1"/>
  <c r="DJ93" i="16" s="1"/>
  <c r="DJ94" i="16" s="1"/>
  <c r="DJ95" i="16" s="1"/>
  <c r="DJ96" i="16" s="1"/>
  <c r="DJ97" i="16" s="1"/>
  <c r="DJ98" i="16" s="1"/>
  <c r="DJ99" i="16" s="1"/>
  <c r="DJ100" i="16" s="1"/>
  <c r="DJ101" i="16" s="1"/>
  <c r="DJ102" i="16" s="1"/>
  <c r="DJ103" i="16" s="1"/>
  <c r="Y64" i="14"/>
  <c r="Y65" i="14" s="1"/>
  <c r="Y66" i="14" s="1"/>
  <c r="Y67" i="14" s="1"/>
  <c r="Y68" i="14" s="1"/>
  <c r="Y69" i="14" s="1"/>
  <c r="Y70" i="14" s="1"/>
  <c r="Y71" i="14" s="1"/>
  <c r="Y72" i="14" s="1"/>
  <c r="Y73" i="14" s="1"/>
  <c r="Y74" i="14" s="1"/>
  <c r="Y75" i="14" s="1"/>
  <c r="Y76" i="14" s="1"/>
  <c r="Y77" i="14" s="1"/>
  <c r="Y78" i="14" s="1"/>
  <c r="BP88" i="16"/>
  <c r="BP89" i="16" s="1"/>
  <c r="BP90" i="16" s="1"/>
  <c r="BP91" i="16" s="1"/>
  <c r="BP92" i="16" s="1"/>
  <c r="BP93" i="16" s="1"/>
  <c r="BP94" i="16" s="1"/>
  <c r="BP95" i="16" s="1"/>
  <c r="BP96" i="16" s="1"/>
  <c r="BP97" i="16" s="1"/>
  <c r="BP98" i="16" s="1"/>
  <c r="BP99" i="16" s="1"/>
  <c r="BP100" i="16" s="1"/>
  <c r="BP101" i="16" s="1"/>
  <c r="BP102" i="16" s="1"/>
  <c r="BP103" i="16" s="1"/>
  <c r="AS88" i="15"/>
  <c r="AS89" i="15" s="1"/>
  <c r="AS90" i="15" s="1"/>
  <c r="AS91" i="15" s="1"/>
  <c r="AS92" i="15" s="1"/>
  <c r="AS93" i="15" s="1"/>
  <c r="AS94" i="15" s="1"/>
  <c r="AS95" i="15" s="1"/>
  <c r="AS96" i="15" s="1"/>
  <c r="AS97" i="15" s="1"/>
  <c r="AS98" i="15" s="1"/>
  <c r="AS99" i="15" s="1"/>
  <c r="AS100" i="15" s="1"/>
  <c r="AS101" i="15" s="1"/>
  <c r="AS102" i="15" s="1"/>
  <c r="AS103" i="15" s="1"/>
  <c r="X162" i="15" s="1"/>
  <c r="AV64" i="16"/>
  <c r="AV65" i="16" s="1"/>
  <c r="AV66" i="16" s="1"/>
  <c r="AV67" i="16" s="1"/>
  <c r="AV68" i="16" s="1"/>
  <c r="AV69" i="16" s="1"/>
  <c r="AV70" i="16" s="1"/>
  <c r="AV71" i="16" s="1"/>
  <c r="AV72" i="16" s="1"/>
  <c r="AV73" i="16" s="1"/>
  <c r="AV74" i="16" s="1"/>
  <c r="AV75" i="16" s="1"/>
  <c r="AV76" i="16" s="1"/>
  <c r="AV77" i="16" s="1"/>
  <c r="AV78" i="16" s="1"/>
  <c r="S161" i="16" s="1"/>
  <c r="S164" i="16" s="1"/>
  <c r="G43" i="12" s="1"/>
  <c r="DV64" i="14"/>
  <c r="DV65" i="14" s="1"/>
  <c r="DV66" i="14" s="1"/>
  <c r="DV67" i="14" s="1"/>
  <c r="DV68" i="14" s="1"/>
  <c r="DV69" i="14" s="1"/>
  <c r="DV70" i="14" s="1"/>
  <c r="DV71" i="14" s="1"/>
  <c r="DV72" i="14" s="1"/>
  <c r="DV73" i="14" s="1"/>
  <c r="DV74" i="14" s="1"/>
  <c r="DV75" i="14" s="1"/>
  <c r="DV76" i="14" s="1"/>
  <c r="DV77" i="14" s="1"/>
  <c r="DV78" i="14" s="1"/>
  <c r="V161" i="14" s="1"/>
  <c r="V164" i="14" s="1"/>
  <c r="DV64" i="15"/>
  <c r="DV65" i="15" s="1"/>
  <c r="DV66" i="15" s="1"/>
  <c r="DV67" i="15" s="1"/>
  <c r="DV68" i="15" s="1"/>
  <c r="DV69" i="15" s="1"/>
  <c r="DV70" i="15" s="1"/>
  <c r="DV71" i="15" s="1"/>
  <c r="DV72" i="15" s="1"/>
  <c r="DV73" i="15" s="1"/>
  <c r="DV74" i="15" s="1"/>
  <c r="DV75" i="15" s="1"/>
  <c r="DV76" i="15" s="1"/>
  <c r="DV77" i="15" s="1"/>
  <c r="DV78" i="15" s="1"/>
  <c r="V161" i="15" s="1"/>
  <c r="V164" i="15" s="1"/>
  <c r="AV64" i="13"/>
  <c r="CK13" i="16"/>
  <c r="CK14" i="16" s="1"/>
  <c r="CK15" i="16" s="1"/>
  <c r="CK16" i="16" s="1"/>
  <c r="CK17" i="16" s="1"/>
  <c r="CK18" i="16" s="1"/>
  <c r="CK19" i="16" s="1"/>
  <c r="CK20" i="16" s="1"/>
  <c r="CK21" i="16" s="1"/>
  <c r="CK22" i="16" s="1"/>
  <c r="CK23" i="16" s="1"/>
  <c r="CK24" i="16" s="1"/>
  <c r="CK25" i="16" s="1"/>
  <c r="CK26" i="16" s="1"/>
  <c r="CK27" i="16" s="1"/>
  <c r="K161" i="16" s="1"/>
  <c r="AY64" i="13"/>
  <c r="AY65" i="13" s="1"/>
  <c r="AY66" i="13" s="1"/>
  <c r="AY67" i="13" s="1"/>
  <c r="AY68" i="13" s="1"/>
  <c r="AY69" i="13" s="1"/>
  <c r="AY70" i="13" s="1"/>
  <c r="AY71" i="13" s="1"/>
  <c r="AY72" i="13" s="1"/>
  <c r="AY73" i="13" s="1"/>
  <c r="AY74" i="13" s="1"/>
  <c r="AY75" i="13" s="1"/>
  <c r="AY76" i="13" s="1"/>
  <c r="AY77" i="13" s="1"/>
  <c r="AY78" i="13" s="1"/>
  <c r="DV64" i="13"/>
  <c r="DV65" i="13" s="1"/>
  <c r="DV66" i="13" s="1"/>
  <c r="DV67" i="13" s="1"/>
  <c r="DV68" i="13" s="1"/>
  <c r="DV69" i="13" s="1"/>
  <c r="DV70" i="13" s="1"/>
  <c r="DV71" i="13" s="1"/>
  <c r="DV72" i="13" s="1"/>
  <c r="DV73" i="13" s="1"/>
  <c r="DV74" i="13" s="1"/>
  <c r="DV75" i="13" s="1"/>
  <c r="DV76" i="13" s="1"/>
  <c r="DV77" i="13" s="1"/>
  <c r="DV78" i="13" s="1"/>
  <c r="V161" i="13" s="1"/>
  <c r="V164" i="13" s="1"/>
  <c r="AV65" i="13"/>
  <c r="AV66" i="13" s="1"/>
  <c r="AV67" i="13" s="1"/>
  <c r="AV68" i="13" s="1"/>
  <c r="AV69" i="13" s="1"/>
  <c r="AV70" i="13" s="1"/>
  <c r="AV71" i="13" s="1"/>
  <c r="AV72" i="13" s="1"/>
  <c r="AV73" i="13" s="1"/>
  <c r="AV74" i="13" s="1"/>
  <c r="AV75" i="13" s="1"/>
  <c r="AV76" i="13" s="1"/>
  <c r="AV77" i="13" s="1"/>
  <c r="AV78" i="13" s="1"/>
  <c r="S161" i="13" s="1"/>
  <c r="S164" i="13" s="1"/>
  <c r="DY64" i="13"/>
  <c r="DY65" i="13" s="1"/>
  <c r="DY66" i="13" s="1"/>
  <c r="DY67" i="13" s="1"/>
  <c r="DY68" i="13" s="1"/>
  <c r="DY69" i="13" s="1"/>
  <c r="DY70" i="13" s="1"/>
  <c r="DY71" i="13" s="1"/>
  <c r="DY72" i="13" s="1"/>
  <c r="DY73" i="13" s="1"/>
  <c r="DY74" i="13" s="1"/>
  <c r="DY75" i="13" s="1"/>
  <c r="DY76" i="13" s="1"/>
  <c r="DY77" i="13" s="1"/>
  <c r="DY78" i="13" s="1"/>
  <c r="Y64" i="13"/>
  <c r="Y65" i="13" s="1"/>
  <c r="Y66" i="13" s="1"/>
  <c r="Y67" i="13" s="1"/>
  <c r="Y68" i="13" s="1"/>
  <c r="Y69" i="13" s="1"/>
  <c r="Y70" i="13" s="1"/>
  <c r="Y71" i="13" s="1"/>
  <c r="Y72" i="13" s="1"/>
  <c r="Y73" i="13" s="1"/>
  <c r="Y74" i="13" s="1"/>
  <c r="Y75" i="13" s="1"/>
  <c r="Y76" i="13" s="1"/>
  <c r="Y77" i="13" s="1"/>
  <c r="Y78" i="13" s="1"/>
  <c r="V64" i="13"/>
  <c r="V65" i="13" s="1"/>
  <c r="V66" i="13" s="1"/>
  <c r="V67" i="13" s="1"/>
  <c r="V68" i="13" s="1"/>
  <c r="V69" i="13" s="1"/>
  <c r="V70" i="13" s="1"/>
  <c r="V71" i="13" s="1"/>
  <c r="V72" i="13" s="1"/>
  <c r="V73" i="13" s="1"/>
  <c r="V74" i="13" s="1"/>
  <c r="V75" i="13" s="1"/>
  <c r="V76" i="13" s="1"/>
  <c r="V77" i="13" s="1"/>
  <c r="V78" i="13" s="1"/>
  <c r="CY64" i="13"/>
  <c r="CY65" i="13" s="1"/>
  <c r="CY66" i="13" s="1"/>
  <c r="CY67" i="13" s="1"/>
  <c r="CY68" i="13" s="1"/>
  <c r="CY69" i="13" s="1"/>
  <c r="CY70" i="13" s="1"/>
  <c r="CY71" i="13" s="1"/>
  <c r="CY72" i="13" s="1"/>
  <c r="CY73" i="13" s="1"/>
  <c r="CY74" i="13" s="1"/>
  <c r="CY75" i="13" s="1"/>
  <c r="CY76" i="13" s="1"/>
  <c r="CY77" i="13" s="1"/>
  <c r="CY78" i="13" s="1"/>
  <c r="CV64" i="13"/>
  <c r="CV65" i="13" s="1"/>
  <c r="CV66" i="13" s="1"/>
  <c r="CV67" i="13" s="1"/>
  <c r="CV68" i="13" s="1"/>
  <c r="CV69" i="13" s="1"/>
  <c r="CV70" i="13" s="1"/>
  <c r="CV71" i="13" s="1"/>
  <c r="CV72" i="13" s="1"/>
  <c r="CV73" i="13" s="1"/>
  <c r="CV74" i="13" s="1"/>
  <c r="CV75" i="13" s="1"/>
  <c r="CV76" i="13" s="1"/>
  <c r="CV77" i="13" s="1"/>
  <c r="CV78" i="13" s="1"/>
  <c r="U161" i="13" s="1"/>
  <c r="U164" i="13" s="1"/>
  <c r="CN13" i="15"/>
  <c r="CN14" i="15" s="1"/>
  <c r="CN15" i="15" s="1"/>
  <c r="CN16" i="15" s="1"/>
  <c r="CN17" i="15" s="1"/>
  <c r="CN18" i="15" s="1"/>
  <c r="CN19" i="15" s="1"/>
  <c r="CN20" i="15" s="1"/>
  <c r="CN21" i="15" s="1"/>
  <c r="CN22" i="15" s="1"/>
  <c r="CN23" i="15" s="1"/>
  <c r="CN24" i="15" s="1"/>
  <c r="CN25" i="15" s="1"/>
  <c r="CN26" i="15" s="1"/>
  <c r="CN27" i="15" s="1"/>
  <c r="K161" i="15" s="1"/>
  <c r="AH13" i="10"/>
  <c r="D61" i="22"/>
  <c r="AH39" i="10"/>
  <c r="E61" i="22"/>
  <c r="AI13" i="10"/>
  <c r="J61" i="22"/>
  <c r="AI40" i="10"/>
  <c r="K81" i="22"/>
  <c r="CG12" i="15"/>
  <c r="CL12" i="15" s="1"/>
  <c r="DE12" i="15"/>
  <c r="DJ12" i="15" s="1"/>
  <c r="BI12" i="13"/>
  <c r="BN12" i="13" s="1"/>
  <c r="R29" i="8"/>
  <c r="R27" i="8" s="1"/>
  <c r="Q29" i="8"/>
  <c r="Q27" i="8" s="1"/>
  <c r="Q26" i="8" s="1"/>
  <c r="AR13" i="15"/>
  <c r="AR14" i="15" s="1"/>
  <c r="AR15" i="15" s="1"/>
  <c r="AR16" i="15" s="1"/>
  <c r="AR17" i="15" s="1"/>
  <c r="AR18" i="15" s="1"/>
  <c r="AR19" i="15" s="1"/>
  <c r="AR20" i="15" s="1"/>
  <c r="AR21" i="15" s="1"/>
  <c r="AR22" i="15" s="1"/>
  <c r="AR23" i="15" s="1"/>
  <c r="AR24" i="15" s="1"/>
  <c r="AR25" i="15" s="1"/>
  <c r="AR26" i="15" s="1"/>
  <c r="AR27" i="15" s="1"/>
  <c r="I161" i="15" s="1"/>
  <c r="CN13" i="14"/>
  <c r="CN14" i="14" s="1"/>
  <c r="CN15" i="14" s="1"/>
  <c r="CN16" i="14" s="1"/>
  <c r="CN17" i="14" s="1"/>
  <c r="CN18" i="14" s="1"/>
  <c r="CN19" i="14" s="1"/>
  <c r="CN20" i="14" s="1"/>
  <c r="CN21" i="14" s="1"/>
  <c r="CN22" i="14" s="1"/>
  <c r="CN23" i="14" s="1"/>
  <c r="CN24" i="14" s="1"/>
  <c r="CN25" i="14" s="1"/>
  <c r="CN26" i="14" s="1"/>
  <c r="CN27" i="14" s="1"/>
  <c r="K161" i="14" s="1"/>
  <c r="BP13" i="14"/>
  <c r="BP14" i="14" s="1"/>
  <c r="BP15" i="14" s="1"/>
  <c r="BP16" i="14" s="1"/>
  <c r="BP17" i="14" s="1"/>
  <c r="BP18" i="14" s="1"/>
  <c r="BP19" i="14" s="1"/>
  <c r="BP20" i="14" s="1"/>
  <c r="BP21" i="14" s="1"/>
  <c r="BP22" i="14" s="1"/>
  <c r="BP23" i="14" s="1"/>
  <c r="BP24" i="14" s="1"/>
  <c r="BP25" i="14" s="1"/>
  <c r="BP26" i="14" s="1"/>
  <c r="BP27" i="14" s="1"/>
  <c r="J161" i="14" s="1"/>
  <c r="T13" i="15"/>
  <c r="T14" i="15" s="1"/>
  <c r="T15" i="15" s="1"/>
  <c r="T16" i="15" s="1"/>
  <c r="T17" i="15" s="1"/>
  <c r="T18" i="15" s="1"/>
  <c r="T19" i="15" s="1"/>
  <c r="T20" i="15" s="1"/>
  <c r="T21" i="15" s="1"/>
  <c r="T22" i="15" s="1"/>
  <c r="T23" i="15" s="1"/>
  <c r="T24" i="15" s="1"/>
  <c r="T25" i="15" s="1"/>
  <c r="T26" i="15" s="1"/>
  <c r="T27" i="15" s="1"/>
  <c r="H161" i="15" s="1"/>
  <c r="DL13" i="15"/>
  <c r="DL14" i="15" s="1"/>
  <c r="DL15" i="15" s="1"/>
  <c r="DL16" i="15" s="1"/>
  <c r="DL17" i="15" s="1"/>
  <c r="DL18" i="15" s="1"/>
  <c r="DL19" i="15" s="1"/>
  <c r="DL20" i="15" s="1"/>
  <c r="DL21" i="15" s="1"/>
  <c r="DL22" i="15" s="1"/>
  <c r="DL23" i="15" s="1"/>
  <c r="DL24" i="15" s="1"/>
  <c r="DL25" i="15" s="1"/>
  <c r="DL26" i="15" s="1"/>
  <c r="DL27" i="15" s="1"/>
  <c r="L161" i="15" s="1"/>
  <c r="BP13" i="15"/>
  <c r="BP14" i="15" s="1"/>
  <c r="BP15" i="15" s="1"/>
  <c r="BP16" i="15" s="1"/>
  <c r="BP17" i="15" s="1"/>
  <c r="BP18" i="15" s="1"/>
  <c r="BP19" i="15" s="1"/>
  <c r="BP20" i="15" s="1"/>
  <c r="BP21" i="15" s="1"/>
  <c r="BP22" i="15" s="1"/>
  <c r="BP23" i="15" s="1"/>
  <c r="BP24" i="15" s="1"/>
  <c r="BP25" i="15" s="1"/>
  <c r="BP26" i="15" s="1"/>
  <c r="BP27" i="15" s="1"/>
  <c r="J161" i="15" s="1"/>
  <c r="DL13" i="14"/>
  <c r="DL14" i="14" s="1"/>
  <c r="DL15" i="14" s="1"/>
  <c r="DL16" i="14" s="1"/>
  <c r="DL17" i="14" s="1"/>
  <c r="DL18" i="14" s="1"/>
  <c r="DL19" i="14" s="1"/>
  <c r="DL20" i="14" s="1"/>
  <c r="DL21" i="14" s="1"/>
  <c r="DL22" i="14" s="1"/>
  <c r="DL23" i="14" s="1"/>
  <c r="DL24" i="14" s="1"/>
  <c r="DL25" i="14" s="1"/>
  <c r="DL26" i="14" s="1"/>
  <c r="DL27" i="14" s="1"/>
  <c r="L161" i="14" s="1"/>
  <c r="DH13" i="16"/>
  <c r="DH14" i="16" s="1"/>
  <c r="DH15" i="16" s="1"/>
  <c r="DH16" i="16" s="1"/>
  <c r="DH17" i="16" s="1"/>
  <c r="DH18" i="16" s="1"/>
  <c r="DH19" i="16" s="1"/>
  <c r="DH20" i="16" s="1"/>
  <c r="DH21" i="16" s="1"/>
  <c r="DH22" i="16" s="1"/>
  <c r="DH23" i="16" s="1"/>
  <c r="DH24" i="16" s="1"/>
  <c r="DH25" i="16" s="1"/>
  <c r="DH26" i="16" s="1"/>
  <c r="DH27" i="16" s="1"/>
  <c r="L161" i="16" s="1"/>
  <c r="T13" i="13"/>
  <c r="T14" i="13" s="1"/>
  <c r="T15" i="13" s="1"/>
  <c r="T16" i="13" s="1"/>
  <c r="T17" i="13" s="1"/>
  <c r="T18" i="13" s="1"/>
  <c r="T19" i="13" s="1"/>
  <c r="T20" i="13" s="1"/>
  <c r="T21" i="13" s="1"/>
  <c r="T22" i="13" s="1"/>
  <c r="T23" i="13" s="1"/>
  <c r="T24" i="13" s="1"/>
  <c r="T25" i="13" s="1"/>
  <c r="T26" i="13" s="1"/>
  <c r="T27" i="13" s="1"/>
  <c r="H161" i="13" s="1"/>
  <c r="DL13" i="13"/>
  <c r="DL14" i="13" s="1"/>
  <c r="DL15" i="13" s="1"/>
  <c r="DL16" i="13" s="1"/>
  <c r="DL17" i="13" s="1"/>
  <c r="DL18" i="13" s="1"/>
  <c r="DL19" i="13" s="1"/>
  <c r="DL20" i="13" s="1"/>
  <c r="DL21" i="13" s="1"/>
  <c r="DL22" i="13" s="1"/>
  <c r="DL23" i="13" s="1"/>
  <c r="DL24" i="13" s="1"/>
  <c r="DL25" i="13" s="1"/>
  <c r="DL26" i="13" s="1"/>
  <c r="DL27" i="13" s="1"/>
  <c r="L161" i="13" s="1"/>
  <c r="CZ38" i="13"/>
  <c r="DC38" i="13" s="1"/>
  <c r="DH38" i="13" s="1"/>
  <c r="BD38" i="13"/>
  <c r="BG38" i="13" s="1"/>
  <c r="BL38" i="13" s="1"/>
  <c r="AF38" i="15"/>
  <c r="AI38" i="15" s="1"/>
  <c r="AN38" i="15" s="1"/>
  <c r="CB38" i="14"/>
  <c r="CE38" i="14" s="1"/>
  <c r="CJ38" i="14" s="1"/>
  <c r="H38" i="16"/>
  <c r="K38" i="16" s="1"/>
  <c r="P38" i="16" s="1"/>
  <c r="AF38" i="14"/>
  <c r="AI38" i="14" s="1"/>
  <c r="AN38" i="14" s="1"/>
  <c r="CZ38" i="15"/>
  <c r="DC38" i="15" s="1"/>
  <c r="DH38" i="15" s="1"/>
  <c r="CV38" i="16"/>
  <c r="CY38" i="16" s="1"/>
  <c r="DD38" i="16" s="1"/>
  <c r="BB38" i="16"/>
  <c r="BE38" i="16" s="1"/>
  <c r="BJ38" i="16" s="1"/>
  <c r="BD38" i="15"/>
  <c r="BG38" i="15" s="1"/>
  <c r="BL38" i="15" s="1"/>
  <c r="CB38" i="13"/>
  <c r="CE38" i="13" s="1"/>
  <c r="CJ38" i="13" s="1"/>
  <c r="AF38" i="13"/>
  <c r="AI38" i="13" s="1"/>
  <c r="AN38" i="13" s="1"/>
  <c r="H38" i="15"/>
  <c r="K38" i="15" s="1"/>
  <c r="P38" i="15" s="1"/>
  <c r="H38" i="14"/>
  <c r="K38" i="14" s="1"/>
  <c r="P38" i="14" s="1"/>
  <c r="H38" i="13"/>
  <c r="K38" i="13" s="1"/>
  <c r="P38" i="13" s="1"/>
  <c r="BY38" i="16"/>
  <c r="CB38" i="16" s="1"/>
  <c r="CG38" i="16" s="1"/>
  <c r="CB38" i="15"/>
  <c r="CE38" i="15" s="1"/>
  <c r="CJ38" i="15" s="1"/>
  <c r="AE38" i="16"/>
  <c r="AH38" i="16" s="1"/>
  <c r="AM38" i="16" s="1"/>
  <c r="CZ38" i="14"/>
  <c r="DC38" i="14" s="1"/>
  <c r="DH38" i="14" s="1"/>
  <c r="BD38" i="14"/>
  <c r="BG38" i="14" s="1"/>
  <c r="BL38" i="14" s="1"/>
  <c r="I91" i="10"/>
  <c r="W91" i="10" s="1"/>
  <c r="AB91" i="10" s="1"/>
  <c r="M12" i="15"/>
  <c r="R12" i="15" s="1"/>
  <c r="DA12" i="16"/>
  <c r="DF12" i="16" s="1"/>
  <c r="AK12" i="13"/>
  <c r="AP12" i="13" s="1"/>
  <c r="BI12" i="14"/>
  <c r="BN12" i="14" s="1"/>
  <c r="M12" i="16"/>
  <c r="R12" i="16" s="1"/>
  <c r="M12" i="14"/>
  <c r="R12" i="14" s="1"/>
  <c r="DE12" i="14"/>
  <c r="DJ12" i="14" s="1"/>
  <c r="BG12" i="16"/>
  <c r="BL12" i="16" s="1"/>
  <c r="CG12" i="13"/>
  <c r="CL12" i="13" s="1"/>
  <c r="AS12" i="14"/>
  <c r="AS13" i="14" s="1"/>
  <c r="AS14" i="14" s="1"/>
  <c r="AS15" i="14" s="1"/>
  <c r="AS16" i="14" s="1"/>
  <c r="AS17" i="14" s="1"/>
  <c r="AS18" i="14" s="1"/>
  <c r="AS19" i="14" s="1"/>
  <c r="AS20" i="14" s="1"/>
  <c r="AS21" i="14" s="1"/>
  <c r="AS22" i="14" s="1"/>
  <c r="AS23" i="14" s="1"/>
  <c r="AS24" i="14" s="1"/>
  <c r="AS25" i="14" s="1"/>
  <c r="AS26" i="14" s="1"/>
  <c r="AS27" i="14" s="1"/>
  <c r="I162" i="14" s="1"/>
  <c r="I163" i="14" s="1"/>
  <c r="AJ12" i="14"/>
  <c r="AO12" i="14" s="1"/>
  <c r="DM12" i="14"/>
  <c r="DM13" i="14" s="1"/>
  <c r="DM14" i="14" s="1"/>
  <c r="DM15" i="14" s="1"/>
  <c r="DM16" i="14" s="1"/>
  <c r="DM17" i="14" s="1"/>
  <c r="DM18" i="14" s="1"/>
  <c r="DM19" i="14" s="1"/>
  <c r="DM20" i="14" s="1"/>
  <c r="DM21" i="14" s="1"/>
  <c r="DM22" i="14" s="1"/>
  <c r="DM23" i="14" s="1"/>
  <c r="DM24" i="14" s="1"/>
  <c r="DM25" i="14" s="1"/>
  <c r="DM26" i="14" s="1"/>
  <c r="DM27" i="14" s="1"/>
  <c r="L162" i="14" s="1"/>
  <c r="L163" i="14" s="1"/>
  <c r="DD12" i="14"/>
  <c r="DI12" i="14" s="1"/>
  <c r="L12" i="16"/>
  <c r="Q12" i="16" s="1"/>
  <c r="CO12" i="13"/>
  <c r="CO13" i="13" s="1"/>
  <c r="CO14" i="13" s="1"/>
  <c r="CO15" i="13" s="1"/>
  <c r="CO16" i="13" s="1"/>
  <c r="CO17" i="13" s="1"/>
  <c r="CO18" i="13" s="1"/>
  <c r="CO19" i="13" s="1"/>
  <c r="CO20" i="13" s="1"/>
  <c r="CO21" i="13" s="1"/>
  <c r="CO22" i="13" s="1"/>
  <c r="CO23" i="13" s="1"/>
  <c r="CO24" i="13" s="1"/>
  <c r="CO25" i="13" s="1"/>
  <c r="CO26" i="13" s="1"/>
  <c r="CO27" i="13" s="1"/>
  <c r="K162" i="13" s="1"/>
  <c r="K163" i="13" s="1"/>
  <c r="CF12" i="13"/>
  <c r="CK12" i="13" s="1"/>
  <c r="CO12" i="14"/>
  <c r="CO13" i="14" s="1"/>
  <c r="CO14" i="14" s="1"/>
  <c r="CO15" i="14" s="1"/>
  <c r="CO16" i="14" s="1"/>
  <c r="CO17" i="14" s="1"/>
  <c r="CO18" i="14" s="1"/>
  <c r="CO19" i="14" s="1"/>
  <c r="CO20" i="14" s="1"/>
  <c r="CO21" i="14" s="1"/>
  <c r="CO22" i="14" s="1"/>
  <c r="CO23" i="14" s="1"/>
  <c r="CO24" i="14" s="1"/>
  <c r="CO25" i="14" s="1"/>
  <c r="CO26" i="14" s="1"/>
  <c r="CO27" i="14" s="1"/>
  <c r="K162" i="14" s="1"/>
  <c r="CF12" i="14"/>
  <c r="CK12" i="14" s="1"/>
  <c r="CD12" i="16"/>
  <c r="CI12" i="16" s="1"/>
  <c r="U12" i="14"/>
  <c r="U13" i="14" s="1"/>
  <c r="U14" i="14" s="1"/>
  <c r="U15" i="14" s="1"/>
  <c r="U16" i="14" s="1"/>
  <c r="U17" i="14" s="1"/>
  <c r="U18" i="14" s="1"/>
  <c r="U19" i="14" s="1"/>
  <c r="U20" i="14" s="1"/>
  <c r="U21" i="14" s="1"/>
  <c r="U22" i="14" s="1"/>
  <c r="U23" i="14" s="1"/>
  <c r="U24" i="14" s="1"/>
  <c r="U25" i="14" s="1"/>
  <c r="U26" i="14" s="1"/>
  <c r="U27" i="14" s="1"/>
  <c r="H162" i="14" s="1"/>
  <c r="L12" i="14"/>
  <c r="Q12" i="14" s="1"/>
  <c r="AS12" i="13"/>
  <c r="AS13" i="13" s="1"/>
  <c r="AS14" i="13" s="1"/>
  <c r="AS15" i="13" s="1"/>
  <c r="AS16" i="13" s="1"/>
  <c r="AS17" i="13" s="1"/>
  <c r="AS18" i="13" s="1"/>
  <c r="AS19" i="13" s="1"/>
  <c r="AS20" i="13" s="1"/>
  <c r="AS21" i="13" s="1"/>
  <c r="AS22" i="13" s="1"/>
  <c r="AS23" i="13" s="1"/>
  <c r="AS24" i="13" s="1"/>
  <c r="AS25" i="13" s="1"/>
  <c r="AS26" i="13" s="1"/>
  <c r="AS27" i="13" s="1"/>
  <c r="I162" i="13" s="1"/>
  <c r="I163" i="13" s="1"/>
  <c r="AJ12" i="13"/>
  <c r="AO12" i="13" s="1"/>
  <c r="DI12" i="16"/>
  <c r="DI13" i="16" s="1"/>
  <c r="DI14" i="16" s="1"/>
  <c r="DI15" i="16" s="1"/>
  <c r="DI16" i="16" s="1"/>
  <c r="DI17" i="16" s="1"/>
  <c r="DI18" i="16" s="1"/>
  <c r="DI19" i="16" s="1"/>
  <c r="DI20" i="16" s="1"/>
  <c r="DI21" i="16" s="1"/>
  <c r="DI22" i="16" s="1"/>
  <c r="DI23" i="16" s="1"/>
  <c r="DI24" i="16" s="1"/>
  <c r="DI25" i="16" s="1"/>
  <c r="DI26" i="16" s="1"/>
  <c r="DI27" i="16" s="1"/>
  <c r="L162" i="16" s="1"/>
  <c r="L163" i="16" s="1"/>
  <c r="CZ12" i="16"/>
  <c r="DE12" i="16" s="1"/>
  <c r="BQ12" i="14"/>
  <c r="BQ13" i="14" s="1"/>
  <c r="BQ14" i="14" s="1"/>
  <c r="BQ15" i="14" s="1"/>
  <c r="BQ16" i="14" s="1"/>
  <c r="BQ17" i="14" s="1"/>
  <c r="BQ18" i="14" s="1"/>
  <c r="BQ19" i="14" s="1"/>
  <c r="BQ20" i="14" s="1"/>
  <c r="BQ21" i="14" s="1"/>
  <c r="BQ22" i="14" s="1"/>
  <c r="BQ23" i="14" s="1"/>
  <c r="BQ24" i="14" s="1"/>
  <c r="BQ25" i="14" s="1"/>
  <c r="BQ26" i="14" s="1"/>
  <c r="BQ27" i="14" s="1"/>
  <c r="J162" i="14" s="1"/>
  <c r="J163" i="14" s="1"/>
  <c r="BH12" i="14"/>
  <c r="BM12" i="14" s="1"/>
  <c r="DM12" i="13"/>
  <c r="DM13" i="13" s="1"/>
  <c r="DM14" i="13" s="1"/>
  <c r="DM15" i="13" s="1"/>
  <c r="DM16" i="13" s="1"/>
  <c r="DM17" i="13" s="1"/>
  <c r="DM18" i="13" s="1"/>
  <c r="DM19" i="13" s="1"/>
  <c r="DM20" i="13" s="1"/>
  <c r="DM21" i="13" s="1"/>
  <c r="DM22" i="13" s="1"/>
  <c r="DM23" i="13" s="1"/>
  <c r="DM24" i="13" s="1"/>
  <c r="DM25" i="13" s="1"/>
  <c r="DM26" i="13" s="1"/>
  <c r="DM27" i="13" s="1"/>
  <c r="L162" i="13" s="1"/>
  <c r="L163" i="13" s="1"/>
  <c r="DD12" i="13"/>
  <c r="DI12" i="13" s="1"/>
  <c r="U12" i="13"/>
  <c r="U13" i="13" s="1"/>
  <c r="U14" i="13" s="1"/>
  <c r="U15" i="13" s="1"/>
  <c r="U16" i="13" s="1"/>
  <c r="U17" i="13" s="1"/>
  <c r="U18" i="13" s="1"/>
  <c r="U19" i="13" s="1"/>
  <c r="U20" i="13" s="1"/>
  <c r="U21" i="13" s="1"/>
  <c r="U22" i="13" s="1"/>
  <c r="U23" i="13" s="1"/>
  <c r="U24" i="13" s="1"/>
  <c r="U25" i="13" s="1"/>
  <c r="U26" i="13" s="1"/>
  <c r="U27" i="13" s="1"/>
  <c r="H162" i="13" s="1"/>
  <c r="L12" i="13"/>
  <c r="Q12" i="13" s="1"/>
  <c r="AJ12" i="16"/>
  <c r="AO12" i="16" s="1"/>
  <c r="AK12" i="14"/>
  <c r="AP12" i="14" s="1"/>
  <c r="M12" i="13"/>
  <c r="R12" i="13" s="1"/>
  <c r="U12" i="15"/>
  <c r="U13" i="15" s="1"/>
  <c r="U14" i="15" s="1"/>
  <c r="U15" i="15" s="1"/>
  <c r="U16" i="15" s="1"/>
  <c r="U17" i="15" s="1"/>
  <c r="U18" i="15" s="1"/>
  <c r="U19" i="15" s="1"/>
  <c r="U20" i="15" s="1"/>
  <c r="U21" i="15" s="1"/>
  <c r="U22" i="15" s="1"/>
  <c r="U23" i="15" s="1"/>
  <c r="U24" i="15" s="1"/>
  <c r="U25" i="15" s="1"/>
  <c r="U26" i="15" s="1"/>
  <c r="U27" i="15" s="1"/>
  <c r="H162" i="15" s="1"/>
  <c r="L12" i="15"/>
  <c r="Q12" i="15" s="1"/>
  <c r="BQ12" i="13"/>
  <c r="BQ13" i="13" s="1"/>
  <c r="BQ14" i="13" s="1"/>
  <c r="BQ15" i="13" s="1"/>
  <c r="BQ16" i="13" s="1"/>
  <c r="BQ17" i="13" s="1"/>
  <c r="BQ18" i="13" s="1"/>
  <c r="BQ19" i="13" s="1"/>
  <c r="BQ20" i="13" s="1"/>
  <c r="BQ21" i="13" s="1"/>
  <c r="BQ22" i="13" s="1"/>
  <c r="BQ23" i="13" s="1"/>
  <c r="BQ24" i="13" s="1"/>
  <c r="BQ25" i="13" s="1"/>
  <c r="BQ26" i="13" s="1"/>
  <c r="BQ27" i="13" s="1"/>
  <c r="J162" i="13" s="1"/>
  <c r="J163" i="13" s="1"/>
  <c r="BH12" i="13"/>
  <c r="BM12" i="13" s="1"/>
  <c r="DM12" i="15"/>
  <c r="DM13" i="15" s="1"/>
  <c r="DM14" i="15" s="1"/>
  <c r="DM15" i="15" s="1"/>
  <c r="DM16" i="15" s="1"/>
  <c r="DM17" i="15" s="1"/>
  <c r="DM18" i="15" s="1"/>
  <c r="DM19" i="15" s="1"/>
  <c r="DM20" i="15" s="1"/>
  <c r="DM21" i="15" s="1"/>
  <c r="DM22" i="15" s="1"/>
  <c r="DM23" i="15" s="1"/>
  <c r="DM24" i="15" s="1"/>
  <c r="DM25" i="15" s="1"/>
  <c r="DM26" i="15" s="1"/>
  <c r="DM27" i="15" s="1"/>
  <c r="L162" i="15" s="1"/>
  <c r="L163" i="15" s="1"/>
  <c r="DD12" i="15"/>
  <c r="DI12" i="15" s="1"/>
  <c r="CL12" i="16"/>
  <c r="CL13" i="16" s="1"/>
  <c r="CL14" i="16" s="1"/>
  <c r="CL15" i="16" s="1"/>
  <c r="CL16" i="16" s="1"/>
  <c r="CL17" i="16" s="1"/>
  <c r="CL18" i="16" s="1"/>
  <c r="CL19" i="16" s="1"/>
  <c r="CL20" i="16" s="1"/>
  <c r="CL21" i="16" s="1"/>
  <c r="CL22" i="16" s="1"/>
  <c r="CL23" i="16" s="1"/>
  <c r="CL24" i="16" s="1"/>
  <c r="CL25" i="16" s="1"/>
  <c r="CL26" i="16" s="1"/>
  <c r="CL27" i="16" s="1"/>
  <c r="K162" i="16" s="1"/>
  <c r="K163" i="16" s="1"/>
  <c r="CC12" i="16"/>
  <c r="CH12" i="16" s="1"/>
  <c r="AR12" i="16"/>
  <c r="AR13" i="16" s="1"/>
  <c r="AR14" i="16" s="1"/>
  <c r="AR15" i="16" s="1"/>
  <c r="AR16" i="16" s="1"/>
  <c r="AR17" i="16" s="1"/>
  <c r="AR18" i="16" s="1"/>
  <c r="AR19" i="16" s="1"/>
  <c r="AR20" i="16" s="1"/>
  <c r="AR21" i="16" s="1"/>
  <c r="AR22" i="16" s="1"/>
  <c r="AR23" i="16" s="1"/>
  <c r="AR24" i="16" s="1"/>
  <c r="AR25" i="16" s="1"/>
  <c r="AR26" i="16" s="1"/>
  <c r="AR27" i="16" s="1"/>
  <c r="I162" i="16" s="1"/>
  <c r="I163" i="16" s="1"/>
  <c r="AI12" i="16"/>
  <c r="AN12" i="16" s="1"/>
  <c r="CG12" i="14"/>
  <c r="CL12" i="14" s="1"/>
  <c r="BO12" i="16"/>
  <c r="BO13" i="16" s="1"/>
  <c r="BO14" i="16" s="1"/>
  <c r="BO15" i="16" s="1"/>
  <c r="BO16" i="16" s="1"/>
  <c r="BO17" i="16" s="1"/>
  <c r="BO18" i="16" s="1"/>
  <c r="BO19" i="16" s="1"/>
  <c r="BO20" i="16" s="1"/>
  <c r="BO21" i="16" s="1"/>
  <c r="BO22" i="16" s="1"/>
  <c r="BO23" i="16" s="1"/>
  <c r="BO24" i="16" s="1"/>
  <c r="BO25" i="16" s="1"/>
  <c r="BO26" i="16" s="1"/>
  <c r="BF12" i="16"/>
  <c r="BK12" i="16" s="1"/>
  <c r="DE12" i="13"/>
  <c r="DJ12" i="13" s="1"/>
  <c r="BI12" i="15"/>
  <c r="BN12" i="15" s="1"/>
  <c r="CO12" i="15"/>
  <c r="CO13" i="15" s="1"/>
  <c r="CO14" i="15" s="1"/>
  <c r="CO15" i="15" s="1"/>
  <c r="CO16" i="15" s="1"/>
  <c r="CO17" i="15" s="1"/>
  <c r="CO18" i="15" s="1"/>
  <c r="CO19" i="15" s="1"/>
  <c r="CO20" i="15" s="1"/>
  <c r="CO21" i="15" s="1"/>
  <c r="CO22" i="15" s="1"/>
  <c r="CO23" i="15" s="1"/>
  <c r="CO24" i="15" s="1"/>
  <c r="CO25" i="15" s="1"/>
  <c r="CO26" i="15" s="1"/>
  <c r="CO27" i="15" s="1"/>
  <c r="K162" i="15" s="1"/>
  <c r="K163" i="15" s="1"/>
  <c r="CF12" i="15"/>
  <c r="CK12" i="15" s="1"/>
  <c r="M7" i="11"/>
  <c r="AQ13" i="16"/>
  <c r="AQ14" i="16" s="1"/>
  <c r="AQ15" i="16" s="1"/>
  <c r="AQ16" i="16" s="1"/>
  <c r="AQ17" i="16" s="1"/>
  <c r="AQ18" i="16" s="1"/>
  <c r="AQ19" i="16" s="1"/>
  <c r="AQ20" i="16" s="1"/>
  <c r="AQ21" i="16" s="1"/>
  <c r="AQ22" i="16" s="1"/>
  <c r="AQ23" i="16" s="1"/>
  <c r="AQ24" i="16" s="1"/>
  <c r="AQ25" i="16" s="1"/>
  <c r="AQ26" i="16" s="1"/>
  <c r="AQ27" i="16" s="1"/>
  <c r="I161" i="16" s="1"/>
  <c r="AR13" i="14"/>
  <c r="AR14" i="14" s="1"/>
  <c r="AR15" i="14" s="1"/>
  <c r="AR16" i="14" s="1"/>
  <c r="AR17" i="14" s="1"/>
  <c r="AR18" i="14" s="1"/>
  <c r="AR19" i="14" s="1"/>
  <c r="AR20" i="14" s="1"/>
  <c r="AR21" i="14" s="1"/>
  <c r="AR22" i="14" s="1"/>
  <c r="AR23" i="14" s="1"/>
  <c r="AR24" i="14" s="1"/>
  <c r="AR25" i="14" s="1"/>
  <c r="AR26" i="14" s="1"/>
  <c r="AR27" i="14" s="1"/>
  <c r="I161" i="14" s="1"/>
  <c r="BG27" i="16"/>
  <c r="BL27" i="16" s="1"/>
  <c r="T13" i="14"/>
  <c r="T14" i="14" s="1"/>
  <c r="T15" i="14" s="1"/>
  <c r="T16" i="14" s="1"/>
  <c r="T17" i="14" s="1"/>
  <c r="T18" i="14" s="1"/>
  <c r="T19" i="14" s="1"/>
  <c r="T20" i="14" s="1"/>
  <c r="T21" i="14" s="1"/>
  <c r="T22" i="14" s="1"/>
  <c r="T23" i="14" s="1"/>
  <c r="T24" i="14" s="1"/>
  <c r="T25" i="14" s="1"/>
  <c r="T26" i="14" s="1"/>
  <c r="T27" i="14" s="1"/>
  <c r="H161" i="14" s="1"/>
  <c r="T13" i="16"/>
  <c r="T14" i="16" s="1"/>
  <c r="T15" i="16" s="1"/>
  <c r="T16" i="16" s="1"/>
  <c r="T17" i="16" s="1"/>
  <c r="T18" i="16" s="1"/>
  <c r="T19" i="16" s="1"/>
  <c r="T20" i="16" s="1"/>
  <c r="T21" i="16" s="1"/>
  <c r="T22" i="16" s="1"/>
  <c r="T23" i="16" s="1"/>
  <c r="T24" i="16" s="1"/>
  <c r="T25" i="16" s="1"/>
  <c r="T26" i="16" s="1"/>
  <c r="T27" i="16" s="1"/>
  <c r="H161" i="16" s="1"/>
  <c r="AR13" i="13"/>
  <c r="AR14" i="13" s="1"/>
  <c r="AR15" i="13" s="1"/>
  <c r="AR16" i="13" s="1"/>
  <c r="AR17" i="13" s="1"/>
  <c r="AR18" i="13" s="1"/>
  <c r="AR19" i="13" s="1"/>
  <c r="AR20" i="13" s="1"/>
  <c r="AR21" i="13" s="1"/>
  <c r="AR22" i="13" s="1"/>
  <c r="AR23" i="13" s="1"/>
  <c r="AR24" i="13" s="1"/>
  <c r="AR25" i="13" s="1"/>
  <c r="AR26" i="13" s="1"/>
  <c r="AR27" i="13" s="1"/>
  <c r="I161" i="13" s="1"/>
  <c r="CN13" i="13"/>
  <c r="CN14" i="13" s="1"/>
  <c r="CN15" i="13" s="1"/>
  <c r="CN16" i="13" s="1"/>
  <c r="CN17" i="13" s="1"/>
  <c r="CN18" i="13" s="1"/>
  <c r="CN19" i="13" s="1"/>
  <c r="CN20" i="13" s="1"/>
  <c r="CN21" i="13" s="1"/>
  <c r="CN22" i="13" s="1"/>
  <c r="CN23" i="13" s="1"/>
  <c r="CN24" i="13" s="1"/>
  <c r="CN25" i="13" s="1"/>
  <c r="CN26" i="13" s="1"/>
  <c r="CN27" i="13" s="1"/>
  <c r="K161" i="13" s="1"/>
  <c r="BP13" i="13"/>
  <c r="BP14" i="13" s="1"/>
  <c r="BP15" i="13" s="1"/>
  <c r="BP16" i="13" s="1"/>
  <c r="BP17" i="13" s="1"/>
  <c r="BP18" i="13" s="1"/>
  <c r="BP19" i="13" s="1"/>
  <c r="BP20" i="13" s="1"/>
  <c r="BP21" i="13" s="1"/>
  <c r="BP22" i="13" s="1"/>
  <c r="BP23" i="13" s="1"/>
  <c r="BP24" i="13" s="1"/>
  <c r="BP25" i="13" s="1"/>
  <c r="BP26" i="13" s="1"/>
  <c r="BP27" i="13" s="1"/>
  <c r="J161" i="13" s="1"/>
  <c r="K10" i="11"/>
  <c r="K12" i="11" s="1"/>
  <c r="K14" i="11" s="1"/>
  <c r="Y69" i="2"/>
  <c r="U24" i="8" s="1"/>
  <c r="AE71" i="2"/>
  <c r="K70" i="2"/>
  <c r="Q28" i="8" s="1"/>
  <c r="R68" i="2"/>
  <c r="S23" i="8" s="1"/>
  <c r="R71" i="2"/>
  <c r="S29" i="8" s="1"/>
  <c r="AF41" i="2"/>
  <c r="W19" i="8" s="1"/>
  <c r="AF69" i="2"/>
  <c r="W24" i="8" s="1"/>
  <c r="Y41" i="2"/>
  <c r="U19" i="8" s="1"/>
  <c r="AE164" i="15" l="1"/>
  <c r="AF164" i="15"/>
  <c r="D32" i="12" s="1"/>
  <c r="AT12" i="14"/>
  <c r="AT13" i="14" s="1"/>
  <c r="AT14" i="14" s="1"/>
  <c r="AT15" i="14" s="1"/>
  <c r="AT16" i="14" s="1"/>
  <c r="AT17" i="14" s="1"/>
  <c r="AT18" i="14" s="1"/>
  <c r="AT19" i="14" s="1"/>
  <c r="AT20" i="14" s="1"/>
  <c r="AT21" i="14" s="1"/>
  <c r="AT22" i="14" s="1"/>
  <c r="AT23" i="14" s="1"/>
  <c r="AT24" i="14" s="1"/>
  <c r="AT25" i="14" s="1"/>
  <c r="AT26" i="14" s="1"/>
  <c r="AT27" i="14" s="1"/>
  <c r="CM12" i="16"/>
  <c r="CM13" i="16" s="1"/>
  <c r="CM14" i="16" s="1"/>
  <c r="CM15" i="16" s="1"/>
  <c r="CM16" i="16" s="1"/>
  <c r="CM17" i="16" s="1"/>
  <c r="CM18" i="16" s="1"/>
  <c r="CM19" i="16" s="1"/>
  <c r="CM20" i="16" s="1"/>
  <c r="CM21" i="16" s="1"/>
  <c r="CM22" i="16" s="1"/>
  <c r="CM23" i="16" s="1"/>
  <c r="CM24" i="16" s="1"/>
  <c r="CM25" i="16" s="1"/>
  <c r="CM26" i="16" s="1"/>
  <c r="CM27" i="16" s="1"/>
  <c r="V12" i="16"/>
  <c r="V13" i="16" s="1"/>
  <c r="V14" i="16" s="1"/>
  <c r="V15" i="16" s="1"/>
  <c r="V16" i="16" s="1"/>
  <c r="V17" i="16" s="1"/>
  <c r="V18" i="16" s="1"/>
  <c r="V19" i="16" s="1"/>
  <c r="V20" i="16" s="1"/>
  <c r="V21" i="16" s="1"/>
  <c r="V22" i="16" s="1"/>
  <c r="V23" i="16" s="1"/>
  <c r="V24" i="16" s="1"/>
  <c r="V25" i="16" s="1"/>
  <c r="V26" i="16" s="1"/>
  <c r="V27" i="16" s="1"/>
  <c r="AT88" i="15"/>
  <c r="AT89" i="15" s="1"/>
  <c r="AT90" i="15" s="1"/>
  <c r="AT91" i="15" s="1"/>
  <c r="AT92" i="15" s="1"/>
  <c r="AT93" i="15" s="1"/>
  <c r="AT94" i="15" s="1"/>
  <c r="AT95" i="15" s="1"/>
  <c r="AT96" i="15" s="1"/>
  <c r="AT97" i="15" s="1"/>
  <c r="AT98" i="15" s="1"/>
  <c r="AT99" i="15" s="1"/>
  <c r="AT100" i="15" s="1"/>
  <c r="AT101" i="15" s="1"/>
  <c r="AT102" i="15" s="1"/>
  <c r="AT103" i="15" s="1"/>
  <c r="BS113" i="15"/>
  <c r="BS114" i="15" s="1"/>
  <c r="BS115" i="15" s="1"/>
  <c r="BS116" i="15" s="1"/>
  <c r="BS117" i="15" s="1"/>
  <c r="BS118" i="15" s="1"/>
  <c r="BS119" i="15" s="1"/>
  <c r="BS120" i="15" s="1"/>
  <c r="BS121" i="15" s="1"/>
  <c r="BS122" i="15" s="1"/>
  <c r="BS123" i="15" s="1"/>
  <c r="BS124" i="15" s="1"/>
  <c r="BS125" i="15" s="1"/>
  <c r="BS126" i="15" s="1"/>
  <c r="BS127" i="15" s="1"/>
  <c r="BS128" i="15" s="1"/>
  <c r="DO113" i="15"/>
  <c r="DO114" i="15" s="1"/>
  <c r="DO115" i="15" s="1"/>
  <c r="DO116" i="15" s="1"/>
  <c r="DO117" i="15" s="1"/>
  <c r="DO118" i="15" s="1"/>
  <c r="DO119" i="15" s="1"/>
  <c r="DO120" i="15" s="1"/>
  <c r="DO121" i="15" s="1"/>
  <c r="DO122" i="15" s="1"/>
  <c r="DO123" i="15" s="1"/>
  <c r="DO124" i="15" s="1"/>
  <c r="DO125" i="15" s="1"/>
  <c r="DO126" i="15" s="1"/>
  <c r="DO127" i="15" s="1"/>
  <c r="DO128" i="15" s="1"/>
  <c r="CQ12" i="14"/>
  <c r="CQ13" i="14" s="1"/>
  <c r="CQ14" i="14" s="1"/>
  <c r="CQ15" i="14" s="1"/>
  <c r="CQ16" i="14" s="1"/>
  <c r="CQ17" i="14" s="1"/>
  <c r="CQ18" i="14" s="1"/>
  <c r="CQ19" i="14" s="1"/>
  <c r="CQ20" i="14" s="1"/>
  <c r="CQ21" i="14" s="1"/>
  <c r="CQ22" i="14" s="1"/>
  <c r="CQ23" i="14" s="1"/>
  <c r="CQ24" i="14" s="1"/>
  <c r="CQ25" i="14" s="1"/>
  <c r="CQ26" i="14" s="1"/>
  <c r="CQ27" i="14" s="1"/>
  <c r="W12" i="14"/>
  <c r="W13" i="14" s="1"/>
  <c r="W14" i="14" s="1"/>
  <c r="W15" i="14" s="1"/>
  <c r="W16" i="14" s="1"/>
  <c r="W17" i="14" s="1"/>
  <c r="W18" i="14" s="1"/>
  <c r="W19" i="14" s="1"/>
  <c r="W20" i="14" s="1"/>
  <c r="W21" i="14" s="1"/>
  <c r="W22" i="14" s="1"/>
  <c r="W23" i="14" s="1"/>
  <c r="W24" i="14" s="1"/>
  <c r="W25" i="14" s="1"/>
  <c r="W26" i="14" s="1"/>
  <c r="W27" i="14" s="1"/>
  <c r="DK12" i="16"/>
  <c r="DK13" i="16" s="1"/>
  <c r="DK14" i="16" s="1"/>
  <c r="DK15" i="16" s="1"/>
  <c r="DK16" i="16" s="1"/>
  <c r="DK17" i="16" s="1"/>
  <c r="DK18" i="16" s="1"/>
  <c r="DK19" i="16" s="1"/>
  <c r="DK20" i="16" s="1"/>
  <c r="DK21" i="16" s="1"/>
  <c r="DK22" i="16" s="1"/>
  <c r="DK23" i="16" s="1"/>
  <c r="DK24" i="16" s="1"/>
  <c r="DK25" i="16" s="1"/>
  <c r="DK26" i="16" s="1"/>
  <c r="DK27" i="16" s="1"/>
  <c r="BS12" i="13"/>
  <c r="BS13" i="13" s="1"/>
  <c r="BS14" i="13" s="1"/>
  <c r="BS15" i="13" s="1"/>
  <c r="BS16" i="13" s="1"/>
  <c r="BS17" i="13" s="1"/>
  <c r="BS18" i="13" s="1"/>
  <c r="BS19" i="13" s="1"/>
  <c r="BS20" i="13" s="1"/>
  <c r="BS21" i="13" s="1"/>
  <c r="BS22" i="13" s="1"/>
  <c r="BS23" i="13" s="1"/>
  <c r="BS24" i="13" s="1"/>
  <c r="BS25" i="13" s="1"/>
  <c r="BS26" i="13" s="1"/>
  <c r="BS27" i="13" s="1"/>
  <c r="DO12" i="13"/>
  <c r="DO13" i="13" s="1"/>
  <c r="DO14" i="13" s="1"/>
  <c r="DO15" i="13" s="1"/>
  <c r="DO16" i="13" s="1"/>
  <c r="DO17" i="13" s="1"/>
  <c r="DO18" i="13" s="1"/>
  <c r="DO19" i="13" s="1"/>
  <c r="DO20" i="13" s="1"/>
  <c r="DO21" i="13" s="1"/>
  <c r="DO22" i="13" s="1"/>
  <c r="DO23" i="13" s="1"/>
  <c r="DO24" i="13" s="1"/>
  <c r="DO25" i="13" s="1"/>
  <c r="DO26" i="13" s="1"/>
  <c r="DO27" i="13" s="1"/>
  <c r="AS12" i="16"/>
  <c r="AS13" i="16" s="1"/>
  <c r="AS14" i="16" s="1"/>
  <c r="AS15" i="16" s="1"/>
  <c r="AS16" i="16" s="1"/>
  <c r="AS17" i="16" s="1"/>
  <c r="AS18" i="16" s="1"/>
  <c r="AS19" i="16" s="1"/>
  <c r="AS20" i="16" s="1"/>
  <c r="AS21" i="16" s="1"/>
  <c r="AS22" i="16" s="1"/>
  <c r="AS23" i="16" s="1"/>
  <c r="AS24" i="16" s="1"/>
  <c r="AS25" i="16" s="1"/>
  <c r="AS26" i="16" s="1"/>
  <c r="AS27" i="16" s="1"/>
  <c r="DN12" i="15"/>
  <c r="DN13" i="15" s="1"/>
  <c r="DN14" i="15" s="1"/>
  <c r="DN15" i="15" s="1"/>
  <c r="DN16" i="15" s="1"/>
  <c r="DN17" i="15" s="1"/>
  <c r="DN18" i="15" s="1"/>
  <c r="DN19" i="15" s="1"/>
  <c r="DN20" i="15" s="1"/>
  <c r="DN21" i="15" s="1"/>
  <c r="DN22" i="15" s="1"/>
  <c r="DN23" i="15" s="1"/>
  <c r="DN24" i="15" s="1"/>
  <c r="DN25" i="15" s="1"/>
  <c r="DN26" i="15" s="1"/>
  <c r="DN27" i="15" s="1"/>
  <c r="V12" i="15"/>
  <c r="V13" i="15" s="1"/>
  <c r="V14" i="15" s="1"/>
  <c r="V15" i="15" s="1"/>
  <c r="V16" i="15" s="1"/>
  <c r="V17" i="15" s="1"/>
  <c r="V18" i="15" s="1"/>
  <c r="V19" i="15" s="1"/>
  <c r="V20" i="15" s="1"/>
  <c r="V21" i="15" s="1"/>
  <c r="V22" i="15" s="1"/>
  <c r="V23" i="15" s="1"/>
  <c r="V24" i="15" s="1"/>
  <c r="V25" i="15" s="1"/>
  <c r="V26" i="15" s="1"/>
  <c r="V27" i="15" s="1"/>
  <c r="AT12" i="16"/>
  <c r="AT13" i="16" s="1"/>
  <c r="AT14" i="16" s="1"/>
  <c r="AT15" i="16" s="1"/>
  <c r="AT16" i="16" s="1"/>
  <c r="AT17" i="16" s="1"/>
  <c r="AT18" i="16" s="1"/>
  <c r="AT19" i="16" s="1"/>
  <c r="AT20" i="16" s="1"/>
  <c r="AT21" i="16" s="1"/>
  <c r="AT22" i="16" s="1"/>
  <c r="AT23" i="16" s="1"/>
  <c r="AT24" i="16" s="1"/>
  <c r="AT25" i="16" s="1"/>
  <c r="AT26" i="16" s="1"/>
  <c r="AT27" i="16" s="1"/>
  <c r="CP12" i="13"/>
  <c r="CP13" i="13" s="1"/>
  <c r="CP14" i="13" s="1"/>
  <c r="CP15" i="13" s="1"/>
  <c r="CP16" i="13" s="1"/>
  <c r="CP17" i="13" s="1"/>
  <c r="CP18" i="13" s="1"/>
  <c r="CP19" i="13" s="1"/>
  <c r="CP20" i="13" s="1"/>
  <c r="CP21" i="13" s="1"/>
  <c r="CP22" i="13" s="1"/>
  <c r="CP23" i="13" s="1"/>
  <c r="CP24" i="13" s="1"/>
  <c r="CP25" i="13" s="1"/>
  <c r="CP26" i="13" s="1"/>
  <c r="CP27" i="13" s="1"/>
  <c r="DN12" i="14"/>
  <c r="DN13" i="14" s="1"/>
  <c r="DN14" i="14" s="1"/>
  <c r="DN15" i="14" s="1"/>
  <c r="DN16" i="14" s="1"/>
  <c r="DN17" i="14" s="1"/>
  <c r="DN18" i="14" s="1"/>
  <c r="DN19" i="14" s="1"/>
  <c r="DN20" i="14" s="1"/>
  <c r="DN21" i="14" s="1"/>
  <c r="DN22" i="14" s="1"/>
  <c r="DN23" i="14" s="1"/>
  <c r="DN24" i="14" s="1"/>
  <c r="DN25" i="14" s="1"/>
  <c r="DN26" i="14" s="1"/>
  <c r="DN27" i="14" s="1"/>
  <c r="CQ12" i="13"/>
  <c r="CQ13" i="13" s="1"/>
  <c r="CQ14" i="13" s="1"/>
  <c r="CQ15" i="13" s="1"/>
  <c r="CQ16" i="13" s="1"/>
  <c r="CQ17" i="13" s="1"/>
  <c r="CQ18" i="13" s="1"/>
  <c r="CQ19" i="13" s="1"/>
  <c r="CQ20" i="13" s="1"/>
  <c r="CQ21" i="13" s="1"/>
  <c r="CQ22" i="13" s="1"/>
  <c r="CQ23" i="13" s="1"/>
  <c r="CQ24" i="13" s="1"/>
  <c r="CQ25" i="13" s="1"/>
  <c r="CQ26" i="13" s="1"/>
  <c r="CQ27" i="13" s="1"/>
  <c r="W12" i="16"/>
  <c r="W13" i="16" s="1"/>
  <c r="W14" i="16" s="1"/>
  <c r="W15" i="16" s="1"/>
  <c r="W16" i="16" s="1"/>
  <c r="W17" i="16" s="1"/>
  <c r="W18" i="16" s="1"/>
  <c r="W19" i="16" s="1"/>
  <c r="W20" i="16" s="1"/>
  <c r="W21" i="16" s="1"/>
  <c r="W22" i="16" s="1"/>
  <c r="W23" i="16" s="1"/>
  <c r="W24" i="16" s="1"/>
  <c r="W25" i="16" s="1"/>
  <c r="W26" i="16" s="1"/>
  <c r="W27" i="16" s="1"/>
  <c r="W12" i="15"/>
  <c r="W13" i="15" s="1"/>
  <c r="W14" i="15" s="1"/>
  <c r="W15" i="15" s="1"/>
  <c r="W16" i="15" s="1"/>
  <c r="W17" i="15" s="1"/>
  <c r="W18" i="15" s="1"/>
  <c r="W19" i="15" s="1"/>
  <c r="W20" i="15" s="1"/>
  <c r="W21" i="15" s="1"/>
  <c r="W22" i="15" s="1"/>
  <c r="W23" i="15" s="1"/>
  <c r="W24" i="15" s="1"/>
  <c r="W25" i="15" s="1"/>
  <c r="W26" i="15" s="1"/>
  <c r="W27" i="15" s="1"/>
  <c r="DO12" i="15"/>
  <c r="DO13" i="15" s="1"/>
  <c r="DO14" i="15" s="1"/>
  <c r="DO15" i="15" s="1"/>
  <c r="DO16" i="15" s="1"/>
  <c r="DO17" i="15" s="1"/>
  <c r="DO18" i="15" s="1"/>
  <c r="DO19" i="15" s="1"/>
  <c r="DO20" i="15" s="1"/>
  <c r="DO21" i="15" s="1"/>
  <c r="DO22" i="15" s="1"/>
  <c r="DO23" i="15" s="1"/>
  <c r="DO24" i="15" s="1"/>
  <c r="DO25" i="15" s="1"/>
  <c r="DO26" i="15" s="1"/>
  <c r="DO27" i="15" s="1"/>
  <c r="CP88" i="15"/>
  <c r="CP89" i="15" s="1"/>
  <c r="CP90" i="15" s="1"/>
  <c r="CP91" i="15" s="1"/>
  <c r="CP92" i="15" s="1"/>
  <c r="CP93" i="15" s="1"/>
  <c r="CP94" i="15" s="1"/>
  <c r="CP95" i="15" s="1"/>
  <c r="CP96" i="15" s="1"/>
  <c r="CP97" i="15" s="1"/>
  <c r="CP98" i="15" s="1"/>
  <c r="CP99" i="15" s="1"/>
  <c r="CP100" i="15" s="1"/>
  <c r="CP101" i="15" s="1"/>
  <c r="CP102" i="15" s="1"/>
  <c r="CP103" i="15" s="1"/>
  <c r="AH65" i="10"/>
  <c r="BR12" i="13"/>
  <c r="BR13" i="13" s="1"/>
  <c r="BR14" i="13" s="1"/>
  <c r="BR15" i="13" s="1"/>
  <c r="BR16" i="13" s="1"/>
  <c r="BR17" i="13" s="1"/>
  <c r="BR18" i="13" s="1"/>
  <c r="BR19" i="13" s="1"/>
  <c r="BR20" i="13" s="1"/>
  <c r="BR21" i="13" s="1"/>
  <c r="BR22" i="13" s="1"/>
  <c r="BR23" i="13" s="1"/>
  <c r="BR24" i="13" s="1"/>
  <c r="BR25" i="13" s="1"/>
  <c r="BR26" i="13" s="1"/>
  <c r="BR27" i="13" s="1"/>
  <c r="W12" i="13"/>
  <c r="W13" i="13" s="1"/>
  <c r="W14" i="13" s="1"/>
  <c r="W15" i="13" s="1"/>
  <c r="W16" i="13" s="1"/>
  <c r="W17" i="13" s="1"/>
  <c r="W18" i="13" s="1"/>
  <c r="W19" i="13" s="1"/>
  <c r="W20" i="13" s="1"/>
  <c r="W21" i="13" s="1"/>
  <c r="W22" i="13" s="1"/>
  <c r="W23" i="13" s="1"/>
  <c r="W24" i="13" s="1"/>
  <c r="W25" i="13" s="1"/>
  <c r="W26" i="13" s="1"/>
  <c r="W27" i="13" s="1"/>
  <c r="CP12" i="14"/>
  <c r="CP13" i="14" s="1"/>
  <c r="CP14" i="14" s="1"/>
  <c r="CP15" i="14" s="1"/>
  <c r="CP16" i="14" s="1"/>
  <c r="CP17" i="14" s="1"/>
  <c r="CP18" i="14" s="1"/>
  <c r="CP19" i="14" s="1"/>
  <c r="CP20" i="14" s="1"/>
  <c r="CP21" i="14" s="1"/>
  <c r="CP22" i="14" s="1"/>
  <c r="CP23" i="14" s="1"/>
  <c r="CP24" i="14" s="1"/>
  <c r="CP25" i="14" s="1"/>
  <c r="CP26" i="14" s="1"/>
  <c r="CP27" i="14" s="1"/>
  <c r="DO12" i="14"/>
  <c r="DO13" i="14" s="1"/>
  <c r="DO14" i="14" s="1"/>
  <c r="DO15" i="14" s="1"/>
  <c r="DO16" i="14" s="1"/>
  <c r="DO17" i="14" s="1"/>
  <c r="DO18" i="14" s="1"/>
  <c r="DO19" i="14" s="1"/>
  <c r="DO20" i="14" s="1"/>
  <c r="DO21" i="14" s="1"/>
  <c r="DO22" i="14" s="1"/>
  <c r="DO23" i="14" s="1"/>
  <c r="DO24" i="14" s="1"/>
  <c r="DO25" i="14" s="1"/>
  <c r="DO26" i="14" s="1"/>
  <c r="DO27" i="14" s="1"/>
  <c r="AU12" i="13"/>
  <c r="AU13" i="13" s="1"/>
  <c r="AU14" i="13" s="1"/>
  <c r="AU15" i="13" s="1"/>
  <c r="AU16" i="13" s="1"/>
  <c r="AU17" i="13" s="1"/>
  <c r="AU18" i="13" s="1"/>
  <c r="AU19" i="13" s="1"/>
  <c r="AU20" i="13" s="1"/>
  <c r="AU21" i="13" s="1"/>
  <c r="AU22" i="13" s="1"/>
  <c r="AU23" i="13" s="1"/>
  <c r="AU24" i="13" s="1"/>
  <c r="AU25" i="13" s="1"/>
  <c r="AU26" i="13" s="1"/>
  <c r="AU27" i="13" s="1"/>
  <c r="BS12" i="15"/>
  <c r="BS13" i="15" s="1"/>
  <c r="BS14" i="15" s="1"/>
  <c r="BS15" i="15" s="1"/>
  <c r="BS16" i="15" s="1"/>
  <c r="BS17" i="15" s="1"/>
  <c r="BS18" i="15" s="1"/>
  <c r="BS19" i="15" s="1"/>
  <c r="BS20" i="15" s="1"/>
  <c r="BS21" i="15" s="1"/>
  <c r="BS22" i="15" s="1"/>
  <c r="BS23" i="15" s="1"/>
  <c r="BS24" i="15" s="1"/>
  <c r="BS25" i="15" s="1"/>
  <c r="BS26" i="15" s="1"/>
  <c r="BS27" i="15" s="1"/>
  <c r="AU12" i="14"/>
  <c r="AU13" i="14" s="1"/>
  <c r="AU14" i="14" s="1"/>
  <c r="AU15" i="14" s="1"/>
  <c r="AU16" i="14" s="1"/>
  <c r="AU17" i="14" s="1"/>
  <c r="AU18" i="14" s="1"/>
  <c r="AU19" i="14" s="1"/>
  <c r="AU20" i="14" s="1"/>
  <c r="AU21" i="14" s="1"/>
  <c r="AU22" i="14" s="1"/>
  <c r="AU23" i="14" s="1"/>
  <c r="AU24" i="14" s="1"/>
  <c r="AU25" i="14" s="1"/>
  <c r="AU26" i="14" s="1"/>
  <c r="AU27" i="14" s="1"/>
  <c r="DN12" i="13"/>
  <c r="DN13" i="13" s="1"/>
  <c r="DN14" i="13" s="1"/>
  <c r="DN15" i="13" s="1"/>
  <c r="DN16" i="13" s="1"/>
  <c r="DN17" i="13" s="1"/>
  <c r="DN18" i="13" s="1"/>
  <c r="DN19" i="13" s="1"/>
  <c r="DN20" i="13" s="1"/>
  <c r="DN21" i="13" s="1"/>
  <c r="DN22" i="13" s="1"/>
  <c r="DN23" i="13" s="1"/>
  <c r="DN24" i="13" s="1"/>
  <c r="DN25" i="13" s="1"/>
  <c r="DN26" i="13" s="1"/>
  <c r="DN27" i="13" s="1"/>
  <c r="DJ12" i="16"/>
  <c r="DJ13" i="16" s="1"/>
  <c r="DJ14" i="16" s="1"/>
  <c r="DJ15" i="16" s="1"/>
  <c r="DJ16" i="16" s="1"/>
  <c r="DJ17" i="16" s="1"/>
  <c r="DJ18" i="16" s="1"/>
  <c r="DJ19" i="16" s="1"/>
  <c r="DJ20" i="16" s="1"/>
  <c r="DJ21" i="16" s="1"/>
  <c r="DJ22" i="16" s="1"/>
  <c r="DJ23" i="16" s="1"/>
  <c r="DJ24" i="16" s="1"/>
  <c r="DJ25" i="16" s="1"/>
  <c r="DJ26" i="16" s="1"/>
  <c r="DJ27" i="16" s="1"/>
  <c r="V12" i="14"/>
  <c r="V13" i="14" s="1"/>
  <c r="V14" i="14" s="1"/>
  <c r="V15" i="14" s="1"/>
  <c r="V16" i="14" s="1"/>
  <c r="V17" i="14" s="1"/>
  <c r="V18" i="14" s="1"/>
  <c r="V19" i="14" s="1"/>
  <c r="V20" i="14" s="1"/>
  <c r="V21" i="14" s="1"/>
  <c r="V22" i="14" s="1"/>
  <c r="V23" i="14" s="1"/>
  <c r="V24" i="14" s="1"/>
  <c r="V25" i="14" s="1"/>
  <c r="V26" i="14" s="1"/>
  <c r="V27" i="14" s="1"/>
  <c r="CQ88" i="15"/>
  <c r="CQ89" i="15" s="1"/>
  <c r="CQ90" i="15" s="1"/>
  <c r="CQ91" i="15" s="1"/>
  <c r="CQ92" i="15" s="1"/>
  <c r="CQ93" i="15" s="1"/>
  <c r="CQ94" i="15" s="1"/>
  <c r="CQ95" i="15" s="1"/>
  <c r="CQ96" i="15" s="1"/>
  <c r="CQ97" i="15" s="1"/>
  <c r="CQ98" i="15" s="1"/>
  <c r="CQ99" i="15" s="1"/>
  <c r="CQ100" i="15" s="1"/>
  <c r="CQ101" i="15" s="1"/>
  <c r="CQ102" i="15" s="1"/>
  <c r="CQ103" i="15" s="1"/>
  <c r="CP12" i="15"/>
  <c r="CP13" i="15" s="1"/>
  <c r="CP14" i="15" s="1"/>
  <c r="CP15" i="15" s="1"/>
  <c r="CP16" i="15" s="1"/>
  <c r="CP17" i="15" s="1"/>
  <c r="CP18" i="15" s="1"/>
  <c r="CP19" i="15" s="1"/>
  <c r="CP20" i="15" s="1"/>
  <c r="CP21" i="15" s="1"/>
  <c r="CP22" i="15" s="1"/>
  <c r="CP23" i="15" s="1"/>
  <c r="CP24" i="15" s="1"/>
  <c r="CP25" i="15" s="1"/>
  <c r="CP26" i="15" s="1"/>
  <c r="CP27" i="15" s="1"/>
  <c r="BP12" i="16"/>
  <c r="BP13" i="16" s="1"/>
  <c r="BP14" i="16" s="1"/>
  <c r="BP15" i="16" s="1"/>
  <c r="BP16" i="16" s="1"/>
  <c r="BP17" i="16" s="1"/>
  <c r="BP18" i="16" s="1"/>
  <c r="BP19" i="16" s="1"/>
  <c r="BP20" i="16" s="1"/>
  <c r="BP21" i="16" s="1"/>
  <c r="BP22" i="16" s="1"/>
  <c r="BP23" i="16" s="1"/>
  <c r="BP24" i="16" s="1"/>
  <c r="BP25" i="16" s="1"/>
  <c r="BP26" i="16" s="1"/>
  <c r="BP27" i="16" s="1"/>
  <c r="V12" i="13"/>
  <c r="V13" i="13" s="1"/>
  <c r="V14" i="13" s="1"/>
  <c r="V15" i="13" s="1"/>
  <c r="V16" i="13" s="1"/>
  <c r="V17" i="13" s="1"/>
  <c r="V18" i="13" s="1"/>
  <c r="V19" i="13" s="1"/>
  <c r="V20" i="13" s="1"/>
  <c r="V21" i="13" s="1"/>
  <c r="V22" i="13" s="1"/>
  <c r="V23" i="13" s="1"/>
  <c r="V24" i="13" s="1"/>
  <c r="V25" i="13" s="1"/>
  <c r="V26" i="13" s="1"/>
  <c r="V27" i="13" s="1"/>
  <c r="BR12" i="14"/>
  <c r="BR13" i="14" s="1"/>
  <c r="BR14" i="14" s="1"/>
  <c r="BR15" i="14" s="1"/>
  <c r="BR16" i="14" s="1"/>
  <c r="BR17" i="14" s="1"/>
  <c r="BR18" i="14" s="1"/>
  <c r="BR19" i="14" s="1"/>
  <c r="BR20" i="14" s="1"/>
  <c r="BR21" i="14" s="1"/>
  <c r="BR22" i="14" s="1"/>
  <c r="BR23" i="14" s="1"/>
  <c r="BR24" i="14" s="1"/>
  <c r="BR25" i="14" s="1"/>
  <c r="BR26" i="14" s="1"/>
  <c r="BR27" i="14" s="1"/>
  <c r="AT12" i="13"/>
  <c r="AT13" i="13" s="1"/>
  <c r="AT14" i="13" s="1"/>
  <c r="AT15" i="13" s="1"/>
  <c r="AT16" i="13" s="1"/>
  <c r="AT17" i="13" s="1"/>
  <c r="AT18" i="13" s="1"/>
  <c r="AT19" i="13" s="1"/>
  <c r="AT20" i="13" s="1"/>
  <c r="AT21" i="13" s="1"/>
  <c r="AT22" i="13" s="1"/>
  <c r="AT23" i="13" s="1"/>
  <c r="AT24" i="13" s="1"/>
  <c r="AT25" i="13" s="1"/>
  <c r="AT26" i="13" s="1"/>
  <c r="AT27" i="13" s="1"/>
  <c r="CN12" i="16"/>
  <c r="CN13" i="16" s="1"/>
  <c r="CN14" i="16" s="1"/>
  <c r="CN15" i="16" s="1"/>
  <c r="CN16" i="16" s="1"/>
  <c r="CN17" i="16" s="1"/>
  <c r="CN18" i="16" s="1"/>
  <c r="CN19" i="16" s="1"/>
  <c r="CN20" i="16" s="1"/>
  <c r="CN21" i="16" s="1"/>
  <c r="CN22" i="16" s="1"/>
  <c r="CN23" i="16" s="1"/>
  <c r="CN24" i="16" s="1"/>
  <c r="CN25" i="16" s="1"/>
  <c r="CN26" i="16" s="1"/>
  <c r="CN27" i="16" s="1"/>
  <c r="BQ12" i="16"/>
  <c r="BQ13" i="16" s="1"/>
  <c r="BQ14" i="16" s="1"/>
  <c r="BQ15" i="16" s="1"/>
  <c r="BQ16" i="16" s="1"/>
  <c r="BQ17" i="16" s="1"/>
  <c r="BQ18" i="16" s="1"/>
  <c r="BQ19" i="16" s="1"/>
  <c r="BQ20" i="16" s="1"/>
  <c r="BQ21" i="16" s="1"/>
  <c r="BQ22" i="16" s="1"/>
  <c r="BQ23" i="16" s="1"/>
  <c r="BQ24" i="16" s="1"/>
  <c r="BQ25" i="16" s="1"/>
  <c r="BQ26" i="16" s="1"/>
  <c r="BQ27" i="16" s="1"/>
  <c r="BS12" i="14"/>
  <c r="BS13" i="14" s="1"/>
  <c r="BS14" i="14" s="1"/>
  <c r="BS15" i="14" s="1"/>
  <c r="BS16" i="14" s="1"/>
  <c r="BS17" i="14" s="1"/>
  <c r="BS18" i="14" s="1"/>
  <c r="BS19" i="14" s="1"/>
  <c r="BS20" i="14" s="1"/>
  <c r="BS21" i="14" s="1"/>
  <c r="BS22" i="14" s="1"/>
  <c r="BS23" i="14" s="1"/>
  <c r="BS24" i="14" s="1"/>
  <c r="BS25" i="14" s="1"/>
  <c r="BS26" i="14" s="1"/>
  <c r="BS27" i="14" s="1"/>
  <c r="CQ12" i="15"/>
  <c r="CQ13" i="15" s="1"/>
  <c r="CQ14" i="15" s="1"/>
  <c r="CQ15" i="15" s="1"/>
  <c r="CQ16" i="15" s="1"/>
  <c r="CQ17" i="15" s="1"/>
  <c r="CQ18" i="15" s="1"/>
  <c r="CQ19" i="15" s="1"/>
  <c r="CQ20" i="15" s="1"/>
  <c r="CQ21" i="15" s="1"/>
  <c r="CQ22" i="15" s="1"/>
  <c r="CQ23" i="15" s="1"/>
  <c r="CQ24" i="15" s="1"/>
  <c r="CQ25" i="15" s="1"/>
  <c r="CQ26" i="15" s="1"/>
  <c r="CQ27" i="15" s="1"/>
  <c r="AU88" i="15"/>
  <c r="AU89" i="15" s="1"/>
  <c r="AU90" i="15" s="1"/>
  <c r="AU91" i="15" s="1"/>
  <c r="AU92" i="15" s="1"/>
  <c r="AU93" i="15" s="1"/>
  <c r="AU94" i="15" s="1"/>
  <c r="AU95" i="15" s="1"/>
  <c r="AU96" i="15" s="1"/>
  <c r="AU97" i="15" s="1"/>
  <c r="AU98" i="15" s="1"/>
  <c r="AU99" i="15" s="1"/>
  <c r="AU100" i="15" s="1"/>
  <c r="AU101" i="15" s="1"/>
  <c r="AU102" i="15" s="1"/>
  <c r="AU103" i="15" s="1"/>
  <c r="AI65" i="10"/>
  <c r="AT113" i="15"/>
  <c r="AT114" i="15" s="1"/>
  <c r="AT115" i="15" s="1"/>
  <c r="AT116" i="15" s="1"/>
  <c r="AT117" i="15" s="1"/>
  <c r="AT118" i="15" s="1"/>
  <c r="AT119" i="15" s="1"/>
  <c r="AT120" i="15" s="1"/>
  <c r="AT121" i="15" s="1"/>
  <c r="AT122" i="15" s="1"/>
  <c r="AT123" i="15" s="1"/>
  <c r="AT124" i="15" s="1"/>
  <c r="AT125" i="15" s="1"/>
  <c r="AT126" i="15" s="1"/>
  <c r="AT127" i="15" s="1"/>
  <c r="AT128" i="15" s="1"/>
  <c r="CQ113" i="15"/>
  <c r="CQ114" i="15" s="1"/>
  <c r="CQ115" i="15" s="1"/>
  <c r="CQ116" i="15" s="1"/>
  <c r="CQ117" i="15" s="1"/>
  <c r="CQ118" i="15" s="1"/>
  <c r="CQ119" i="15" s="1"/>
  <c r="CQ120" i="15" s="1"/>
  <c r="CQ121" i="15" s="1"/>
  <c r="CQ122" i="15" s="1"/>
  <c r="CQ123" i="15" s="1"/>
  <c r="CQ124" i="15" s="1"/>
  <c r="CQ125" i="15" s="1"/>
  <c r="CQ126" i="15" s="1"/>
  <c r="CQ127" i="15" s="1"/>
  <c r="CQ128" i="15" s="1"/>
  <c r="AU113" i="15"/>
  <c r="AU114" i="15" s="1"/>
  <c r="AU115" i="15" s="1"/>
  <c r="AU116" i="15" s="1"/>
  <c r="AU117" i="15" s="1"/>
  <c r="AU118" i="15" s="1"/>
  <c r="AU119" i="15" s="1"/>
  <c r="AU120" i="15" s="1"/>
  <c r="AU121" i="15" s="1"/>
  <c r="AU122" i="15" s="1"/>
  <c r="AU123" i="15" s="1"/>
  <c r="AU124" i="15" s="1"/>
  <c r="AU125" i="15" s="1"/>
  <c r="AU126" i="15" s="1"/>
  <c r="AU127" i="15" s="1"/>
  <c r="AU128" i="15" s="1"/>
  <c r="AD163" i="14"/>
  <c r="AD165" i="14" s="1"/>
  <c r="AD167" i="14" s="1"/>
  <c r="AD164" i="14"/>
  <c r="AD166" i="14" s="1"/>
  <c r="AD168" i="14" s="1"/>
  <c r="AD166" i="13"/>
  <c r="AD168" i="13" s="1"/>
  <c r="F25" i="12"/>
  <c r="AF166" i="14"/>
  <c r="AF168" i="14" s="1"/>
  <c r="G17" i="12"/>
  <c r="E31" i="12"/>
  <c r="Z166" i="14"/>
  <c r="Z168" i="14" s="1"/>
  <c r="I39" i="12"/>
  <c r="I40" i="12"/>
  <c r="X163" i="15"/>
  <c r="X165" i="15" s="1"/>
  <c r="X167" i="15" s="1"/>
  <c r="X164" i="15"/>
  <c r="Y166" i="14"/>
  <c r="Y168" i="14" s="1"/>
  <c r="E24" i="12"/>
  <c r="Y166" i="13"/>
  <c r="Y168" i="13" s="1"/>
  <c r="E17" i="12"/>
  <c r="AB166" i="15"/>
  <c r="AB168" i="15" s="1"/>
  <c r="F32" i="12"/>
  <c r="W166" i="15"/>
  <c r="W168" i="15" s="1"/>
  <c r="F31" i="12"/>
  <c r="AE166" i="14"/>
  <c r="AE168" i="14" s="1"/>
  <c r="H25" i="12"/>
  <c r="I38" i="12"/>
  <c r="AD166" i="15"/>
  <c r="AD168" i="15" s="1"/>
  <c r="E32" i="12"/>
  <c r="AC166" i="14"/>
  <c r="AC168" i="14" s="1"/>
  <c r="G25" i="12"/>
  <c r="AA166" i="13"/>
  <c r="AA168" i="13" s="1"/>
  <c r="D17" i="12"/>
  <c r="AE166" i="15"/>
  <c r="AE168" i="15" s="1"/>
  <c r="H32" i="12"/>
  <c r="W166" i="13"/>
  <c r="W168" i="13" s="1"/>
  <c r="F17" i="12"/>
  <c r="AA166" i="14"/>
  <c r="AA168" i="14" s="1"/>
  <c r="D24" i="12"/>
  <c r="AB166" i="13"/>
  <c r="AB168" i="13" s="1"/>
  <c r="F18" i="12"/>
  <c r="AA166" i="15"/>
  <c r="AA168" i="15" s="1"/>
  <c r="D31" i="12"/>
  <c r="X166" i="14"/>
  <c r="X168" i="14" s="1"/>
  <c r="G24" i="12"/>
  <c r="AF166" i="13"/>
  <c r="AF168" i="13" s="1"/>
  <c r="D18" i="12"/>
  <c r="AE166" i="13"/>
  <c r="AE168" i="13" s="1"/>
  <c r="H18" i="12"/>
  <c r="AF166" i="15"/>
  <c r="AF168" i="15" s="1"/>
  <c r="AC166" i="13"/>
  <c r="AC168" i="13" s="1"/>
  <c r="G18" i="12"/>
  <c r="Z166" i="13"/>
  <c r="Z168" i="13" s="1"/>
  <c r="H17" i="12"/>
  <c r="W166" i="14"/>
  <c r="W168" i="14" s="1"/>
  <c r="F24" i="12"/>
  <c r="AC166" i="15"/>
  <c r="AC168" i="15" s="1"/>
  <c r="G32" i="12"/>
  <c r="Z163" i="15"/>
  <c r="Z165" i="15" s="1"/>
  <c r="Z167" i="15" s="1"/>
  <c r="Z164" i="15"/>
  <c r="G36" i="12"/>
  <c r="S166" i="15"/>
  <c r="S168" i="15" s="1"/>
  <c r="V166" i="15"/>
  <c r="V168" i="15" s="1"/>
  <c r="D36" i="12"/>
  <c r="F36" i="12"/>
  <c r="R166" i="15"/>
  <c r="R168" i="15" s="1"/>
  <c r="R166" i="14"/>
  <c r="R168" i="14" s="1"/>
  <c r="F29" i="12"/>
  <c r="G29" i="12"/>
  <c r="S166" i="14"/>
  <c r="S168" i="14" s="1"/>
  <c r="E29" i="12"/>
  <c r="T166" i="14"/>
  <c r="T168" i="14" s="1"/>
  <c r="U166" i="14"/>
  <c r="U168" i="14" s="1"/>
  <c r="H29" i="12"/>
  <c r="V166" i="14"/>
  <c r="V168" i="14" s="1"/>
  <c r="D29" i="12"/>
  <c r="E36" i="12"/>
  <c r="T166" i="15"/>
  <c r="T168" i="15" s="1"/>
  <c r="U166" i="15"/>
  <c r="U168" i="15" s="1"/>
  <c r="H36" i="12"/>
  <c r="I43" i="12"/>
  <c r="R161" i="13"/>
  <c r="R164" i="13" s="1"/>
  <c r="S166" i="13"/>
  <c r="S168" i="13" s="1"/>
  <c r="G22" i="12"/>
  <c r="U166" i="13"/>
  <c r="U168" i="13" s="1"/>
  <c r="H22" i="12"/>
  <c r="V166" i="13"/>
  <c r="V168" i="13" s="1"/>
  <c r="D22" i="12"/>
  <c r="T166" i="13"/>
  <c r="T168" i="13" s="1"/>
  <c r="E22" i="12"/>
  <c r="BO27" i="16"/>
  <c r="J162" i="16" s="1"/>
  <c r="J163" i="16" s="1"/>
  <c r="AI14" i="10"/>
  <c r="J81" i="22"/>
  <c r="F61" i="22"/>
  <c r="AH40" i="10"/>
  <c r="E81" i="22"/>
  <c r="AI41" i="10"/>
  <c r="K82" i="22"/>
  <c r="AH14" i="10"/>
  <c r="D81" i="22"/>
  <c r="V29" i="8"/>
  <c r="V27" i="8" s="1"/>
  <c r="BQ38" i="14"/>
  <c r="BQ39" i="14" s="1"/>
  <c r="BQ40" i="14" s="1"/>
  <c r="BQ41" i="14" s="1"/>
  <c r="BQ42" i="14" s="1"/>
  <c r="BQ43" i="14" s="1"/>
  <c r="BQ44" i="14" s="1"/>
  <c r="BQ45" i="14" s="1"/>
  <c r="BQ46" i="14" s="1"/>
  <c r="BQ47" i="14" s="1"/>
  <c r="BQ48" i="14" s="1"/>
  <c r="BQ49" i="14" s="1"/>
  <c r="BQ50" i="14" s="1"/>
  <c r="BQ51" i="14" s="1"/>
  <c r="BQ52" i="14" s="1"/>
  <c r="BQ53" i="14" s="1"/>
  <c r="O162" i="14" s="1"/>
  <c r="BH38" i="14"/>
  <c r="BM38" i="14" s="1"/>
  <c r="BI38" i="14"/>
  <c r="BN38" i="14" s="1"/>
  <c r="AS38" i="15"/>
  <c r="AJ38" i="15"/>
  <c r="AO38" i="15" s="1"/>
  <c r="AK38" i="15"/>
  <c r="AP38" i="15" s="1"/>
  <c r="BQ38" i="15"/>
  <c r="BQ39" i="15" s="1"/>
  <c r="BQ40" i="15" s="1"/>
  <c r="BQ41" i="15" s="1"/>
  <c r="BQ42" i="15" s="1"/>
  <c r="BQ43" i="15" s="1"/>
  <c r="BQ44" i="15" s="1"/>
  <c r="BQ45" i="15" s="1"/>
  <c r="BQ46" i="15" s="1"/>
  <c r="BQ47" i="15" s="1"/>
  <c r="BQ48" i="15" s="1"/>
  <c r="BQ49" i="15" s="1"/>
  <c r="BQ50" i="15" s="1"/>
  <c r="BQ51" i="15" s="1"/>
  <c r="BQ52" i="15" s="1"/>
  <c r="BQ53" i="15" s="1"/>
  <c r="O162" i="15" s="1"/>
  <c r="BH38" i="15"/>
  <c r="BM38" i="15" s="1"/>
  <c r="BI38" i="15"/>
  <c r="BN38" i="15" s="1"/>
  <c r="BQ38" i="13"/>
  <c r="BQ39" i="13" s="1"/>
  <c r="BQ40" i="13" s="1"/>
  <c r="BQ41" i="13" s="1"/>
  <c r="BQ42" i="13" s="1"/>
  <c r="BQ43" i="13" s="1"/>
  <c r="BQ44" i="13" s="1"/>
  <c r="BQ45" i="13" s="1"/>
  <c r="BQ46" i="13" s="1"/>
  <c r="BQ47" i="13" s="1"/>
  <c r="BQ48" i="13" s="1"/>
  <c r="BQ49" i="13" s="1"/>
  <c r="BQ50" i="13" s="1"/>
  <c r="BQ51" i="13" s="1"/>
  <c r="BQ52" i="13" s="1"/>
  <c r="BQ53" i="13" s="1"/>
  <c r="O162" i="13" s="1"/>
  <c r="BH38" i="13"/>
  <c r="BM38" i="13" s="1"/>
  <c r="BI38" i="13"/>
  <c r="BN38" i="13" s="1"/>
  <c r="CO38" i="15"/>
  <c r="CO39" i="15" s="1"/>
  <c r="CO40" i="15" s="1"/>
  <c r="CO41" i="15" s="1"/>
  <c r="CO42" i="15" s="1"/>
  <c r="CO43" i="15" s="1"/>
  <c r="CO44" i="15" s="1"/>
  <c r="CO45" i="15" s="1"/>
  <c r="CO46" i="15" s="1"/>
  <c r="CO47" i="15" s="1"/>
  <c r="CO48" i="15" s="1"/>
  <c r="CO49" i="15" s="1"/>
  <c r="CO50" i="15" s="1"/>
  <c r="CO51" i="15" s="1"/>
  <c r="CO52" i="15" s="1"/>
  <c r="CO53" i="15" s="1"/>
  <c r="P162" i="15" s="1"/>
  <c r="CF38" i="15"/>
  <c r="CK38" i="15" s="1"/>
  <c r="CG38" i="15"/>
  <c r="CL38" i="15" s="1"/>
  <c r="BO38" i="16"/>
  <c r="BO39" i="16" s="1"/>
  <c r="BO40" i="16" s="1"/>
  <c r="BO41" i="16" s="1"/>
  <c r="BO42" i="16" s="1"/>
  <c r="BO43" i="16" s="1"/>
  <c r="BO44" i="16" s="1"/>
  <c r="BO45" i="16" s="1"/>
  <c r="BO46" i="16" s="1"/>
  <c r="BO47" i="16" s="1"/>
  <c r="BO48" i="16" s="1"/>
  <c r="BO49" i="16" s="1"/>
  <c r="BO50" i="16" s="1"/>
  <c r="BO51" i="16" s="1"/>
  <c r="BO52" i="16" s="1"/>
  <c r="BO53" i="16" s="1"/>
  <c r="O162" i="16" s="1"/>
  <c r="BF38" i="16"/>
  <c r="BK38" i="16" s="1"/>
  <c r="BG38" i="16"/>
  <c r="BL38" i="16" s="1"/>
  <c r="DM38" i="13"/>
  <c r="DM39" i="13" s="1"/>
  <c r="DM40" i="13" s="1"/>
  <c r="DM41" i="13" s="1"/>
  <c r="DM42" i="13" s="1"/>
  <c r="DM43" i="13" s="1"/>
  <c r="DM44" i="13" s="1"/>
  <c r="DM45" i="13" s="1"/>
  <c r="DM46" i="13" s="1"/>
  <c r="DM47" i="13" s="1"/>
  <c r="DM48" i="13" s="1"/>
  <c r="DM49" i="13" s="1"/>
  <c r="DM50" i="13" s="1"/>
  <c r="DM51" i="13" s="1"/>
  <c r="DM52" i="13" s="1"/>
  <c r="DM53" i="13" s="1"/>
  <c r="Q162" i="13" s="1"/>
  <c r="DD38" i="13"/>
  <c r="DI38" i="13" s="1"/>
  <c r="DE38" i="13"/>
  <c r="DJ38" i="13" s="1"/>
  <c r="DM38" i="14"/>
  <c r="DM39" i="14" s="1"/>
  <c r="DM40" i="14" s="1"/>
  <c r="DM41" i="14" s="1"/>
  <c r="DM42" i="14" s="1"/>
  <c r="DM43" i="14" s="1"/>
  <c r="DM44" i="14" s="1"/>
  <c r="DM45" i="14" s="1"/>
  <c r="DM46" i="14" s="1"/>
  <c r="DM47" i="14" s="1"/>
  <c r="DM48" i="14" s="1"/>
  <c r="DM49" i="14" s="1"/>
  <c r="DM50" i="14" s="1"/>
  <c r="DM51" i="14" s="1"/>
  <c r="DM52" i="14" s="1"/>
  <c r="DM53" i="14" s="1"/>
  <c r="Q162" i="14" s="1"/>
  <c r="DD38" i="14"/>
  <c r="DI38" i="14" s="1"/>
  <c r="DE38" i="14"/>
  <c r="DJ38" i="14" s="1"/>
  <c r="CL38" i="16"/>
  <c r="CL39" i="16" s="1"/>
  <c r="CL40" i="16" s="1"/>
  <c r="CL41" i="16" s="1"/>
  <c r="CL42" i="16" s="1"/>
  <c r="CL43" i="16" s="1"/>
  <c r="CL44" i="16" s="1"/>
  <c r="CL45" i="16" s="1"/>
  <c r="CL46" i="16" s="1"/>
  <c r="CL47" i="16" s="1"/>
  <c r="CL48" i="16" s="1"/>
  <c r="CL49" i="16" s="1"/>
  <c r="CL50" i="16" s="1"/>
  <c r="CL51" i="16" s="1"/>
  <c r="CL52" i="16" s="1"/>
  <c r="CL53" i="16" s="1"/>
  <c r="P162" i="16" s="1"/>
  <c r="CC38" i="16"/>
  <c r="CH38" i="16" s="1"/>
  <c r="CD38" i="16"/>
  <c r="CI38" i="16" s="1"/>
  <c r="U38" i="13"/>
  <c r="U39" i="13" s="1"/>
  <c r="U40" i="13" s="1"/>
  <c r="U41" i="13" s="1"/>
  <c r="U42" i="13" s="1"/>
  <c r="U43" i="13" s="1"/>
  <c r="U44" i="13" s="1"/>
  <c r="U45" i="13" s="1"/>
  <c r="U46" i="13" s="1"/>
  <c r="U47" i="13" s="1"/>
  <c r="U48" i="13" s="1"/>
  <c r="U49" i="13" s="1"/>
  <c r="U50" i="13" s="1"/>
  <c r="U51" i="13" s="1"/>
  <c r="U52" i="13" s="1"/>
  <c r="U53" i="13" s="1"/>
  <c r="M162" i="13" s="1"/>
  <c r="L38" i="13"/>
  <c r="Q38" i="13" s="1"/>
  <c r="M38" i="13"/>
  <c r="R38" i="13" s="1"/>
  <c r="DM38" i="15"/>
  <c r="DM39" i="15" s="1"/>
  <c r="DM40" i="15" s="1"/>
  <c r="DM41" i="15" s="1"/>
  <c r="DM42" i="15" s="1"/>
  <c r="DM43" i="15" s="1"/>
  <c r="DM44" i="15" s="1"/>
  <c r="DM45" i="15" s="1"/>
  <c r="DM46" i="15" s="1"/>
  <c r="DM47" i="15" s="1"/>
  <c r="DM48" i="15" s="1"/>
  <c r="DM49" i="15" s="1"/>
  <c r="DM50" i="15" s="1"/>
  <c r="DM51" i="15" s="1"/>
  <c r="DM52" i="15" s="1"/>
  <c r="DM53" i="15" s="1"/>
  <c r="Q162" i="15" s="1"/>
  <c r="DD38" i="15"/>
  <c r="DI38" i="15" s="1"/>
  <c r="DE38" i="15"/>
  <c r="DJ38" i="15" s="1"/>
  <c r="CO38" i="14"/>
  <c r="CO39" i="14" s="1"/>
  <c r="CO40" i="14" s="1"/>
  <c r="CO41" i="14" s="1"/>
  <c r="CO42" i="14" s="1"/>
  <c r="CO43" i="14" s="1"/>
  <c r="CO44" i="14" s="1"/>
  <c r="CO45" i="14" s="1"/>
  <c r="CO46" i="14" s="1"/>
  <c r="CO47" i="14" s="1"/>
  <c r="CO48" i="14" s="1"/>
  <c r="CO49" i="14" s="1"/>
  <c r="CO50" i="14" s="1"/>
  <c r="CO51" i="14" s="1"/>
  <c r="CO52" i="14" s="1"/>
  <c r="CO53" i="14" s="1"/>
  <c r="P162" i="14" s="1"/>
  <c r="CF38" i="14"/>
  <c r="CK38" i="14" s="1"/>
  <c r="CG38" i="14"/>
  <c r="CL38" i="14" s="1"/>
  <c r="DI38" i="16"/>
  <c r="DI39" i="16" s="1"/>
  <c r="DI40" i="16" s="1"/>
  <c r="DI41" i="16" s="1"/>
  <c r="DI42" i="16" s="1"/>
  <c r="DI43" i="16" s="1"/>
  <c r="DI44" i="16" s="1"/>
  <c r="DI45" i="16" s="1"/>
  <c r="DI46" i="16" s="1"/>
  <c r="DI47" i="16" s="1"/>
  <c r="DI48" i="16" s="1"/>
  <c r="DI49" i="16" s="1"/>
  <c r="DI50" i="16" s="1"/>
  <c r="DI51" i="16" s="1"/>
  <c r="DI52" i="16" s="1"/>
  <c r="DI53" i="16" s="1"/>
  <c r="Q162" i="16" s="1"/>
  <c r="CZ38" i="16"/>
  <c r="DE38" i="16" s="1"/>
  <c r="DA38" i="16"/>
  <c r="DF38" i="16" s="1"/>
  <c r="U38" i="14"/>
  <c r="U39" i="14" s="1"/>
  <c r="U40" i="14" s="1"/>
  <c r="U41" i="14" s="1"/>
  <c r="U42" i="14" s="1"/>
  <c r="U43" i="14" s="1"/>
  <c r="U44" i="14" s="1"/>
  <c r="U45" i="14" s="1"/>
  <c r="U46" i="14" s="1"/>
  <c r="U47" i="14" s="1"/>
  <c r="U48" i="14" s="1"/>
  <c r="U49" i="14" s="1"/>
  <c r="U50" i="14" s="1"/>
  <c r="U51" i="14" s="1"/>
  <c r="U52" i="14" s="1"/>
  <c r="U53" i="14" s="1"/>
  <c r="M162" i="14" s="1"/>
  <c r="L38" i="14"/>
  <c r="Q38" i="14" s="1"/>
  <c r="M38" i="14"/>
  <c r="R38" i="14" s="1"/>
  <c r="AS38" i="14"/>
  <c r="AJ38" i="14"/>
  <c r="AO38" i="14" s="1"/>
  <c r="AK38" i="14"/>
  <c r="AP38" i="14" s="1"/>
  <c r="AS38" i="13"/>
  <c r="AJ38" i="13"/>
  <c r="AO38" i="13" s="1"/>
  <c r="AK38" i="13"/>
  <c r="AP38" i="13" s="1"/>
  <c r="CO38" i="13"/>
  <c r="CO39" i="13" s="1"/>
  <c r="CO40" i="13" s="1"/>
  <c r="CO41" i="13" s="1"/>
  <c r="CO42" i="13" s="1"/>
  <c r="CO43" i="13" s="1"/>
  <c r="CO44" i="13" s="1"/>
  <c r="CO45" i="13" s="1"/>
  <c r="CO46" i="13" s="1"/>
  <c r="CO47" i="13" s="1"/>
  <c r="CO48" i="13" s="1"/>
  <c r="CO49" i="13" s="1"/>
  <c r="CO50" i="13" s="1"/>
  <c r="CO51" i="13" s="1"/>
  <c r="CO52" i="13" s="1"/>
  <c r="CO53" i="13" s="1"/>
  <c r="P162" i="13" s="1"/>
  <c r="CF38" i="13"/>
  <c r="CK38" i="13" s="1"/>
  <c r="CG38" i="13"/>
  <c r="CL38" i="13" s="1"/>
  <c r="AR38" i="16"/>
  <c r="AR39" i="16" s="1"/>
  <c r="AR40" i="16" s="1"/>
  <c r="AR41" i="16" s="1"/>
  <c r="AR42" i="16" s="1"/>
  <c r="AR43" i="16" s="1"/>
  <c r="AR44" i="16" s="1"/>
  <c r="AR45" i="16" s="1"/>
  <c r="AR46" i="16" s="1"/>
  <c r="AR47" i="16" s="1"/>
  <c r="AR48" i="16" s="1"/>
  <c r="AR49" i="16" s="1"/>
  <c r="AR50" i="16" s="1"/>
  <c r="AR51" i="16" s="1"/>
  <c r="AR52" i="16" s="1"/>
  <c r="AR53" i="16" s="1"/>
  <c r="N162" i="16" s="1"/>
  <c r="AI38" i="16"/>
  <c r="AN38" i="16" s="1"/>
  <c r="AJ38" i="16"/>
  <c r="AO38" i="16" s="1"/>
  <c r="AG91" i="10"/>
  <c r="AG92" i="10" s="1"/>
  <c r="AG93" i="10" s="1"/>
  <c r="AG94" i="10" s="1"/>
  <c r="AG95" i="10" s="1"/>
  <c r="AG96" i="10" s="1"/>
  <c r="AG97" i="10" s="1"/>
  <c r="AG98" i="10" s="1"/>
  <c r="AG99" i="10" s="1"/>
  <c r="AG100" i="10" s="1"/>
  <c r="AG101" i="10" s="1"/>
  <c r="AG102" i="10" s="1"/>
  <c r="AG103" i="10" s="1"/>
  <c r="AG104" i="10" s="1"/>
  <c r="AG105" i="10" s="1"/>
  <c r="AG106" i="10" s="1"/>
  <c r="X91" i="10"/>
  <c r="AC91" i="10" s="1"/>
  <c r="Y91" i="10"/>
  <c r="AD91" i="10" s="1"/>
  <c r="U38" i="15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M162" i="15" s="1"/>
  <c r="L38" i="15"/>
  <c r="Q38" i="15" s="1"/>
  <c r="M38" i="15"/>
  <c r="R38" i="15" s="1"/>
  <c r="U38" i="16"/>
  <c r="U39" i="16" s="1"/>
  <c r="U40" i="16" s="1"/>
  <c r="U41" i="16" s="1"/>
  <c r="U42" i="16" s="1"/>
  <c r="U43" i="16" s="1"/>
  <c r="U44" i="16" s="1"/>
  <c r="U45" i="16" s="1"/>
  <c r="U46" i="16" s="1"/>
  <c r="U47" i="16" s="1"/>
  <c r="U48" i="16" s="1"/>
  <c r="U49" i="16" s="1"/>
  <c r="U50" i="16" s="1"/>
  <c r="U51" i="16" s="1"/>
  <c r="U52" i="16" s="1"/>
  <c r="U53" i="16" s="1"/>
  <c r="M162" i="16" s="1"/>
  <c r="L38" i="16"/>
  <c r="Q38" i="16" s="1"/>
  <c r="M38" i="16"/>
  <c r="R38" i="16" s="1"/>
  <c r="K164" i="13"/>
  <c r="I164" i="13"/>
  <c r="J164" i="13"/>
  <c r="E20" i="12" s="1"/>
  <c r="K164" i="15"/>
  <c r="L164" i="14"/>
  <c r="K163" i="14"/>
  <c r="K164" i="14"/>
  <c r="I165" i="14"/>
  <c r="I167" i="14" s="1"/>
  <c r="L165" i="13"/>
  <c r="L167" i="13" s="1"/>
  <c r="K164" i="16"/>
  <c r="H41" i="12" s="1"/>
  <c r="I165" i="13"/>
  <c r="I167" i="13" s="1"/>
  <c r="K165" i="15"/>
  <c r="K167" i="15" s="1"/>
  <c r="J165" i="14"/>
  <c r="J167" i="14" s="1"/>
  <c r="L164" i="13"/>
  <c r="AS12" i="15"/>
  <c r="AS13" i="15" s="1"/>
  <c r="AS14" i="15" s="1"/>
  <c r="AS15" i="15" s="1"/>
  <c r="AS16" i="15" s="1"/>
  <c r="AS17" i="15" s="1"/>
  <c r="AS18" i="15" s="1"/>
  <c r="AS19" i="15" s="1"/>
  <c r="AS20" i="15" s="1"/>
  <c r="AS21" i="15" s="1"/>
  <c r="AS22" i="15" s="1"/>
  <c r="AS23" i="15" s="1"/>
  <c r="AS24" i="15" s="1"/>
  <c r="AS25" i="15" s="1"/>
  <c r="AS26" i="15" s="1"/>
  <c r="AS27" i="15" s="1"/>
  <c r="I162" i="15" s="1"/>
  <c r="AJ12" i="15"/>
  <c r="AO12" i="15" s="1"/>
  <c r="K165" i="13"/>
  <c r="K167" i="13" s="1"/>
  <c r="L164" i="15"/>
  <c r="I164" i="16"/>
  <c r="G41" i="12" s="1"/>
  <c r="J165" i="13"/>
  <c r="J167" i="13" s="1"/>
  <c r="AK12" i="15"/>
  <c r="AP12" i="15" s="1"/>
  <c r="L8" i="11"/>
  <c r="L9" i="11" s="1"/>
  <c r="H163" i="14"/>
  <c r="H165" i="14" s="1"/>
  <c r="H167" i="14" s="1"/>
  <c r="H163" i="16"/>
  <c r="H163" i="15"/>
  <c r="H165" i="15" s="1"/>
  <c r="H167" i="15" s="1"/>
  <c r="H163" i="13"/>
  <c r="H165" i="13" s="1"/>
  <c r="H167" i="13" s="1"/>
  <c r="I164" i="14"/>
  <c r="L165" i="15"/>
  <c r="L167" i="15" s="1"/>
  <c r="L165" i="14"/>
  <c r="L167" i="14" s="1"/>
  <c r="J164" i="14"/>
  <c r="L164" i="16"/>
  <c r="D41" i="12" s="1"/>
  <c r="BQ12" i="15"/>
  <c r="BQ13" i="15" s="1"/>
  <c r="BQ14" i="15" s="1"/>
  <c r="BQ15" i="15" s="1"/>
  <c r="BQ16" i="15" s="1"/>
  <c r="BQ17" i="15" s="1"/>
  <c r="BQ18" i="15" s="1"/>
  <c r="BQ19" i="15" s="1"/>
  <c r="BQ20" i="15" s="1"/>
  <c r="BQ21" i="15" s="1"/>
  <c r="BQ22" i="15" s="1"/>
  <c r="BQ23" i="15" s="1"/>
  <c r="BQ24" i="15" s="1"/>
  <c r="BQ25" i="15" s="1"/>
  <c r="BQ26" i="15" s="1"/>
  <c r="BQ27" i="15" s="1"/>
  <c r="J162" i="15" s="1"/>
  <c r="J163" i="15" s="1"/>
  <c r="BH12" i="15"/>
  <c r="BM12" i="15" s="1"/>
  <c r="L7" i="11"/>
  <c r="R70" i="2"/>
  <c r="S28" i="8" s="1"/>
  <c r="S27" i="8"/>
  <c r="S26" i="8" s="1"/>
  <c r="Y71" i="2"/>
  <c r="Y68" i="2"/>
  <c r="U23" i="8" s="1"/>
  <c r="AF68" i="2"/>
  <c r="W23" i="8" s="1"/>
  <c r="AF71" i="2"/>
  <c r="W29" i="8" s="1"/>
  <c r="L61" i="22" l="1"/>
  <c r="E25" i="12"/>
  <c r="W38" i="15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CQ38" i="14"/>
  <c r="CQ39" i="14" s="1"/>
  <c r="CQ40" i="14" s="1"/>
  <c r="CQ41" i="14" s="1"/>
  <c r="CQ42" i="14" s="1"/>
  <c r="CQ43" i="14" s="1"/>
  <c r="CQ44" i="14" s="1"/>
  <c r="CQ45" i="14" s="1"/>
  <c r="CQ46" i="14" s="1"/>
  <c r="CQ47" i="14" s="1"/>
  <c r="CQ48" i="14" s="1"/>
  <c r="CQ49" i="14" s="1"/>
  <c r="CQ50" i="14" s="1"/>
  <c r="CQ51" i="14" s="1"/>
  <c r="CQ52" i="14" s="1"/>
  <c r="CQ53" i="14" s="1"/>
  <c r="DN38" i="15"/>
  <c r="DN39" i="15" s="1"/>
  <c r="DN40" i="15" s="1"/>
  <c r="DN41" i="15" s="1"/>
  <c r="DN42" i="15" s="1"/>
  <c r="DN43" i="15" s="1"/>
  <c r="DN44" i="15" s="1"/>
  <c r="DN45" i="15" s="1"/>
  <c r="DN46" i="15" s="1"/>
  <c r="DN47" i="15" s="1"/>
  <c r="DN48" i="15" s="1"/>
  <c r="DN49" i="15" s="1"/>
  <c r="DN50" i="15" s="1"/>
  <c r="DN51" i="15" s="1"/>
  <c r="DN52" i="15" s="1"/>
  <c r="DN53" i="15" s="1"/>
  <c r="DO38" i="14"/>
  <c r="DO39" i="14" s="1"/>
  <c r="DO40" i="14" s="1"/>
  <c r="DO41" i="14" s="1"/>
  <c r="DO42" i="14" s="1"/>
  <c r="DO43" i="14" s="1"/>
  <c r="DO44" i="14" s="1"/>
  <c r="DO45" i="14" s="1"/>
  <c r="DO46" i="14" s="1"/>
  <c r="DO47" i="14" s="1"/>
  <c r="DO48" i="14" s="1"/>
  <c r="DO49" i="14" s="1"/>
  <c r="DO50" i="14" s="1"/>
  <c r="DO51" i="14" s="1"/>
  <c r="DO52" i="14" s="1"/>
  <c r="DO53" i="14" s="1"/>
  <c r="DN38" i="13"/>
  <c r="DN39" i="13" s="1"/>
  <c r="DN40" i="13" s="1"/>
  <c r="DN41" i="13" s="1"/>
  <c r="DN42" i="13" s="1"/>
  <c r="DN43" i="13" s="1"/>
  <c r="DN44" i="13" s="1"/>
  <c r="DN45" i="13" s="1"/>
  <c r="DN46" i="13" s="1"/>
  <c r="DN47" i="13" s="1"/>
  <c r="DN48" i="13" s="1"/>
  <c r="DN49" i="13" s="1"/>
  <c r="DN50" i="13" s="1"/>
  <c r="DN51" i="13" s="1"/>
  <c r="DN52" i="13" s="1"/>
  <c r="DN53" i="13" s="1"/>
  <c r="AT12" i="15"/>
  <c r="AT13" i="15" s="1"/>
  <c r="AT14" i="15" s="1"/>
  <c r="AT15" i="15" s="1"/>
  <c r="AT16" i="15" s="1"/>
  <c r="AT17" i="15" s="1"/>
  <c r="AT18" i="15" s="1"/>
  <c r="AT19" i="15" s="1"/>
  <c r="AT20" i="15" s="1"/>
  <c r="AT21" i="15" s="1"/>
  <c r="AT22" i="15" s="1"/>
  <c r="AT23" i="15" s="1"/>
  <c r="AT24" i="15" s="1"/>
  <c r="AT25" i="15" s="1"/>
  <c r="AT26" i="15" s="1"/>
  <c r="AT27" i="15" s="1"/>
  <c r="W38" i="16"/>
  <c r="W39" i="16" s="1"/>
  <c r="W40" i="16" s="1"/>
  <c r="W41" i="16" s="1"/>
  <c r="W42" i="16" s="1"/>
  <c r="W43" i="16" s="1"/>
  <c r="W44" i="16" s="1"/>
  <c r="W45" i="16" s="1"/>
  <c r="W46" i="16" s="1"/>
  <c r="W47" i="16" s="1"/>
  <c r="W48" i="16" s="1"/>
  <c r="W49" i="16" s="1"/>
  <c r="W50" i="16" s="1"/>
  <c r="W51" i="16" s="1"/>
  <c r="W52" i="16" s="1"/>
  <c r="W53" i="16" s="1"/>
  <c r="V38" i="15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CQ38" i="13"/>
  <c r="CQ39" i="13" s="1"/>
  <c r="CQ40" i="13" s="1"/>
  <c r="CQ41" i="13" s="1"/>
  <c r="CQ42" i="13" s="1"/>
  <c r="CQ43" i="13" s="1"/>
  <c r="CQ44" i="13" s="1"/>
  <c r="CQ45" i="13" s="1"/>
  <c r="CQ46" i="13" s="1"/>
  <c r="CQ47" i="13" s="1"/>
  <c r="CQ48" i="13" s="1"/>
  <c r="CQ49" i="13" s="1"/>
  <c r="CQ50" i="13" s="1"/>
  <c r="CQ51" i="13" s="1"/>
  <c r="CQ52" i="13" s="1"/>
  <c r="CQ53" i="13" s="1"/>
  <c r="AT38" i="13"/>
  <c r="AT39" i="13" s="1"/>
  <c r="AT40" i="13" s="1"/>
  <c r="AT41" i="13" s="1"/>
  <c r="AT42" i="13" s="1"/>
  <c r="AT43" i="13" s="1"/>
  <c r="AT44" i="13" s="1"/>
  <c r="AT45" i="13" s="1"/>
  <c r="AT46" i="13" s="1"/>
  <c r="AT47" i="13" s="1"/>
  <c r="AT48" i="13" s="1"/>
  <c r="AT49" i="13" s="1"/>
  <c r="AT50" i="13" s="1"/>
  <c r="AT51" i="13" s="1"/>
  <c r="AT52" i="13" s="1"/>
  <c r="AT53" i="13" s="1"/>
  <c r="DK38" i="16"/>
  <c r="DK39" i="16" s="1"/>
  <c r="DK40" i="16" s="1"/>
  <c r="DK41" i="16" s="1"/>
  <c r="DK42" i="16" s="1"/>
  <c r="DK43" i="16" s="1"/>
  <c r="DK44" i="16" s="1"/>
  <c r="DK45" i="16" s="1"/>
  <c r="DK46" i="16" s="1"/>
  <c r="DK47" i="16" s="1"/>
  <c r="DK48" i="16" s="1"/>
  <c r="DK49" i="16" s="1"/>
  <c r="DK50" i="16" s="1"/>
  <c r="DK51" i="16" s="1"/>
  <c r="DK52" i="16" s="1"/>
  <c r="DK53" i="16" s="1"/>
  <c r="CP38" i="14"/>
  <c r="CP39" i="14" s="1"/>
  <c r="CP40" i="14" s="1"/>
  <c r="CP41" i="14" s="1"/>
  <c r="CP42" i="14" s="1"/>
  <c r="CP43" i="14" s="1"/>
  <c r="CP44" i="14" s="1"/>
  <c r="CP45" i="14" s="1"/>
  <c r="CP46" i="14" s="1"/>
  <c r="CP47" i="14" s="1"/>
  <c r="CP48" i="14" s="1"/>
  <c r="CP49" i="14" s="1"/>
  <c r="CP50" i="14" s="1"/>
  <c r="CP51" i="14" s="1"/>
  <c r="CP52" i="14" s="1"/>
  <c r="CP53" i="14" s="1"/>
  <c r="CN38" i="16"/>
  <c r="CN39" i="16" s="1"/>
  <c r="CN40" i="16" s="1"/>
  <c r="CN41" i="16" s="1"/>
  <c r="CN42" i="16" s="1"/>
  <c r="CN43" i="16" s="1"/>
  <c r="CN44" i="16" s="1"/>
  <c r="CN45" i="16" s="1"/>
  <c r="CN46" i="16" s="1"/>
  <c r="CN47" i="16" s="1"/>
  <c r="CN48" i="16" s="1"/>
  <c r="CN49" i="16" s="1"/>
  <c r="CN50" i="16" s="1"/>
  <c r="CN51" i="16" s="1"/>
  <c r="CN52" i="16" s="1"/>
  <c r="CN53" i="16" s="1"/>
  <c r="DN38" i="14"/>
  <c r="DN39" i="14" s="1"/>
  <c r="DN40" i="14" s="1"/>
  <c r="DN41" i="14" s="1"/>
  <c r="DN42" i="14" s="1"/>
  <c r="DN43" i="14" s="1"/>
  <c r="DN44" i="14" s="1"/>
  <c r="DN45" i="14" s="1"/>
  <c r="DN46" i="14" s="1"/>
  <c r="DN47" i="14" s="1"/>
  <c r="DN48" i="14" s="1"/>
  <c r="DN49" i="14" s="1"/>
  <c r="DN50" i="14" s="1"/>
  <c r="DN51" i="14" s="1"/>
  <c r="DN52" i="14" s="1"/>
  <c r="DN53" i="14" s="1"/>
  <c r="CQ38" i="15"/>
  <c r="CQ39" i="15" s="1"/>
  <c r="CQ40" i="15" s="1"/>
  <c r="CQ41" i="15" s="1"/>
  <c r="CQ42" i="15" s="1"/>
  <c r="CQ43" i="15" s="1"/>
  <c r="CQ44" i="15" s="1"/>
  <c r="CQ45" i="15" s="1"/>
  <c r="CQ46" i="15" s="1"/>
  <c r="CQ47" i="15" s="1"/>
  <c r="CQ48" i="15" s="1"/>
  <c r="CQ49" i="15" s="1"/>
  <c r="CQ50" i="15" s="1"/>
  <c r="CQ51" i="15" s="1"/>
  <c r="CQ52" i="15" s="1"/>
  <c r="CQ53" i="15" s="1"/>
  <c r="BR38" i="13"/>
  <c r="BR39" i="13" s="1"/>
  <c r="BR40" i="13" s="1"/>
  <c r="BR41" i="13" s="1"/>
  <c r="BR42" i="13" s="1"/>
  <c r="BR43" i="13" s="1"/>
  <c r="BR44" i="13" s="1"/>
  <c r="BR45" i="13" s="1"/>
  <c r="BR46" i="13" s="1"/>
  <c r="BR47" i="13" s="1"/>
  <c r="BR48" i="13" s="1"/>
  <c r="BR49" i="13" s="1"/>
  <c r="BR50" i="13" s="1"/>
  <c r="BR51" i="13" s="1"/>
  <c r="BR52" i="13" s="1"/>
  <c r="BR53" i="13" s="1"/>
  <c r="BS38" i="14"/>
  <c r="BS39" i="14" s="1"/>
  <c r="BS40" i="14" s="1"/>
  <c r="BS41" i="14" s="1"/>
  <c r="BS42" i="14" s="1"/>
  <c r="BS43" i="14" s="1"/>
  <c r="BS44" i="14" s="1"/>
  <c r="BS45" i="14" s="1"/>
  <c r="BS46" i="14" s="1"/>
  <c r="BS47" i="14" s="1"/>
  <c r="BS48" i="14" s="1"/>
  <c r="BS49" i="14" s="1"/>
  <c r="BS50" i="14" s="1"/>
  <c r="BS51" i="14" s="1"/>
  <c r="BS52" i="14" s="1"/>
  <c r="BS53" i="14" s="1"/>
  <c r="AU12" i="15"/>
  <c r="AU13" i="15" s="1"/>
  <c r="AU14" i="15" s="1"/>
  <c r="AU15" i="15" s="1"/>
  <c r="AU16" i="15" s="1"/>
  <c r="AU17" i="15" s="1"/>
  <c r="AU18" i="15" s="1"/>
  <c r="AU19" i="15" s="1"/>
  <c r="AU20" i="15" s="1"/>
  <c r="AU21" i="15" s="1"/>
  <c r="AU22" i="15" s="1"/>
  <c r="AU23" i="15" s="1"/>
  <c r="AU24" i="15" s="1"/>
  <c r="AU25" i="15" s="1"/>
  <c r="AU26" i="15" s="1"/>
  <c r="AU27" i="15" s="1"/>
  <c r="BR38" i="15"/>
  <c r="BR39" i="15" s="1"/>
  <c r="BR40" i="15" s="1"/>
  <c r="BR41" i="15" s="1"/>
  <c r="BR42" i="15" s="1"/>
  <c r="BR43" i="15" s="1"/>
  <c r="BR44" i="15" s="1"/>
  <c r="BR45" i="15" s="1"/>
  <c r="BR46" i="15" s="1"/>
  <c r="BR47" i="15" s="1"/>
  <c r="BR48" i="15" s="1"/>
  <c r="BR49" i="15" s="1"/>
  <c r="BR50" i="15" s="1"/>
  <c r="BR51" i="15" s="1"/>
  <c r="BR52" i="15" s="1"/>
  <c r="BR53" i="15" s="1"/>
  <c r="V38" i="16"/>
  <c r="V39" i="16" s="1"/>
  <c r="V40" i="16" s="1"/>
  <c r="V41" i="16" s="1"/>
  <c r="V42" i="16" s="1"/>
  <c r="V43" i="16" s="1"/>
  <c r="V44" i="16" s="1"/>
  <c r="V45" i="16" s="1"/>
  <c r="V46" i="16" s="1"/>
  <c r="V47" i="16" s="1"/>
  <c r="V48" i="16" s="1"/>
  <c r="V49" i="16" s="1"/>
  <c r="V50" i="16" s="1"/>
  <c r="V51" i="16" s="1"/>
  <c r="V52" i="16" s="1"/>
  <c r="V53" i="16" s="1"/>
  <c r="AT38" i="16"/>
  <c r="AT39" i="16" s="1"/>
  <c r="AT40" i="16" s="1"/>
  <c r="AT41" i="16" s="1"/>
  <c r="AT42" i="16" s="1"/>
  <c r="AT43" i="16" s="1"/>
  <c r="AT44" i="16" s="1"/>
  <c r="AT45" i="16" s="1"/>
  <c r="AT46" i="16" s="1"/>
  <c r="AT47" i="16" s="1"/>
  <c r="AT48" i="16" s="1"/>
  <c r="AT49" i="16" s="1"/>
  <c r="AT50" i="16" s="1"/>
  <c r="AT51" i="16" s="1"/>
  <c r="AT52" i="16" s="1"/>
  <c r="AT53" i="16" s="1"/>
  <c r="CP38" i="13"/>
  <c r="CP39" i="13" s="1"/>
  <c r="CP40" i="13" s="1"/>
  <c r="CP41" i="13" s="1"/>
  <c r="CP42" i="13" s="1"/>
  <c r="CP43" i="13" s="1"/>
  <c r="CP44" i="13" s="1"/>
  <c r="CP45" i="13" s="1"/>
  <c r="CP46" i="13" s="1"/>
  <c r="CP47" i="13" s="1"/>
  <c r="CP48" i="13" s="1"/>
  <c r="CP49" i="13" s="1"/>
  <c r="CP50" i="13" s="1"/>
  <c r="CP51" i="13" s="1"/>
  <c r="CP52" i="13" s="1"/>
  <c r="CP53" i="13" s="1"/>
  <c r="W38" i="14"/>
  <c r="W39" i="14" s="1"/>
  <c r="W40" i="14" s="1"/>
  <c r="W41" i="14" s="1"/>
  <c r="W42" i="14" s="1"/>
  <c r="W43" i="14" s="1"/>
  <c r="W44" i="14" s="1"/>
  <c r="W45" i="14" s="1"/>
  <c r="W46" i="14" s="1"/>
  <c r="W47" i="14" s="1"/>
  <c r="W48" i="14" s="1"/>
  <c r="W49" i="14" s="1"/>
  <c r="W50" i="14" s="1"/>
  <c r="W51" i="14" s="1"/>
  <c r="W52" i="14" s="1"/>
  <c r="W53" i="14" s="1"/>
  <c r="DJ38" i="16"/>
  <c r="DJ39" i="16" s="1"/>
  <c r="DJ40" i="16" s="1"/>
  <c r="DJ41" i="16" s="1"/>
  <c r="DJ42" i="16" s="1"/>
  <c r="DJ43" i="16" s="1"/>
  <c r="DJ44" i="16" s="1"/>
  <c r="DJ45" i="16" s="1"/>
  <c r="DJ46" i="16" s="1"/>
  <c r="DJ47" i="16" s="1"/>
  <c r="DJ48" i="16" s="1"/>
  <c r="DJ49" i="16" s="1"/>
  <c r="DJ50" i="16" s="1"/>
  <c r="DJ51" i="16" s="1"/>
  <c r="DJ52" i="16" s="1"/>
  <c r="DJ53" i="16" s="1"/>
  <c r="W38" i="13"/>
  <c r="W39" i="13" s="1"/>
  <c r="W40" i="13" s="1"/>
  <c r="W41" i="13" s="1"/>
  <c r="W42" i="13" s="1"/>
  <c r="W43" i="13" s="1"/>
  <c r="W44" i="13" s="1"/>
  <c r="W45" i="13" s="1"/>
  <c r="W46" i="13" s="1"/>
  <c r="W47" i="13" s="1"/>
  <c r="W48" i="13" s="1"/>
  <c r="W49" i="13" s="1"/>
  <c r="W50" i="13" s="1"/>
  <c r="W51" i="13" s="1"/>
  <c r="W52" i="13" s="1"/>
  <c r="W53" i="13" s="1"/>
  <c r="CM38" i="16"/>
  <c r="CM39" i="16" s="1"/>
  <c r="CM40" i="16" s="1"/>
  <c r="CM41" i="16" s="1"/>
  <c r="CM42" i="16" s="1"/>
  <c r="CM43" i="16" s="1"/>
  <c r="CM44" i="16" s="1"/>
  <c r="CM45" i="16" s="1"/>
  <c r="CM46" i="16" s="1"/>
  <c r="CM47" i="16" s="1"/>
  <c r="CM48" i="16" s="1"/>
  <c r="CM49" i="16" s="1"/>
  <c r="CM50" i="16" s="1"/>
  <c r="CM51" i="16" s="1"/>
  <c r="CM52" i="16" s="1"/>
  <c r="CM53" i="16" s="1"/>
  <c r="BQ38" i="16"/>
  <c r="BQ39" i="16" s="1"/>
  <c r="BQ40" i="16" s="1"/>
  <c r="BQ41" i="16" s="1"/>
  <c r="BQ42" i="16" s="1"/>
  <c r="BQ43" i="16" s="1"/>
  <c r="BQ44" i="16" s="1"/>
  <c r="BQ45" i="16" s="1"/>
  <c r="BQ46" i="16" s="1"/>
  <c r="BQ47" i="16" s="1"/>
  <c r="BQ48" i="16" s="1"/>
  <c r="BQ49" i="16" s="1"/>
  <c r="BQ50" i="16" s="1"/>
  <c r="BQ51" i="16" s="1"/>
  <c r="BQ52" i="16" s="1"/>
  <c r="BQ53" i="16" s="1"/>
  <c r="CP38" i="15"/>
  <c r="CP39" i="15" s="1"/>
  <c r="CP40" i="15" s="1"/>
  <c r="CP41" i="15" s="1"/>
  <c r="CP42" i="15" s="1"/>
  <c r="CP43" i="15" s="1"/>
  <c r="CP44" i="15" s="1"/>
  <c r="CP45" i="15" s="1"/>
  <c r="CP46" i="15" s="1"/>
  <c r="CP47" i="15" s="1"/>
  <c r="CP48" i="15" s="1"/>
  <c r="CP49" i="15" s="1"/>
  <c r="CP50" i="15" s="1"/>
  <c r="CP51" i="15" s="1"/>
  <c r="CP52" i="15" s="1"/>
  <c r="CP53" i="15" s="1"/>
  <c r="AU38" i="15"/>
  <c r="AU39" i="15" s="1"/>
  <c r="AU40" i="15" s="1"/>
  <c r="AU41" i="15" s="1"/>
  <c r="AU42" i="15" s="1"/>
  <c r="AU43" i="15" s="1"/>
  <c r="AU44" i="15" s="1"/>
  <c r="AU45" i="15" s="1"/>
  <c r="AU46" i="15" s="1"/>
  <c r="AU47" i="15" s="1"/>
  <c r="AU48" i="15" s="1"/>
  <c r="AU49" i="15" s="1"/>
  <c r="AU50" i="15" s="1"/>
  <c r="AU51" i="15" s="1"/>
  <c r="AU52" i="15" s="1"/>
  <c r="AU53" i="15" s="1"/>
  <c r="BR38" i="14"/>
  <c r="BR39" i="14" s="1"/>
  <c r="BR40" i="14" s="1"/>
  <c r="BR41" i="14" s="1"/>
  <c r="BR42" i="14" s="1"/>
  <c r="BR43" i="14" s="1"/>
  <c r="BR44" i="14" s="1"/>
  <c r="BR45" i="14" s="1"/>
  <c r="BR46" i="14" s="1"/>
  <c r="BR47" i="14" s="1"/>
  <c r="BR48" i="14" s="1"/>
  <c r="BR49" i="14" s="1"/>
  <c r="BR50" i="14" s="1"/>
  <c r="BR51" i="14" s="1"/>
  <c r="BR52" i="14" s="1"/>
  <c r="BR53" i="14" s="1"/>
  <c r="BR12" i="15"/>
  <c r="BR13" i="15" s="1"/>
  <c r="BR14" i="15" s="1"/>
  <c r="BR15" i="15" s="1"/>
  <c r="BR16" i="15" s="1"/>
  <c r="BR17" i="15" s="1"/>
  <c r="BR18" i="15" s="1"/>
  <c r="BR19" i="15" s="1"/>
  <c r="BR20" i="15" s="1"/>
  <c r="BR21" i="15" s="1"/>
  <c r="BR22" i="15" s="1"/>
  <c r="BR23" i="15" s="1"/>
  <c r="BR24" i="15" s="1"/>
  <c r="BR25" i="15" s="1"/>
  <c r="BR26" i="15" s="1"/>
  <c r="BR27" i="15" s="1"/>
  <c r="AU38" i="13"/>
  <c r="AU39" i="13" s="1"/>
  <c r="AU40" i="13" s="1"/>
  <c r="AU41" i="13" s="1"/>
  <c r="AU42" i="13" s="1"/>
  <c r="AU43" i="13" s="1"/>
  <c r="AU44" i="13" s="1"/>
  <c r="AU45" i="13" s="1"/>
  <c r="AU46" i="13" s="1"/>
  <c r="AU47" i="13" s="1"/>
  <c r="AU48" i="13" s="1"/>
  <c r="AU49" i="13" s="1"/>
  <c r="AU50" i="13" s="1"/>
  <c r="AU51" i="13" s="1"/>
  <c r="AU52" i="13" s="1"/>
  <c r="AU53" i="13" s="1"/>
  <c r="AT38" i="14"/>
  <c r="AT39" i="14" s="1"/>
  <c r="AT40" i="14" s="1"/>
  <c r="AT41" i="14" s="1"/>
  <c r="AT42" i="14" s="1"/>
  <c r="AT43" i="14" s="1"/>
  <c r="AT44" i="14" s="1"/>
  <c r="AT45" i="14" s="1"/>
  <c r="AT46" i="14" s="1"/>
  <c r="AT47" i="14" s="1"/>
  <c r="AT48" i="14" s="1"/>
  <c r="AT49" i="14" s="1"/>
  <c r="AT50" i="14" s="1"/>
  <c r="AT51" i="14" s="1"/>
  <c r="AT52" i="14" s="1"/>
  <c r="AT53" i="14" s="1"/>
  <c r="BS38" i="13"/>
  <c r="BS39" i="13" s="1"/>
  <c r="BS40" i="13" s="1"/>
  <c r="BS41" i="13" s="1"/>
  <c r="BS42" i="13" s="1"/>
  <c r="BS43" i="13" s="1"/>
  <c r="BS44" i="13" s="1"/>
  <c r="BS45" i="13" s="1"/>
  <c r="BS46" i="13" s="1"/>
  <c r="BS47" i="13" s="1"/>
  <c r="BS48" i="13" s="1"/>
  <c r="BS49" i="13" s="1"/>
  <c r="BS50" i="13" s="1"/>
  <c r="BS51" i="13" s="1"/>
  <c r="BS52" i="13" s="1"/>
  <c r="BS53" i="13" s="1"/>
  <c r="AS38" i="16"/>
  <c r="AS39" i="16" s="1"/>
  <c r="AS40" i="16" s="1"/>
  <c r="AS41" i="16" s="1"/>
  <c r="AS42" i="16" s="1"/>
  <c r="AS43" i="16" s="1"/>
  <c r="AS44" i="16" s="1"/>
  <c r="AS45" i="16" s="1"/>
  <c r="AS46" i="16" s="1"/>
  <c r="AS47" i="16" s="1"/>
  <c r="AS48" i="16" s="1"/>
  <c r="AS49" i="16" s="1"/>
  <c r="AS50" i="16" s="1"/>
  <c r="AS51" i="16" s="1"/>
  <c r="AS52" i="16" s="1"/>
  <c r="AS53" i="16" s="1"/>
  <c r="AU38" i="14"/>
  <c r="AU39" i="14" s="1"/>
  <c r="AU40" i="14" s="1"/>
  <c r="AU41" i="14" s="1"/>
  <c r="AU42" i="14" s="1"/>
  <c r="AU43" i="14" s="1"/>
  <c r="AU44" i="14" s="1"/>
  <c r="AU45" i="14" s="1"/>
  <c r="AU46" i="14" s="1"/>
  <c r="AU47" i="14" s="1"/>
  <c r="AU48" i="14" s="1"/>
  <c r="AU49" i="14" s="1"/>
  <c r="AU50" i="14" s="1"/>
  <c r="AU51" i="14" s="1"/>
  <c r="AU52" i="14" s="1"/>
  <c r="AU53" i="14" s="1"/>
  <c r="V38" i="14"/>
  <c r="V39" i="14" s="1"/>
  <c r="V40" i="14" s="1"/>
  <c r="V41" i="14" s="1"/>
  <c r="V42" i="14" s="1"/>
  <c r="V43" i="14" s="1"/>
  <c r="V44" i="14" s="1"/>
  <c r="V45" i="14" s="1"/>
  <c r="V46" i="14" s="1"/>
  <c r="V47" i="14" s="1"/>
  <c r="V48" i="14" s="1"/>
  <c r="V49" i="14" s="1"/>
  <c r="V50" i="14" s="1"/>
  <c r="V51" i="14" s="1"/>
  <c r="V52" i="14" s="1"/>
  <c r="V53" i="14" s="1"/>
  <c r="DO38" i="15"/>
  <c r="DO39" i="15" s="1"/>
  <c r="DO40" i="15" s="1"/>
  <c r="DO41" i="15" s="1"/>
  <c r="DO42" i="15" s="1"/>
  <c r="DO43" i="15" s="1"/>
  <c r="DO44" i="15" s="1"/>
  <c r="DO45" i="15" s="1"/>
  <c r="DO46" i="15" s="1"/>
  <c r="DO47" i="15" s="1"/>
  <c r="DO48" i="15" s="1"/>
  <c r="DO49" i="15" s="1"/>
  <c r="DO50" i="15" s="1"/>
  <c r="DO51" i="15" s="1"/>
  <c r="DO52" i="15" s="1"/>
  <c r="DO53" i="15" s="1"/>
  <c r="V38" i="13"/>
  <c r="V39" i="13" s="1"/>
  <c r="V40" i="13" s="1"/>
  <c r="V41" i="13" s="1"/>
  <c r="V42" i="13" s="1"/>
  <c r="V43" i="13" s="1"/>
  <c r="V44" i="13" s="1"/>
  <c r="V45" i="13" s="1"/>
  <c r="V46" i="13" s="1"/>
  <c r="V47" i="13" s="1"/>
  <c r="V48" i="13" s="1"/>
  <c r="V49" i="13" s="1"/>
  <c r="V50" i="13" s="1"/>
  <c r="V51" i="13" s="1"/>
  <c r="V52" i="13" s="1"/>
  <c r="V53" i="13" s="1"/>
  <c r="DO38" i="13"/>
  <c r="DO39" i="13" s="1"/>
  <c r="DO40" i="13" s="1"/>
  <c r="DO41" i="13" s="1"/>
  <c r="DO42" i="13" s="1"/>
  <c r="DO43" i="13" s="1"/>
  <c r="DO44" i="13" s="1"/>
  <c r="DO45" i="13" s="1"/>
  <c r="DO46" i="13" s="1"/>
  <c r="DO47" i="13" s="1"/>
  <c r="DO48" i="13" s="1"/>
  <c r="DO49" i="13" s="1"/>
  <c r="DO50" i="13" s="1"/>
  <c r="DO51" i="13" s="1"/>
  <c r="DO52" i="13" s="1"/>
  <c r="DO53" i="13" s="1"/>
  <c r="BP38" i="16"/>
  <c r="BP39" i="16" s="1"/>
  <c r="BP40" i="16" s="1"/>
  <c r="BP41" i="16" s="1"/>
  <c r="BP42" i="16" s="1"/>
  <c r="BP43" i="16" s="1"/>
  <c r="BP44" i="16" s="1"/>
  <c r="BP45" i="16" s="1"/>
  <c r="BP46" i="16" s="1"/>
  <c r="BP47" i="16" s="1"/>
  <c r="BP48" i="16" s="1"/>
  <c r="BP49" i="16" s="1"/>
  <c r="BP50" i="16" s="1"/>
  <c r="BP51" i="16" s="1"/>
  <c r="BP52" i="16" s="1"/>
  <c r="BP53" i="16" s="1"/>
  <c r="BS38" i="15"/>
  <c r="BS39" i="15" s="1"/>
  <c r="BS40" i="15" s="1"/>
  <c r="BS41" i="15" s="1"/>
  <c r="BS42" i="15" s="1"/>
  <c r="BS43" i="15" s="1"/>
  <c r="BS44" i="15" s="1"/>
  <c r="BS45" i="15" s="1"/>
  <c r="BS46" i="15" s="1"/>
  <c r="BS47" i="15" s="1"/>
  <c r="BS48" i="15" s="1"/>
  <c r="BS49" i="15" s="1"/>
  <c r="BS50" i="15" s="1"/>
  <c r="BS51" i="15" s="1"/>
  <c r="BS52" i="15" s="1"/>
  <c r="BS53" i="15" s="1"/>
  <c r="AT38" i="15"/>
  <c r="AT39" i="15" s="1"/>
  <c r="AT40" i="15" s="1"/>
  <c r="AT41" i="15" s="1"/>
  <c r="AT42" i="15" s="1"/>
  <c r="AT43" i="15" s="1"/>
  <c r="AT44" i="15" s="1"/>
  <c r="AT45" i="15" s="1"/>
  <c r="AT46" i="15" s="1"/>
  <c r="AT47" i="15" s="1"/>
  <c r="AT48" i="15" s="1"/>
  <c r="AT49" i="15" s="1"/>
  <c r="AT50" i="15" s="1"/>
  <c r="AT51" i="15" s="1"/>
  <c r="AT52" i="15" s="1"/>
  <c r="AT53" i="15" s="1"/>
  <c r="I25" i="12"/>
  <c r="I33" i="12"/>
  <c r="I19" i="12"/>
  <c r="I26" i="12"/>
  <c r="I32" i="12"/>
  <c r="X166" i="15"/>
  <c r="X168" i="15" s="1"/>
  <c r="G31" i="12"/>
  <c r="I17" i="12"/>
  <c r="I18" i="12"/>
  <c r="I24" i="12"/>
  <c r="Z166" i="15"/>
  <c r="Z168" i="15" s="1"/>
  <c r="H31" i="12"/>
  <c r="I29" i="12"/>
  <c r="I36" i="12"/>
  <c r="R166" i="13"/>
  <c r="R168" i="13" s="1"/>
  <c r="F22" i="12"/>
  <c r="I22" i="12" s="1"/>
  <c r="L166" i="13"/>
  <c r="L168" i="13" s="1"/>
  <c r="D20" i="12"/>
  <c r="J166" i="13"/>
  <c r="J168" i="13" s="1"/>
  <c r="I166" i="13"/>
  <c r="I168" i="13" s="1"/>
  <c r="G20" i="12"/>
  <c r="K166" i="13"/>
  <c r="K168" i="13" s="1"/>
  <c r="H20" i="12"/>
  <c r="L166" i="15"/>
  <c r="L168" i="15" s="1"/>
  <c r="D34" i="12"/>
  <c r="K166" i="15"/>
  <c r="K168" i="15" s="1"/>
  <c r="H34" i="12"/>
  <c r="J166" i="14"/>
  <c r="J168" i="14" s="1"/>
  <c r="E27" i="12"/>
  <c r="L166" i="14"/>
  <c r="L168" i="14" s="1"/>
  <c r="D27" i="12"/>
  <c r="K166" i="14"/>
  <c r="K168" i="14" s="1"/>
  <c r="H27" i="12"/>
  <c r="I166" i="14"/>
  <c r="I168" i="14" s="1"/>
  <c r="G27" i="12"/>
  <c r="AH91" i="10"/>
  <c r="G61" i="22"/>
  <c r="Q7" i="23" s="1"/>
  <c r="AH66" i="10"/>
  <c r="F81" i="22"/>
  <c r="AI42" i="10"/>
  <c r="K83" i="22"/>
  <c r="AH15" i="10"/>
  <c r="D82" i="22"/>
  <c r="AI91" i="10"/>
  <c r="M61" i="22"/>
  <c r="AI66" i="10"/>
  <c r="L81" i="22"/>
  <c r="AH41" i="10"/>
  <c r="E82" i="22"/>
  <c r="AI15" i="10"/>
  <c r="J82" i="22"/>
  <c r="U29" i="8"/>
  <c r="U27" i="8" s="1"/>
  <c r="U26" i="8" s="1"/>
  <c r="Q163" i="16"/>
  <c r="Q164" i="16"/>
  <c r="D42" i="12" s="1"/>
  <c r="P163" i="16"/>
  <c r="P164" i="16"/>
  <c r="H42" i="12" s="1"/>
  <c r="O163" i="14"/>
  <c r="O164" i="14"/>
  <c r="P163" i="14"/>
  <c r="P164" i="14"/>
  <c r="AS39" i="13"/>
  <c r="AS40" i="13" s="1"/>
  <c r="AS41" i="13" s="1"/>
  <c r="AS42" i="13" s="1"/>
  <c r="AS43" i="13" s="1"/>
  <c r="AS44" i="13" s="1"/>
  <c r="AS45" i="13" s="1"/>
  <c r="AS46" i="13" s="1"/>
  <c r="AS47" i="13" s="1"/>
  <c r="AS48" i="13" s="1"/>
  <c r="AS49" i="13" s="1"/>
  <c r="AS50" i="13" s="1"/>
  <c r="AS51" i="13" s="1"/>
  <c r="AS52" i="13" s="1"/>
  <c r="AS53" i="13" s="1"/>
  <c r="N162" i="13" s="1"/>
  <c r="Q163" i="13"/>
  <c r="Q164" i="13"/>
  <c r="AS39" i="15"/>
  <c r="AS40" i="15" s="1"/>
  <c r="AS41" i="15" s="1"/>
  <c r="AS42" i="15" s="1"/>
  <c r="AS43" i="15" s="1"/>
  <c r="AS44" i="15" s="1"/>
  <c r="AS45" i="15" s="1"/>
  <c r="AS46" i="15" s="1"/>
  <c r="AS47" i="15" s="1"/>
  <c r="AS48" i="15" s="1"/>
  <c r="AS49" i="15" s="1"/>
  <c r="AS50" i="15" s="1"/>
  <c r="AS51" i="15" s="1"/>
  <c r="AS52" i="15" s="1"/>
  <c r="AS53" i="15" s="1"/>
  <c r="N162" i="15" s="1"/>
  <c r="O163" i="15"/>
  <c r="O164" i="15"/>
  <c r="P163" i="15"/>
  <c r="P164" i="15"/>
  <c r="Q163" i="15"/>
  <c r="Q164" i="15"/>
  <c r="O163" i="13"/>
  <c r="O164" i="13"/>
  <c r="AS39" i="14"/>
  <c r="AS40" i="14" s="1"/>
  <c r="AS41" i="14" s="1"/>
  <c r="AS42" i="14" s="1"/>
  <c r="AS43" i="14" s="1"/>
  <c r="AS44" i="14" s="1"/>
  <c r="AS45" i="14" s="1"/>
  <c r="AS46" i="14" s="1"/>
  <c r="AS47" i="14" s="1"/>
  <c r="AS48" i="14" s="1"/>
  <c r="AS49" i="14" s="1"/>
  <c r="AS50" i="14" s="1"/>
  <c r="AS51" i="14" s="1"/>
  <c r="AS52" i="14" s="1"/>
  <c r="AS53" i="14" s="1"/>
  <c r="N162" i="14" s="1"/>
  <c r="O163" i="16"/>
  <c r="O164" i="16"/>
  <c r="E42" i="12" s="1"/>
  <c r="M8" i="11"/>
  <c r="N163" i="16"/>
  <c r="N164" i="16"/>
  <c r="G42" i="12" s="1"/>
  <c r="P163" i="13"/>
  <c r="P164" i="13"/>
  <c r="Q163" i="14"/>
  <c r="Q164" i="14"/>
  <c r="J164" i="16"/>
  <c r="E41" i="12" s="1"/>
  <c r="L10" i="11"/>
  <c r="H164" i="13"/>
  <c r="H164" i="14"/>
  <c r="J165" i="15"/>
  <c r="J167" i="15" s="1"/>
  <c r="H164" i="15"/>
  <c r="J164" i="15"/>
  <c r="L11" i="11"/>
  <c r="L13" i="11" s="1"/>
  <c r="I163" i="15"/>
  <c r="I164" i="15"/>
  <c r="H164" i="16"/>
  <c r="F41" i="12" s="1"/>
  <c r="K165" i="14"/>
  <c r="K167" i="14" s="1"/>
  <c r="Y70" i="2"/>
  <c r="U28" i="8" s="1"/>
  <c r="AF70" i="2"/>
  <c r="W28" i="8" s="1"/>
  <c r="W27" i="8"/>
  <c r="W26" i="8" s="1"/>
  <c r="P13" i="9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D6" i="11" s="1"/>
  <c r="P39" i="9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E6" i="11" s="1"/>
  <c r="P65" i="9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F6" i="11" s="1"/>
  <c r="P91" i="9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G6" i="11" s="1"/>
  <c r="P117" i="9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H6" i="11" s="1"/>
  <c r="Q13" i="9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D7" i="11" s="1"/>
  <c r="Q39" i="9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E7" i="11" s="1"/>
  <c r="Q65" i="9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F7" i="11" s="1"/>
  <c r="Q91" i="9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G7" i="11" s="1"/>
  <c r="Q117" i="9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Q129" i="9" s="1"/>
  <c r="Q130" i="9" s="1"/>
  <c r="Q131" i="9" s="1"/>
  <c r="Q132" i="9" s="1"/>
  <c r="H7" i="11" s="1"/>
  <c r="R13" i="9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D8" i="11" s="1"/>
  <c r="R39" i="9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E8" i="11" s="1"/>
  <c r="R65" i="9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F8" i="11" s="1"/>
  <c r="R91" i="9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G8" i="11" s="1"/>
  <c r="S13" i="9"/>
  <c r="T13" i="9"/>
  <c r="S39" i="9"/>
  <c r="T39" i="9"/>
  <c r="T65" i="9"/>
  <c r="S65" i="9"/>
  <c r="R7" i="23" l="1"/>
  <c r="L12" i="11"/>
  <c r="L14" i="11" s="1"/>
  <c r="I31" i="12"/>
  <c r="I41" i="12"/>
  <c r="P166" i="13"/>
  <c r="P168" i="13" s="1"/>
  <c r="H21" i="12"/>
  <c r="H166" i="14"/>
  <c r="H168" i="14" s="1"/>
  <c r="F27" i="12"/>
  <c r="I27" i="12" s="1"/>
  <c r="H166" i="15"/>
  <c r="H168" i="15" s="1"/>
  <c r="F34" i="12"/>
  <c r="H166" i="13"/>
  <c r="H168" i="13" s="1"/>
  <c r="F20" i="12"/>
  <c r="I20" i="12" s="1"/>
  <c r="O166" i="13"/>
  <c r="O168" i="13" s="1"/>
  <c r="E21" i="12"/>
  <c r="Q166" i="13"/>
  <c r="Q168" i="13" s="1"/>
  <c r="D21" i="12"/>
  <c r="J166" i="15"/>
  <c r="J168" i="15" s="1"/>
  <c r="E34" i="12"/>
  <c r="O166" i="15"/>
  <c r="O168" i="15" s="1"/>
  <c r="E35" i="12"/>
  <c r="Q166" i="15"/>
  <c r="Q168" i="15" s="1"/>
  <c r="D35" i="12"/>
  <c r="P166" i="15"/>
  <c r="P168" i="15" s="1"/>
  <c r="H35" i="12"/>
  <c r="I166" i="15"/>
  <c r="I168" i="15" s="1"/>
  <c r="G34" i="12"/>
  <c r="Q166" i="14"/>
  <c r="Q168" i="14" s="1"/>
  <c r="D28" i="12"/>
  <c r="P166" i="14"/>
  <c r="P168" i="14" s="1"/>
  <c r="H28" i="12"/>
  <c r="O166" i="14"/>
  <c r="O168" i="14" s="1"/>
  <c r="E28" i="12"/>
  <c r="AH42" i="10"/>
  <c r="E83" i="22"/>
  <c r="AI67" i="10"/>
  <c r="L82" i="22"/>
  <c r="AI92" i="10"/>
  <c r="M81" i="22"/>
  <c r="T7" i="23" s="1"/>
  <c r="AH67" i="10"/>
  <c r="F82" i="22"/>
  <c r="AI43" i="10"/>
  <c r="K84" i="22"/>
  <c r="J83" i="22"/>
  <c r="D83" i="22"/>
  <c r="AH92" i="10"/>
  <c r="G81" i="22"/>
  <c r="S7" i="23" s="1"/>
  <c r="T66" i="9"/>
  <c r="M53" i="18"/>
  <c r="T40" i="9"/>
  <c r="L53" i="18"/>
  <c r="T14" i="9"/>
  <c r="K53" i="18"/>
  <c r="S7" i="17" s="1"/>
  <c r="S66" i="9"/>
  <c r="F53" i="18"/>
  <c r="S14" i="9"/>
  <c r="D53" i="18"/>
  <c r="R7" i="17" s="1"/>
  <c r="S40" i="9"/>
  <c r="E53" i="18"/>
  <c r="M163" i="16"/>
  <c r="M164" i="16"/>
  <c r="F42" i="12" s="1"/>
  <c r="P165" i="14"/>
  <c r="P167" i="14" s="1"/>
  <c r="M163" i="14"/>
  <c r="M165" i="14" s="1"/>
  <c r="M167" i="14" s="1"/>
  <c r="M164" i="14"/>
  <c r="O165" i="13"/>
  <c r="O167" i="13" s="1"/>
  <c r="N163" i="15"/>
  <c r="N164" i="15"/>
  <c r="O165" i="14"/>
  <c r="O167" i="14" s="1"/>
  <c r="Q165" i="14"/>
  <c r="Q167" i="14" s="1"/>
  <c r="M163" i="15"/>
  <c r="M165" i="15" s="1"/>
  <c r="M167" i="15" s="1"/>
  <c r="M164" i="15"/>
  <c r="M9" i="11"/>
  <c r="M10" i="11"/>
  <c r="Q165" i="15"/>
  <c r="Q167" i="15" s="1"/>
  <c r="Q165" i="13"/>
  <c r="Q167" i="13" s="1"/>
  <c r="O165" i="15"/>
  <c r="O167" i="15" s="1"/>
  <c r="N163" i="14"/>
  <c r="N164" i="14"/>
  <c r="M163" i="13"/>
  <c r="M165" i="13" s="1"/>
  <c r="M167" i="13" s="1"/>
  <c r="M164" i="13"/>
  <c r="P165" i="13"/>
  <c r="P167" i="13" s="1"/>
  <c r="P165" i="15"/>
  <c r="P167" i="15" s="1"/>
  <c r="N163" i="13"/>
  <c r="N164" i="13"/>
  <c r="I165" i="15"/>
  <c r="I167" i="15" s="1"/>
  <c r="H9" i="11"/>
  <c r="H11" i="11" s="1"/>
  <c r="H13" i="11" s="1"/>
  <c r="H10" i="11"/>
  <c r="H12" i="11" s="1"/>
  <c r="H14" i="11" s="1"/>
  <c r="F9" i="11"/>
  <c r="F11" i="11" s="1"/>
  <c r="F13" i="11" s="1"/>
  <c r="F10" i="11"/>
  <c r="F12" i="11" s="1"/>
  <c r="F14" i="11" s="1"/>
  <c r="E10" i="11"/>
  <c r="E12" i="11" s="1"/>
  <c r="E14" i="11" s="1"/>
  <c r="E9" i="11"/>
  <c r="E11" i="11" s="1"/>
  <c r="E13" i="11" s="1"/>
  <c r="G10" i="11"/>
  <c r="G12" i="11" s="1"/>
  <c r="G14" i="11" s="1"/>
  <c r="G9" i="11"/>
  <c r="G11" i="11" s="1"/>
  <c r="G13" i="11" s="1"/>
  <c r="D9" i="11"/>
  <c r="D11" i="11" s="1"/>
  <c r="D13" i="11" s="1"/>
  <c r="D10" i="11"/>
  <c r="D12" i="11" s="1"/>
  <c r="D14" i="11" s="1"/>
  <c r="S91" i="9"/>
  <c r="T91" i="9"/>
  <c r="S117" i="9"/>
  <c r="T117" i="9"/>
  <c r="M12" i="11" l="1"/>
  <c r="M14" i="11" s="1"/>
  <c r="I34" i="12"/>
  <c r="M166" i="15"/>
  <c r="M168" i="15" s="1"/>
  <c r="F35" i="12"/>
  <c r="M166" i="13"/>
  <c r="M168" i="13" s="1"/>
  <c r="F21" i="12"/>
  <c r="N166" i="13"/>
  <c r="N168" i="13" s="1"/>
  <c r="G21" i="12"/>
  <c r="M166" i="14"/>
  <c r="M168" i="14" s="1"/>
  <c r="F28" i="12"/>
  <c r="N166" i="15"/>
  <c r="N168" i="15" s="1"/>
  <c r="G35" i="12"/>
  <c r="N166" i="14"/>
  <c r="N168" i="14" s="1"/>
  <c r="G28" i="12"/>
  <c r="AI93" i="10"/>
  <c r="M82" i="22"/>
  <c r="T8" i="23" s="1"/>
  <c r="AI44" i="10"/>
  <c r="K85" i="22"/>
  <c r="AI68" i="10"/>
  <c r="L83" i="22"/>
  <c r="AH93" i="10"/>
  <c r="G82" i="22"/>
  <c r="S8" i="23" s="1"/>
  <c r="AH68" i="10"/>
  <c r="F83" i="22"/>
  <c r="AH43" i="10"/>
  <c r="E84" i="22"/>
  <c r="O53" i="18"/>
  <c r="S41" i="9"/>
  <c r="E54" i="18"/>
  <c r="T41" i="9"/>
  <c r="L54" i="18"/>
  <c r="S118" i="9"/>
  <c r="H53" i="18"/>
  <c r="S67" i="9"/>
  <c r="F54" i="18"/>
  <c r="T92" i="9"/>
  <c r="N53" i="18"/>
  <c r="S92" i="9"/>
  <c r="G53" i="18"/>
  <c r="T15" i="9"/>
  <c r="K54" i="18"/>
  <c r="S8" i="17" s="1"/>
  <c r="S15" i="9"/>
  <c r="D54" i="18"/>
  <c r="R8" i="17" s="1"/>
  <c r="T67" i="9"/>
  <c r="M54" i="18"/>
  <c r="N165" i="13"/>
  <c r="N167" i="13" s="1"/>
  <c r="N165" i="14"/>
  <c r="N167" i="14" s="1"/>
  <c r="M11" i="11"/>
  <c r="M13" i="11" s="1"/>
  <c r="I42" i="12"/>
  <c r="N165" i="15"/>
  <c r="N167" i="15" s="1"/>
  <c r="T118" i="9"/>
  <c r="Q143" i="9"/>
  <c r="Q144" i="9" s="1"/>
  <c r="Q145" i="9" s="1"/>
  <c r="Q146" i="9" s="1"/>
  <c r="Q147" i="9" s="1"/>
  <c r="Q148" i="9" s="1"/>
  <c r="Q149" i="9" s="1"/>
  <c r="Q150" i="9" s="1"/>
  <c r="Q151" i="9" s="1"/>
  <c r="Q152" i="9" s="1"/>
  <c r="Q153" i="9" s="1"/>
  <c r="Q154" i="9" s="1"/>
  <c r="Q155" i="9" s="1"/>
  <c r="Q156" i="9" s="1"/>
  <c r="Q157" i="9" s="1"/>
  <c r="Q158" i="9" s="1"/>
  <c r="I6" i="11" s="1"/>
  <c r="R143" i="9"/>
  <c r="R144" i="9" s="1"/>
  <c r="R145" i="9" s="1"/>
  <c r="R146" i="9" s="1"/>
  <c r="R147" i="9" s="1"/>
  <c r="R148" i="9" s="1"/>
  <c r="R149" i="9" s="1"/>
  <c r="R150" i="9" s="1"/>
  <c r="R151" i="9" s="1"/>
  <c r="R152" i="9" s="1"/>
  <c r="R153" i="9" s="1"/>
  <c r="R154" i="9" s="1"/>
  <c r="R155" i="9" s="1"/>
  <c r="R156" i="9" s="1"/>
  <c r="R157" i="9" s="1"/>
  <c r="R158" i="9" s="1"/>
  <c r="I7" i="11" s="1"/>
  <c r="S143" i="9"/>
  <c r="S144" i="9" s="1"/>
  <c r="S145" i="9" s="1"/>
  <c r="S146" i="9" s="1"/>
  <c r="S147" i="9" s="1"/>
  <c r="S148" i="9" s="1"/>
  <c r="S149" i="9" s="1"/>
  <c r="S150" i="9" s="1"/>
  <c r="S151" i="9" s="1"/>
  <c r="S152" i="9" s="1"/>
  <c r="S153" i="9" s="1"/>
  <c r="S154" i="9" s="1"/>
  <c r="S155" i="9" s="1"/>
  <c r="S156" i="9" s="1"/>
  <c r="S157" i="9" s="1"/>
  <c r="S158" i="9" s="1"/>
  <c r="I8" i="11" s="1"/>
  <c r="T143" i="9"/>
  <c r="T144" i="9" s="1"/>
  <c r="T145" i="9" s="1"/>
  <c r="T146" i="9" s="1"/>
  <c r="T147" i="9" s="1"/>
  <c r="T148" i="9" s="1"/>
  <c r="T149" i="9" s="1"/>
  <c r="T150" i="9" s="1"/>
  <c r="T151" i="9" s="1"/>
  <c r="T152" i="9" s="1"/>
  <c r="T153" i="9" s="1"/>
  <c r="T154" i="9" s="1"/>
  <c r="T155" i="9" s="1"/>
  <c r="T156" i="9" s="1"/>
  <c r="T157" i="9" s="1"/>
  <c r="T158" i="9" s="1"/>
  <c r="U143" i="9"/>
  <c r="U144" i="9" s="1"/>
  <c r="U145" i="9" s="1"/>
  <c r="U146" i="9" s="1"/>
  <c r="U147" i="9" s="1"/>
  <c r="U148" i="9" s="1"/>
  <c r="U149" i="9" s="1"/>
  <c r="U150" i="9" s="1"/>
  <c r="U151" i="9" s="1"/>
  <c r="U152" i="9" s="1"/>
  <c r="U153" i="9" s="1"/>
  <c r="U154" i="9" s="1"/>
  <c r="U155" i="9" s="1"/>
  <c r="U156" i="9" s="1"/>
  <c r="U157" i="9" s="1"/>
  <c r="U158" i="9" s="1"/>
  <c r="AI45" i="10" l="1"/>
  <c r="K86" i="22"/>
  <c r="AH94" i="10"/>
  <c r="G83" i="22"/>
  <c r="S9" i="23" s="1"/>
  <c r="AI69" i="10"/>
  <c r="L84" i="22"/>
  <c r="AI94" i="10"/>
  <c r="M83" i="22"/>
  <c r="T9" i="23" s="1"/>
  <c r="AH69" i="10"/>
  <c r="F84" i="22"/>
  <c r="AH44" i="10"/>
  <c r="E85" i="22"/>
  <c r="I21" i="12"/>
  <c r="I35" i="12"/>
  <c r="S68" i="9"/>
  <c r="F55" i="18"/>
  <c r="S119" i="9"/>
  <c r="H54" i="18"/>
  <c r="S16" i="9"/>
  <c r="D55" i="18"/>
  <c r="R9" i="17" s="1"/>
  <c r="S93" i="9"/>
  <c r="G54" i="18"/>
  <c r="T42" i="9"/>
  <c r="L55" i="18"/>
  <c r="T119" i="9"/>
  <c r="O54" i="18"/>
  <c r="T16" i="9"/>
  <c r="K55" i="18"/>
  <c r="S9" i="17" s="1"/>
  <c r="T68" i="9"/>
  <c r="M55" i="18"/>
  <c r="T93" i="9"/>
  <c r="N54" i="18"/>
  <c r="S42" i="9"/>
  <c r="E55" i="18"/>
  <c r="I28" i="12"/>
  <c r="I10" i="11"/>
  <c r="I9" i="11"/>
  <c r="I11" i="11" s="1"/>
  <c r="I13" i="11" s="1"/>
  <c r="I12" i="11" l="1"/>
  <c r="I14" i="11" s="1"/>
  <c r="J33" i="12"/>
  <c r="J28" i="12"/>
  <c r="J31" i="12"/>
  <c r="J21" i="12"/>
  <c r="J34" i="12"/>
  <c r="J20" i="12"/>
  <c r="J35" i="12"/>
  <c r="J24" i="12"/>
  <c r="J22" i="12"/>
  <c r="J27" i="12"/>
  <c r="J19" i="12"/>
  <c r="J25" i="12"/>
  <c r="J29" i="12"/>
  <c r="J40" i="12"/>
  <c r="J18" i="12"/>
  <c r="J36" i="12"/>
  <c r="J17" i="12"/>
  <c r="J32" i="12"/>
  <c r="J26" i="12"/>
  <c r="J38" i="12"/>
  <c r="J39" i="12"/>
  <c r="J42" i="12"/>
  <c r="J43" i="12"/>
  <c r="AI70" i="10"/>
  <c r="L85" i="22"/>
  <c r="AH45" i="10"/>
  <c r="E86" i="22"/>
  <c r="AH95" i="10"/>
  <c r="G84" i="22"/>
  <c r="S10" i="23" s="1"/>
  <c r="AH70" i="10"/>
  <c r="F85" i="22"/>
  <c r="AI46" i="10"/>
  <c r="K87" i="22"/>
  <c r="AI95" i="10"/>
  <c r="M84" i="22"/>
  <c r="T10" i="23" s="1"/>
  <c r="T69" i="9"/>
  <c r="M56" i="18"/>
  <c r="S17" i="9"/>
  <c r="D56" i="18"/>
  <c r="R10" i="17" s="1"/>
  <c r="S43" i="9"/>
  <c r="E56" i="18"/>
  <c r="T120" i="9"/>
  <c r="O55" i="18"/>
  <c r="S120" i="9"/>
  <c r="H55" i="18"/>
  <c r="S94" i="9"/>
  <c r="G55" i="18"/>
  <c r="T17" i="9"/>
  <c r="K56" i="18"/>
  <c r="S10" i="17" s="1"/>
  <c r="T94" i="9"/>
  <c r="N55" i="18"/>
  <c r="T43" i="9"/>
  <c r="L56" i="18"/>
  <c r="S69" i="9"/>
  <c r="F56" i="18"/>
  <c r="J41" i="12"/>
  <c r="AI96" i="10" l="1"/>
  <c r="M85" i="22"/>
  <c r="T11" i="23" s="1"/>
  <c r="AI47" i="10"/>
  <c r="K88" i="22"/>
  <c r="AI71" i="10"/>
  <c r="L86" i="22"/>
  <c r="AH96" i="10"/>
  <c r="G85" i="22"/>
  <c r="S11" i="23" s="1"/>
  <c r="AH46" i="10"/>
  <c r="E87" i="22"/>
  <c r="AH71" i="10"/>
  <c r="F86" i="22"/>
  <c r="S18" i="9"/>
  <c r="D57" i="18"/>
  <c r="R11" i="17" s="1"/>
  <c r="T95" i="9"/>
  <c r="N56" i="18"/>
  <c r="S44" i="9"/>
  <c r="E57" i="18"/>
  <c r="S95" i="9"/>
  <c r="G56" i="18"/>
  <c r="T121" i="9"/>
  <c r="O56" i="18"/>
  <c r="T18" i="9"/>
  <c r="K57" i="18"/>
  <c r="S11" i="17" s="1"/>
  <c r="S70" i="9"/>
  <c r="F57" i="18"/>
  <c r="T44" i="9"/>
  <c r="L57" i="18"/>
  <c r="S121" i="9"/>
  <c r="H56" i="18"/>
  <c r="T70" i="9"/>
  <c r="M57" i="18"/>
  <c r="AH72" i="10" l="1"/>
  <c r="F87" i="22"/>
  <c r="AI72" i="10"/>
  <c r="L87" i="22"/>
  <c r="AI48" i="10"/>
  <c r="K89" i="22"/>
  <c r="AH47" i="10"/>
  <c r="E88" i="22"/>
  <c r="AH97" i="10"/>
  <c r="G86" i="22"/>
  <c r="S12" i="23" s="1"/>
  <c r="AI97" i="10"/>
  <c r="M86" i="22"/>
  <c r="T12" i="23" s="1"/>
  <c r="S96" i="9"/>
  <c r="G57" i="18"/>
  <c r="S71" i="9"/>
  <c r="F58" i="18"/>
  <c r="T96" i="9"/>
  <c r="N57" i="18"/>
  <c r="T45" i="9"/>
  <c r="L58" i="18"/>
  <c r="S45" i="9"/>
  <c r="E58" i="18"/>
  <c r="T19" i="9"/>
  <c r="K58" i="18"/>
  <c r="S12" i="17" s="1"/>
  <c r="T71" i="9"/>
  <c r="M58" i="18"/>
  <c r="S122" i="9"/>
  <c r="H57" i="18"/>
  <c r="T122" i="9"/>
  <c r="O57" i="18"/>
  <c r="S19" i="9"/>
  <c r="D58" i="18"/>
  <c r="R12" i="17" s="1"/>
  <c r="AH48" i="10" l="1"/>
  <c r="E89" i="22"/>
  <c r="AI73" i="10"/>
  <c r="L88" i="22"/>
  <c r="AH98" i="10"/>
  <c r="G87" i="22"/>
  <c r="S13" i="23" s="1"/>
  <c r="AH73" i="10"/>
  <c r="F88" i="22"/>
  <c r="AI98" i="10"/>
  <c r="M87" i="22"/>
  <c r="T13" i="23" s="1"/>
  <c r="AI49" i="10"/>
  <c r="K90" i="22"/>
  <c r="S123" i="9"/>
  <c r="H58" i="18"/>
  <c r="T46" i="9"/>
  <c r="L59" i="18"/>
  <c r="S20" i="9"/>
  <c r="D59" i="18"/>
  <c r="R13" i="17" s="1"/>
  <c r="T20" i="9"/>
  <c r="K59" i="18"/>
  <c r="S13" i="17" s="1"/>
  <c r="S72" i="9"/>
  <c r="F59" i="18"/>
  <c r="T72" i="9"/>
  <c r="M59" i="18"/>
  <c r="T97" i="9"/>
  <c r="N58" i="18"/>
  <c r="T123" i="9"/>
  <c r="O58" i="18"/>
  <c r="S46" i="9"/>
  <c r="E59" i="18"/>
  <c r="S97" i="9"/>
  <c r="G58" i="18"/>
  <c r="AI50" i="10" l="1"/>
  <c r="K91" i="22"/>
  <c r="AI99" i="10"/>
  <c r="M88" i="22"/>
  <c r="T14" i="23" s="1"/>
  <c r="AI74" i="10"/>
  <c r="L89" i="22"/>
  <c r="AH74" i="10"/>
  <c r="F89" i="22"/>
  <c r="AH99" i="10"/>
  <c r="G88" i="22"/>
  <c r="S14" i="23" s="1"/>
  <c r="AH49" i="10"/>
  <c r="E90" i="22"/>
  <c r="T124" i="9"/>
  <c r="O59" i="18"/>
  <c r="T21" i="9"/>
  <c r="K60" i="18"/>
  <c r="S14" i="17" s="1"/>
  <c r="T98" i="9"/>
  <c r="N59" i="18"/>
  <c r="S21" i="9"/>
  <c r="D60" i="18"/>
  <c r="R14" i="17" s="1"/>
  <c r="S98" i="9"/>
  <c r="G59" i="18"/>
  <c r="T47" i="9"/>
  <c r="L60" i="18"/>
  <c r="T73" i="9"/>
  <c r="M60" i="18"/>
  <c r="S47" i="9"/>
  <c r="E60" i="18"/>
  <c r="S73" i="9"/>
  <c r="F60" i="18"/>
  <c r="S124" i="9"/>
  <c r="H59" i="18"/>
  <c r="AH100" i="10" l="1"/>
  <c r="G89" i="22"/>
  <c r="S15" i="23" s="1"/>
  <c r="AI100" i="10"/>
  <c r="M89" i="22"/>
  <c r="T15" i="23" s="1"/>
  <c r="AH75" i="10"/>
  <c r="F90" i="22"/>
  <c r="AI75" i="10"/>
  <c r="L90" i="22"/>
  <c r="AH50" i="10"/>
  <c r="E91" i="22"/>
  <c r="AI51" i="10"/>
  <c r="K92" i="22"/>
  <c r="S48" i="9"/>
  <c r="E61" i="18"/>
  <c r="S22" i="9"/>
  <c r="D61" i="18"/>
  <c r="R15" i="17" s="1"/>
  <c r="T74" i="9"/>
  <c r="M61" i="18"/>
  <c r="S125" i="9"/>
  <c r="H60" i="18"/>
  <c r="T22" i="9"/>
  <c r="K61" i="18"/>
  <c r="S15" i="17" s="1"/>
  <c r="T99" i="9"/>
  <c r="N60" i="18"/>
  <c r="T48" i="9"/>
  <c r="L61" i="18"/>
  <c r="S74" i="9"/>
  <c r="F61" i="18"/>
  <c r="S99" i="9"/>
  <c r="G60" i="18"/>
  <c r="T125" i="9"/>
  <c r="O60" i="18"/>
  <c r="AH51" i="10" l="1"/>
  <c r="E92" i="22"/>
  <c r="AI76" i="10"/>
  <c r="L91" i="22"/>
  <c r="AI101" i="10"/>
  <c r="M90" i="22"/>
  <c r="T16" i="23" s="1"/>
  <c r="AH101" i="10"/>
  <c r="G90" i="22"/>
  <c r="S16" i="23" s="1"/>
  <c r="AI52" i="10"/>
  <c r="K93" i="22"/>
  <c r="AH76" i="10"/>
  <c r="F91" i="22"/>
  <c r="T75" i="9"/>
  <c r="M62" i="18"/>
  <c r="S23" i="9"/>
  <c r="D62" i="18"/>
  <c r="R16" i="17" s="1"/>
  <c r="S126" i="9"/>
  <c r="H61" i="18"/>
  <c r="T49" i="9"/>
  <c r="L62" i="18"/>
  <c r="S75" i="9"/>
  <c r="F62" i="18"/>
  <c r="T126" i="9"/>
  <c r="O61" i="18"/>
  <c r="T100" i="9"/>
  <c r="N61" i="18"/>
  <c r="S100" i="9"/>
  <c r="G61" i="18"/>
  <c r="T23" i="9"/>
  <c r="K62" i="18"/>
  <c r="S16" i="17" s="1"/>
  <c r="S49" i="9"/>
  <c r="E62" i="18"/>
  <c r="AI53" i="10" l="1"/>
  <c r="K94" i="22"/>
  <c r="AH102" i="10"/>
  <c r="G91" i="22"/>
  <c r="S17" i="23" s="1"/>
  <c r="AH52" i="10"/>
  <c r="E93" i="22"/>
  <c r="AH77" i="10"/>
  <c r="F92" i="22"/>
  <c r="AI77" i="10"/>
  <c r="L92" i="22"/>
  <c r="AI102" i="10"/>
  <c r="M91" i="22"/>
  <c r="T17" i="23" s="1"/>
  <c r="T50" i="9"/>
  <c r="L63" i="18"/>
  <c r="T101" i="9"/>
  <c r="N62" i="18"/>
  <c r="S24" i="9"/>
  <c r="D63" i="18"/>
  <c r="R17" i="17" s="1"/>
  <c r="S127" i="9"/>
  <c r="H62" i="18"/>
  <c r="S101" i="9"/>
  <c r="G62" i="18"/>
  <c r="S50" i="9"/>
  <c r="E63" i="18"/>
  <c r="T127" i="9"/>
  <c r="O62" i="18"/>
  <c r="T24" i="9"/>
  <c r="K63" i="18"/>
  <c r="S17" i="17" s="1"/>
  <c r="S76" i="9"/>
  <c r="F63" i="18"/>
  <c r="T76" i="9"/>
  <c r="M63" i="18"/>
  <c r="AH53" i="10" l="1"/>
  <c r="E94" i="22"/>
  <c r="AH103" i="10"/>
  <c r="G92" i="22"/>
  <c r="S18" i="23" s="1"/>
  <c r="AI78" i="10"/>
  <c r="L93" i="22"/>
  <c r="AI54" i="10"/>
  <c r="K96" i="22" s="1"/>
  <c r="K95" i="22"/>
  <c r="AI103" i="10"/>
  <c r="M92" i="22"/>
  <c r="T18" i="23" s="1"/>
  <c r="AH78" i="10"/>
  <c r="F93" i="22"/>
  <c r="T102" i="9"/>
  <c r="N63" i="18"/>
  <c r="T25" i="9"/>
  <c r="K64" i="18"/>
  <c r="S18" i="17" s="1"/>
  <c r="S128" i="9"/>
  <c r="H63" i="18"/>
  <c r="S25" i="9"/>
  <c r="D64" i="18"/>
  <c r="R18" i="17" s="1"/>
  <c r="S51" i="9"/>
  <c r="E64" i="18"/>
  <c r="T128" i="9"/>
  <c r="O63" i="18"/>
  <c r="T77" i="9"/>
  <c r="M64" i="18"/>
  <c r="S77" i="9"/>
  <c r="F64" i="18"/>
  <c r="S102" i="9"/>
  <c r="G63" i="18"/>
  <c r="T51" i="9"/>
  <c r="L64" i="18"/>
  <c r="AI104" i="10" l="1"/>
  <c r="M93" i="22"/>
  <c r="T19" i="23" s="1"/>
  <c r="AH104" i="10"/>
  <c r="G93" i="22"/>
  <c r="S19" i="23" s="1"/>
  <c r="AH79" i="10"/>
  <c r="F94" i="22"/>
  <c r="AI79" i="10"/>
  <c r="L94" i="22"/>
  <c r="AH54" i="10"/>
  <c r="E96" i="22" s="1"/>
  <c r="E95" i="22"/>
  <c r="S26" i="9"/>
  <c r="D65" i="18"/>
  <c r="R19" i="17" s="1"/>
  <c r="T52" i="9"/>
  <c r="L65" i="18"/>
  <c r="T26" i="9"/>
  <c r="K65" i="18"/>
  <c r="S19" i="17" s="1"/>
  <c r="S78" i="9"/>
  <c r="F65" i="18"/>
  <c r="T78" i="9"/>
  <c r="M65" i="18"/>
  <c r="S129" i="9"/>
  <c r="H64" i="18"/>
  <c r="T129" i="9"/>
  <c r="O64" i="18"/>
  <c r="S103" i="9"/>
  <c r="G64" i="18"/>
  <c r="S52" i="9"/>
  <c r="E65" i="18"/>
  <c r="T103" i="9"/>
  <c r="N64" i="18"/>
  <c r="AH105" i="10" l="1"/>
  <c r="G94" i="22"/>
  <c r="S20" i="23" s="1"/>
  <c r="AH80" i="10"/>
  <c r="F96" i="22" s="1"/>
  <c r="F95" i="22"/>
  <c r="AI105" i="10"/>
  <c r="M94" i="22"/>
  <c r="T20" i="23" s="1"/>
  <c r="AI80" i="10"/>
  <c r="L96" i="22" s="1"/>
  <c r="L95" i="22"/>
  <c r="S104" i="9"/>
  <c r="G65" i="18"/>
  <c r="T27" i="9"/>
  <c r="K66" i="18"/>
  <c r="S20" i="17" s="1"/>
  <c r="T104" i="9"/>
  <c r="N65" i="18"/>
  <c r="T53" i="9"/>
  <c r="L66" i="18"/>
  <c r="S79" i="9"/>
  <c r="F66" i="18"/>
  <c r="T130" i="9"/>
  <c r="O65" i="18"/>
  <c r="S130" i="9"/>
  <c r="H65" i="18"/>
  <c r="S53" i="9"/>
  <c r="E66" i="18"/>
  <c r="T79" i="9"/>
  <c r="M66" i="18"/>
  <c r="S27" i="9"/>
  <c r="D66" i="18"/>
  <c r="R20" i="17" s="1"/>
  <c r="AI106" i="10" l="1"/>
  <c r="M96" i="22" s="1"/>
  <c r="T22" i="23" s="1"/>
  <c r="M95" i="22"/>
  <c r="T21" i="23" s="1"/>
  <c r="AH106" i="10"/>
  <c r="G96" i="22" s="1"/>
  <c r="S22" i="23" s="1"/>
  <c r="G95" i="22"/>
  <c r="S21" i="23" s="1"/>
  <c r="T54" i="9"/>
  <c r="L67" i="18"/>
  <c r="T105" i="9"/>
  <c r="N66" i="18"/>
  <c r="T28" i="9"/>
  <c r="K67" i="18"/>
  <c r="S21" i="17" s="1"/>
  <c r="S54" i="9"/>
  <c r="E67" i="18"/>
  <c r="S28" i="9"/>
  <c r="D67" i="18"/>
  <c r="R21" i="17" s="1"/>
  <c r="S131" i="9"/>
  <c r="H66" i="18"/>
  <c r="T131" i="9"/>
  <c r="O66" i="18"/>
  <c r="M67" i="18"/>
  <c r="T80" i="9"/>
  <c r="S80" i="9"/>
  <c r="F67" i="18"/>
  <c r="S105" i="9"/>
  <c r="G66" i="18"/>
  <c r="M68" i="18" l="1"/>
  <c r="E68" i="18"/>
  <c r="K68" i="18"/>
  <c r="S22" i="17" s="1"/>
  <c r="F68" i="18"/>
  <c r="D68" i="18"/>
  <c r="R22" i="17" s="1"/>
  <c r="L68" i="18"/>
  <c r="T132" i="9"/>
  <c r="O67" i="18"/>
  <c r="S106" i="9"/>
  <c r="G67" i="18"/>
  <c r="T106" i="9"/>
  <c r="N67" i="18"/>
  <c r="S132" i="9"/>
  <c r="H67" i="18"/>
  <c r="D30" i="17" l="1"/>
  <c r="E30" i="17" s="1"/>
  <c r="F30" i="17" s="1"/>
  <c r="D29" i="17"/>
  <c r="E29" i="17" s="1"/>
  <c r="F29" i="17" s="1"/>
  <c r="H68" i="18"/>
  <c r="G68" i="18"/>
  <c r="O68" i="18"/>
  <c r="N68" i="18"/>
  <c r="D30" i="23" l="1"/>
  <c r="E30" i="23" s="1"/>
  <c r="F30" i="23" s="1"/>
  <c r="D29" i="23"/>
  <c r="E29" i="23" s="1"/>
  <c r="F29" i="23" s="1"/>
  <c r="R10" i="23" l="1"/>
  <c r="R13" i="23"/>
  <c r="R16" i="23"/>
  <c r="R19" i="23"/>
  <c r="R22" i="23"/>
  <c r="J71" i="2"/>
  <c r="P29" i="8" s="1"/>
  <c r="P27" i="8" s="1"/>
  <c r="P22" i="8"/>
  <c r="D46" i="22" l="1"/>
  <c r="D40" i="22"/>
  <c r="W22" i="10"/>
  <c r="AB22" i="10" s="1"/>
  <c r="W28" i="10"/>
  <c r="AB28" i="10" s="1"/>
  <c r="D43" i="22"/>
  <c r="P24" i="8"/>
  <c r="W16" i="10"/>
  <c r="AB16" i="10" s="1"/>
  <c r="W25" i="10"/>
  <c r="AB25" i="10" s="1"/>
  <c r="W19" i="10"/>
  <c r="AB19" i="10" s="1"/>
  <c r="D52" i="22"/>
  <c r="D49" i="22"/>
  <c r="X22" i="10" l="1"/>
  <c r="Y22" i="10"/>
  <c r="Y28" i="10"/>
  <c r="X28" i="10"/>
  <c r="Y16" i="10"/>
  <c r="AD16" i="10" s="1"/>
  <c r="X16" i="10"/>
  <c r="AC16" i="10" s="1"/>
  <c r="AG16" i="10"/>
  <c r="AG17" i="10" s="1"/>
  <c r="AG18" i="10" s="1"/>
  <c r="Y19" i="10"/>
  <c r="X19" i="10"/>
  <c r="X25" i="10"/>
  <c r="Y25" i="10"/>
  <c r="AD19" i="10" l="1"/>
  <c r="J67" i="22" s="1"/>
  <c r="AD28" i="10"/>
  <c r="J76" i="22" s="1"/>
  <c r="AC25" i="10"/>
  <c r="D73" i="22" s="1"/>
  <c r="AD22" i="10"/>
  <c r="J70" i="22" s="1"/>
  <c r="AC28" i="10"/>
  <c r="D76" i="22" s="1"/>
  <c r="AD25" i="10"/>
  <c r="J73" i="22" s="1"/>
  <c r="AC19" i="10"/>
  <c r="D67" i="22" s="1"/>
  <c r="AC22" i="10"/>
  <c r="D70" i="22" s="1"/>
  <c r="AG19" i="10"/>
  <c r="AG20" i="10" s="1"/>
  <c r="AG21" i="10" s="1"/>
  <c r="AG22" i="10" s="1"/>
  <c r="AG23" i="10" s="1"/>
  <c r="AG24" i="10" s="1"/>
  <c r="AG25" i="10" s="1"/>
  <c r="AG26" i="10" s="1"/>
  <c r="AG27" i="10" s="1"/>
  <c r="AG28" i="10" s="1"/>
  <c r="J8" i="11" s="1"/>
  <c r="J9" i="11" s="1"/>
  <c r="J11" i="11" s="1"/>
  <c r="J13" i="11" s="1"/>
  <c r="J64" i="22"/>
  <c r="AI16" i="10"/>
  <c r="AH16" i="10"/>
  <c r="D64" i="22"/>
  <c r="J10" i="11" l="1"/>
  <c r="H15" i="11" s="1"/>
  <c r="J84" i="22"/>
  <c r="AI17" i="10"/>
  <c r="D84" i="22"/>
  <c r="AH17" i="10"/>
  <c r="E15" i="11" l="1"/>
  <c r="J12" i="11"/>
  <c r="J14" i="11" s="1"/>
  <c r="D15" i="11"/>
  <c r="M15" i="11"/>
  <c r="F15" i="11"/>
  <c r="J15" i="11"/>
  <c r="G15" i="11"/>
  <c r="K15" i="11"/>
  <c r="L15" i="11"/>
  <c r="I15" i="11"/>
  <c r="D85" i="22"/>
  <c r="AH18" i="10"/>
  <c r="J85" i="22"/>
  <c r="AI18" i="10"/>
  <c r="J86" i="22" l="1"/>
  <c r="AI19" i="10"/>
  <c r="D86" i="22"/>
  <c r="AH19" i="10"/>
  <c r="AH20" i="10" l="1"/>
  <c r="D87" i="22"/>
  <c r="J87" i="22"/>
  <c r="AI20" i="10"/>
  <c r="J88" i="22" l="1"/>
  <c r="AI21" i="10"/>
  <c r="D88" i="22"/>
  <c r="AH21" i="10"/>
  <c r="D89" i="22" l="1"/>
  <c r="AH22" i="10"/>
  <c r="AI22" i="10"/>
  <c r="J89" i="22"/>
  <c r="AI23" i="10" l="1"/>
  <c r="J90" i="22"/>
  <c r="D90" i="22"/>
  <c r="AH23" i="10"/>
  <c r="AH24" i="10" l="1"/>
  <c r="D91" i="22"/>
  <c r="AI24" i="10"/>
  <c r="J91" i="22"/>
  <c r="J92" i="22" l="1"/>
  <c r="AI25" i="10"/>
  <c r="AH25" i="10"/>
  <c r="D92" i="22"/>
  <c r="AH26" i="10" l="1"/>
  <c r="D93" i="22"/>
  <c r="AI26" i="10"/>
  <c r="J93" i="22"/>
  <c r="J94" i="22" l="1"/>
  <c r="AI27" i="10"/>
  <c r="AH27" i="10"/>
  <c r="D94" i="22"/>
  <c r="AI28" i="10" l="1"/>
  <c r="J96" i="22" s="1"/>
  <c r="J95" i="22"/>
  <c r="D95" i="22"/>
  <c r="AH28" i="10"/>
  <c r="D96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Cumplido-Marín, Laura</author>
  </authors>
  <commentList>
    <comment ref="D44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E4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F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G4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  <comment ref="H44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'Arable margins'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Cumplido-Marín, Laura</author>
  </authors>
  <commentList>
    <comment ref="F5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Considering €350 per 1000 seedlings from Dirk</t>
        </r>
      </text>
    </comment>
    <comment ref="F65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Conisdering planting density of 14000 as advised in https://www.energiepflanzen.com/product/sida-im-4x4cm-presstopf/</t>
        </r>
      </text>
    </comment>
    <comment ref="F80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G80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D81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E81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F81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G81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margins'</t>
        </r>
      </text>
    </comment>
    <comment ref="D82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E82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F82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'calculated in 'Energy fixed costs'</t>
        </r>
      </text>
    </comment>
    <comment ref="G82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'Energy fixed costs'</t>
        </r>
      </text>
    </comment>
    <comment ref="F83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G83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D84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84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4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4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5" authorId="0" shapeId="0" xr:uid="{00000000-0006-0000-0400-000013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5" authorId="0" shapeId="0" xr:uid="{00000000-0006-0000-0400-000014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fixed costs</t>
        </r>
      </text>
    </comment>
    <comment ref="F86" authorId="0" shapeId="0" xr:uid="{00000000-0006-0000-0400-000015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86" authorId="0" shapeId="0" xr:uid="{00000000-0006-0000-0400-000016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87" authorId="0" shapeId="0" xr:uid="{00000000-0006-0000-0400-000017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Miscanthus</t>
        </r>
      </text>
    </comment>
    <comment ref="G87" authorId="0" shapeId="0" xr:uid="{00000000-0006-0000-0400-000018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asummed same as miscanthus</t>
        </r>
      </text>
    </comment>
    <comment ref="D90" authorId="0" shapeId="0" xr:uid="{00000000-0006-0000-0400-000019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E90" authorId="0" shapeId="0" xr:uid="{00000000-0006-0000-0400-00001A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F90" authorId="0" shapeId="0" xr:uid="{00000000-0006-0000-0400-00001B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G90" authorId="0" shapeId="0" xr:uid="{00000000-0006-0000-0400-00001C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margins</t>
        </r>
      </text>
    </comment>
    <comment ref="D91" authorId="0" shapeId="0" xr:uid="{00000000-0006-0000-0400-00001D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91" authorId="0" shapeId="0" xr:uid="{00000000-0006-0000-0400-00001E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91" authorId="0" shapeId="0" xr:uid="{00000000-0006-0000-0400-00001F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91" authorId="0" shapeId="0" xr:uid="{00000000-0006-0000-0400-000020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F92" authorId="0" shapeId="0" xr:uid="{00000000-0006-0000-0400-000021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G92" authorId="0" shapeId="0" xr:uid="{00000000-0006-0000-0400-000022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D94" authorId="0" shapeId="0" xr:uid="{00000000-0006-0000-0400-000023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"Energy fixed costs"</t>
        </r>
      </text>
    </comment>
    <comment ref="E94" authorId="0" shapeId="0" xr:uid="{00000000-0006-0000-0400-000024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Calculated in energy fixed costs</t>
        </r>
      </text>
    </comment>
    <comment ref="F95" authorId="0" shapeId="0" xr:uid="{00000000-0006-0000-0400-000025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Same as harvesting only of forage maize (ABC, 2019)</t>
        </r>
      </text>
    </comment>
    <comment ref="G97" authorId="0" shapeId="0" xr:uid="{00000000-0006-0000-0400-000026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forage maize</t>
        </r>
      </text>
    </comment>
    <comment ref="D98" authorId="0" shapeId="0" xr:uid="{00000000-0006-0000-0400-000027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P&amp;L Cook &amp; Partners</t>
        </r>
      </text>
    </comment>
    <comment ref="E98" authorId="0" shapeId="0" xr:uid="{00000000-0006-0000-0400-000028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SRC</t>
        </r>
      </text>
    </comment>
    <comment ref="F98" authorId="0" shapeId="0" xr:uid="{00000000-0006-0000-0400-000029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SRC</t>
        </r>
      </text>
    </comment>
    <comment ref="G98" authorId="0" shapeId="0" xr:uid="{00000000-0006-0000-0400-00002A000000}">
      <text>
        <r>
          <rPr>
            <b/>
            <sz val="9"/>
            <color indexed="81"/>
            <rFont val="Tahoma"/>
            <family val="2"/>
          </rPr>
          <t>Cumplido-Marín, Laura:</t>
        </r>
        <r>
          <rPr>
            <sz val="9"/>
            <color indexed="81"/>
            <rFont val="Tahoma"/>
            <family val="2"/>
          </rPr>
          <t xml:space="preserve">
Assumed same as SRC</t>
        </r>
      </text>
    </comment>
  </commentList>
</comments>
</file>

<file path=xl/sharedStrings.xml><?xml version="1.0" encoding="utf-8"?>
<sst xmlns="http://schemas.openxmlformats.org/spreadsheetml/2006/main" count="8216" uniqueCount="696">
  <si>
    <t>Straw variable costs</t>
  </si>
  <si>
    <t>Production</t>
  </si>
  <si>
    <t>Main crop</t>
  </si>
  <si>
    <t>Straw</t>
  </si>
  <si>
    <t>Wheat</t>
  </si>
  <si>
    <t>OSR</t>
  </si>
  <si>
    <t>Prices</t>
  </si>
  <si>
    <t>Straw price</t>
  </si>
  <si>
    <t>Output</t>
  </si>
  <si>
    <t>Total</t>
  </si>
  <si>
    <t>Variable costs</t>
  </si>
  <si>
    <t xml:space="preserve">Sub-total </t>
  </si>
  <si>
    <t>Nitrogen price</t>
  </si>
  <si>
    <t>Nitrogen rate</t>
  </si>
  <si>
    <t>Phosphorus price</t>
  </si>
  <si>
    <t>Phosphorus rate</t>
  </si>
  <si>
    <t>Pottassium price</t>
  </si>
  <si>
    <t>Pottassium rate</t>
  </si>
  <si>
    <t>Straw units</t>
  </si>
  <si>
    <t>Fixed costs</t>
  </si>
  <si>
    <t>Main crop operations</t>
  </si>
  <si>
    <t>Straw operations costs</t>
  </si>
  <si>
    <t>Labour cost</t>
  </si>
  <si>
    <t>Labour input (grain)</t>
  </si>
  <si>
    <t>(hr)</t>
  </si>
  <si>
    <t>Labour input (straw)</t>
  </si>
  <si>
    <t>Net margins</t>
  </si>
  <si>
    <t>Breakdown of fixed costs (machinary and labour) for different farming operations (included above)</t>
  </si>
  <si>
    <t>Maize</t>
  </si>
  <si>
    <t>Cultivation</t>
  </si>
  <si>
    <t>Fertiliser</t>
  </si>
  <si>
    <t>Drilling</t>
  </si>
  <si>
    <t>Spraying</t>
  </si>
  <si>
    <t>Total fixed costs</t>
  </si>
  <si>
    <t>Total labour cost</t>
  </si>
  <si>
    <t>Total labour input</t>
  </si>
  <si>
    <t>Fixed cost w/out labour</t>
  </si>
  <si>
    <t>Labour rate</t>
  </si>
  <si>
    <t>Cultivations</t>
  </si>
  <si>
    <t>Multiplier</t>
  </si>
  <si>
    <t>Total cost</t>
  </si>
  <si>
    <t>Hours</t>
  </si>
  <si>
    <t>Cost</t>
  </si>
  <si>
    <t>Stubble raking</t>
  </si>
  <si>
    <t>Total cultivation costs</t>
  </si>
  <si>
    <t>Extra for variable rate application</t>
  </si>
  <si>
    <t>Liquid fertiliser</t>
  </si>
  <si>
    <t>Total fertiliser application costs</t>
  </si>
  <si>
    <t>Grass seed (broadcast)</t>
  </si>
  <si>
    <t>Maize precision drilling</t>
  </si>
  <si>
    <t>Sugar beet drilling</t>
  </si>
  <si>
    <t>De-stoning potato land</t>
  </si>
  <si>
    <t>Potato ridging</t>
  </si>
  <si>
    <t>Potato planting</t>
  </si>
  <si>
    <t>Total drilling costs</t>
  </si>
  <si>
    <t>Extra if less than 50 acres (20ha)</t>
  </si>
  <si>
    <t>Spraying (120-150 l/ha 36 boom)</t>
  </si>
  <si>
    <t>Spraying (based on 200 l/ha &amp; 24m boom)</t>
  </si>
  <si>
    <t>Weed wiping</t>
  </si>
  <si>
    <t>Total spraying costs</t>
  </si>
  <si>
    <t>Forage hasvesting only- first cut</t>
  </si>
  <si>
    <t>Combining cereals</t>
  </si>
  <si>
    <t>Crop drying (inc. intake and pre-cleaning) (per tonne)</t>
  </si>
  <si>
    <t>Grass topping</t>
  </si>
  <si>
    <t>Grass mowing</t>
  </si>
  <si>
    <t>Tedding</t>
  </si>
  <si>
    <t>Raking</t>
  </si>
  <si>
    <t>Grain storage (per tonne per month)</t>
  </si>
  <si>
    <t>Handling into store (per tonne)</t>
  </si>
  <si>
    <t>Handling out of store (per tonne)</t>
  </si>
  <si>
    <t>Schedule</t>
  </si>
  <si>
    <t>Start year</t>
  </si>
  <si>
    <t>Events</t>
  </si>
  <si>
    <t>Average annual summary</t>
  </si>
  <si>
    <t>Yield per harvest</t>
  </si>
  <si>
    <t>Woodchips</t>
  </si>
  <si>
    <t xml:space="preserve">Woodchips sub-total </t>
  </si>
  <si>
    <t>Planting subsidy</t>
  </si>
  <si>
    <t>Product output</t>
  </si>
  <si>
    <t>Establishment costs</t>
  </si>
  <si>
    <t>Cuttings/seedlings</t>
  </si>
  <si>
    <t>Planting Material sub-total</t>
  </si>
  <si>
    <t>Planting</t>
  </si>
  <si>
    <t>Cuttback at the end of the first year</t>
  </si>
  <si>
    <t>Total establishment costs</t>
  </si>
  <si>
    <t>Recurring costs</t>
  </si>
  <si>
    <t>Total recurring costs</t>
  </si>
  <si>
    <t>Total costs</t>
  </si>
  <si>
    <r>
      <t>(odt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</si>
  <si>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(t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</si>
  <si>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r>
      <t>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</si>
  <si>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SRC</t>
  </si>
  <si>
    <t>Miscanthus</t>
  </si>
  <si>
    <t>Sida</t>
  </si>
  <si>
    <t>Silphie</t>
  </si>
  <si>
    <t>Later barn work</t>
  </si>
  <si>
    <t>Drying</t>
  </si>
  <si>
    <t>Contract rate</t>
  </si>
  <si>
    <t>Farmer rate</t>
  </si>
  <si>
    <t>Deep ploughing (&gt; 30cm)</t>
  </si>
  <si>
    <t>Sub-soiling/Flat lifting</t>
  </si>
  <si>
    <t>Mole-ploughing - single leg</t>
  </si>
  <si>
    <t>Spring-time harrowing</t>
  </si>
  <si>
    <t>Pressing</t>
  </si>
  <si>
    <t>Rolling - flat (grassland)</t>
  </si>
  <si>
    <t>Cultivation (Rexus Twin / Culti-press etc)</t>
  </si>
  <si>
    <t>One-pass tillage train (Solo/Discordon etc)</t>
  </si>
  <si>
    <t>Rape drilling with flatlift/subsoiler</t>
  </si>
  <si>
    <t xml:space="preserve">Cereal drilling - conventional </t>
  </si>
  <si>
    <t>Cereal drilling - Combi-drilling</t>
  </si>
  <si>
    <t>Cereal drilling - Cultivator drill (Vaderstad)</t>
  </si>
  <si>
    <t>Direct drilling</t>
  </si>
  <si>
    <t>Carrot/parsnip/onion precision drilling</t>
  </si>
  <si>
    <t>Grass seeding with harrow (e.g. Opico)</t>
  </si>
  <si>
    <t>Cross drilling grass</t>
  </si>
  <si>
    <t>-</t>
  </si>
  <si>
    <t>Chain harrowing</t>
  </si>
  <si>
    <t>Maize drilling under plastic</t>
  </si>
  <si>
    <t>Ploughing - light land</t>
  </si>
  <si>
    <t>Ploughing - heavy land</t>
  </si>
  <si>
    <t>Ploughing - with furrow press</t>
  </si>
  <si>
    <t>Rotavating - grass</t>
  </si>
  <si>
    <t>Rotavating - ploughed land</t>
  </si>
  <si>
    <t>Discing - Deep</t>
  </si>
  <si>
    <t>Discing- Shallow</t>
  </si>
  <si>
    <t>Power harrowing - deep/on ploughing</t>
  </si>
  <si>
    <t>Power harrowing - shallow/seedbed prep</t>
  </si>
  <si>
    <t>Rolling - ring (seedbeds)</t>
  </si>
  <si>
    <t>Lime spreading (per tonne)</t>
  </si>
  <si>
    <t>Irrigation</t>
  </si>
  <si>
    <t>Irrigating (excl. Water costs) per inch</t>
  </si>
  <si>
    <t>Total Irrigation costs</t>
  </si>
  <si>
    <t>ATV spraying</t>
  </si>
  <si>
    <t>Slug-pelleting</t>
  </si>
  <si>
    <t>Avadex spraying</t>
  </si>
  <si>
    <t>Combining cereals - Extra for straw chopper on combine</t>
  </si>
  <si>
    <t>Combining cereals - Extra for seeding (Autocast)</t>
  </si>
  <si>
    <t>Combining cereals - Extra for yield mapping</t>
  </si>
  <si>
    <t>OSR harvesting - out of window</t>
  </si>
  <si>
    <t>OSR harvesting - direct combining</t>
  </si>
  <si>
    <t>Combining peas/beans</t>
  </si>
  <si>
    <t>Combining grain maize</t>
  </si>
  <si>
    <t>Swathing OSR</t>
  </si>
  <si>
    <t>Grain carting to barn (per hour)</t>
  </si>
  <si>
    <t>Fertilising</t>
  </si>
  <si>
    <t>Forage hasvesting only - other cuts</t>
  </si>
  <si>
    <t>Forage harvesting, cart (3 trailers) and clamping (1st cut)</t>
  </si>
  <si>
    <t>Whole crop forage harvesting, cart (3 trailers) and clamping</t>
  </si>
  <si>
    <t>Complete service - mow, rake, forage harvest, cart (3 trailers) and clamp</t>
  </si>
  <si>
    <t>Extra forage trailer (per hour)</t>
  </si>
  <si>
    <t>Flail topping margings (per hour)</t>
  </si>
  <si>
    <t>Forage box (per hour)</t>
  </si>
  <si>
    <t>Baling</t>
  </si>
  <si>
    <t>Baling (per bale) - 'small'</t>
  </si>
  <si>
    <t>Baling (per bale) - 80cm x 90cm</t>
  </si>
  <si>
    <t>Baling (per bale) - 120cm x 70cm</t>
  </si>
  <si>
    <t>Baling (per bale) - 120cm x 90cm</t>
  </si>
  <si>
    <t>Baling (per bale) - 120cm x 130cm</t>
  </si>
  <si>
    <t>Baling (per bale) - Round 120cm</t>
  </si>
  <si>
    <t>Baling (per bale) - Round 150cm</t>
  </si>
  <si>
    <t>Bale wrapping - Round 120cm (6 layers)</t>
  </si>
  <si>
    <t>Bale wrapping - Round 120cm (with 4 layers)</t>
  </si>
  <si>
    <t>Bale wrapping - Round 120cm (wthout plastic)</t>
  </si>
  <si>
    <t>Bale wrapping - Square 120cm x 70cm (6 layers)</t>
  </si>
  <si>
    <t>Bale wrapping - Square 120cm x 70cm (4 layers)</t>
  </si>
  <si>
    <t>Bale wrapping - Square 120cm x 70cm (without plastic)</t>
  </si>
  <si>
    <t>Bale chaser (per hour)</t>
  </si>
  <si>
    <t>Total baling costs</t>
  </si>
  <si>
    <t>Potato harvesting - harvesting only</t>
  </si>
  <si>
    <t>Potato harvesting - harvesting and carting</t>
  </si>
  <si>
    <t>Root crops irrigation (25 mm application / ha)</t>
  </si>
  <si>
    <t>FYM spreading - tractor and rear discharge (per hour)</t>
  </si>
  <si>
    <t>FYM spreading - tractor and side discharge spreader (per hour)</t>
  </si>
  <si>
    <t>Slurry spreader- tanker (per hour)</t>
  </si>
  <si>
    <t>Slurry spreader- umbilical (per hour)</t>
  </si>
  <si>
    <t>Slurry spreader- extra pump (per hour)</t>
  </si>
  <si>
    <t>Slurry inyection (per hour)</t>
  </si>
  <si>
    <t>Harvesting</t>
  </si>
  <si>
    <t>Total harvesting costs</t>
  </si>
  <si>
    <t>Forage maize harvesting incl carting (3 trailers) and clamping</t>
  </si>
  <si>
    <t>Grass and Forage management</t>
  </si>
  <si>
    <t>Total grass and forage management costs</t>
  </si>
  <si>
    <t>Drilling/planting</t>
  </si>
  <si>
    <t>General maintenance</t>
  </si>
  <si>
    <t>Quad bike (including man)</t>
  </si>
  <si>
    <t>Hedge cutting - flail (per hour)</t>
  </si>
  <si>
    <t>Hedge cutting - saw-blade (per hour)</t>
  </si>
  <si>
    <t>Hedge laying (per metre)</t>
  </si>
  <si>
    <t>Fence erection (with materials) - post and 4 Barb (per metre)</t>
  </si>
  <si>
    <t>Fence erection (with materials) - post, stock  net, and 2 Barb (per metre)</t>
  </si>
  <si>
    <t>Fence erection (with materials) - post and 3 rails (per metre)</t>
  </si>
  <si>
    <t>Tractor + Post Knocker + Man (per hour)</t>
  </si>
  <si>
    <t>Ditching using 360 deg digger (per hour)</t>
  </si>
  <si>
    <t>Tractor + Trailer + Man (per hour)</t>
  </si>
  <si>
    <t>100 - 150 hp Tractor + man (per hour)</t>
  </si>
  <si>
    <t>150 - 220 hp Tractor + man (per hour)</t>
  </si>
  <si>
    <t>220 - 300 hp Tractor + man (per hour)</t>
  </si>
  <si>
    <t>300 hp Tractor + man (per hour)</t>
  </si>
  <si>
    <t>Forklift/Telehandler + man (per hour)</t>
  </si>
  <si>
    <t>Total general maintenance costs</t>
  </si>
  <si>
    <t>Total crop drying costs</t>
  </si>
  <si>
    <t>Fertliser distribution</t>
  </si>
  <si>
    <t>Cart</t>
  </si>
  <si>
    <t>Barn work</t>
  </si>
  <si>
    <t>Grass and Forage mngmnt</t>
  </si>
  <si>
    <t>General mntnance</t>
  </si>
  <si>
    <t>Main crop fixed costs</t>
  </si>
  <si>
    <t>Straw fixed costs</t>
  </si>
  <si>
    <t>Redman (2018)</t>
  </si>
  <si>
    <t>ABC (2018)</t>
  </si>
  <si>
    <t>Labour input grain</t>
  </si>
  <si>
    <t>Labour input straw</t>
  </si>
  <si>
    <t>h</t>
  </si>
  <si>
    <t>General</t>
  </si>
  <si>
    <t>Basic payment scheme</t>
  </si>
  <si>
    <t>Land rent</t>
  </si>
  <si>
    <t>Other overheads</t>
  </si>
  <si>
    <t>Grain/whole plant</t>
  </si>
  <si>
    <t>Commodity output prices (at the "farm gate")</t>
  </si>
  <si>
    <t>Grain</t>
  </si>
  <si>
    <t>Input prices: paid by farmers</t>
  </si>
  <si>
    <t>labour wage rate:</t>
  </si>
  <si>
    <t>Agrochemical prices</t>
  </si>
  <si>
    <t>N</t>
  </si>
  <si>
    <t>Sprays (pesticides, herbicides, etc)</t>
  </si>
  <si>
    <t>Straw variable costs (baling string)</t>
  </si>
  <si>
    <t>Physical inputs by crop: Quantities/ha</t>
  </si>
  <si>
    <t>Coming from Arable fixed costs</t>
  </si>
  <si>
    <t>Calculated/assumed value from Redman (2018)</t>
  </si>
  <si>
    <t>Fixed costs (machine costs)</t>
  </si>
  <si>
    <t>Sub-Total</t>
  </si>
  <si>
    <t>Fixed costs (labour)</t>
  </si>
  <si>
    <t>Main crop labour</t>
  </si>
  <si>
    <t>Summary of variable costs</t>
  </si>
  <si>
    <t>Staw labour</t>
  </si>
  <si>
    <t>Other fixed costs</t>
  </si>
  <si>
    <t>Summary of fixed costs</t>
  </si>
  <si>
    <t>way: 1=contract cost, 2=farmer cost</t>
  </si>
  <si>
    <t>way</t>
  </si>
  <si>
    <t>Drying (per tonne)</t>
  </si>
  <si>
    <t>Rotations and harvests</t>
  </si>
  <si>
    <t xml:space="preserve">Sida </t>
  </si>
  <si>
    <t>Physical production</t>
  </si>
  <si>
    <t>Input prices</t>
  </si>
  <si>
    <t>Planting material</t>
  </si>
  <si>
    <t>Output prices (at the "farm gate")</t>
  </si>
  <si>
    <t>Biomass</t>
  </si>
  <si>
    <t>Field operations: costs (labour and machinery):</t>
  </si>
  <si>
    <t>Establishment operations:</t>
  </si>
  <si>
    <t>Ground preparation</t>
  </si>
  <si>
    <t>Mechanical weeding</t>
  </si>
  <si>
    <t>Recurring operations:</t>
  </si>
  <si>
    <t>Decommissioning</t>
  </si>
  <si>
    <t>(years)</t>
  </si>
  <si>
    <t>Note:  Biomass is woodchips for SRC and Sida, straw for miscanthus, silage por maize and Silphie</t>
  </si>
  <si>
    <t>Forage maize</t>
  </si>
  <si>
    <t>Note:  Biomass is woodchips for SRC and Sida, straw for miscanthus, silage for maize and Silphie</t>
  </si>
  <si>
    <t>Note:  ODT = oven dried tonne</t>
  </si>
  <si>
    <t>End year</t>
  </si>
  <si>
    <t>Frequency</t>
  </si>
  <si>
    <t>16 years summary of prices and costs</t>
  </si>
  <si>
    <t>Decommissioning costs</t>
  </si>
  <si>
    <t>Total decommissioning costs</t>
  </si>
  <si>
    <t>Nitrogen sub-total</t>
  </si>
  <si>
    <t>Phosphorus sub-total</t>
  </si>
  <si>
    <t>Potassium sub-total</t>
  </si>
  <si>
    <t>Crop revenue</t>
  </si>
  <si>
    <t>Net margins (without subsidies)</t>
  </si>
  <si>
    <t>Net margins (with subsidies)</t>
  </si>
  <si>
    <t>Coming from Energy basic inputs</t>
  </si>
  <si>
    <t xml:space="preserve">Discounted </t>
  </si>
  <si>
    <t>Discounted Cumulative</t>
  </si>
  <si>
    <t>Years</t>
  </si>
  <si>
    <t>Crop</t>
  </si>
  <si>
    <t>Total Variable Cost</t>
  </si>
  <si>
    <t>Total Fixed Costs</t>
  </si>
  <si>
    <t>Total Costs</t>
  </si>
  <si>
    <t>Discounted Crop Revenue</t>
  </si>
  <si>
    <t>Discounted Total Cost</t>
  </si>
  <si>
    <t>Discounted net margin with sigle farm payment</t>
  </si>
  <si>
    <t>Discounted Cumulative Crop Revenue</t>
  </si>
  <si>
    <t>Discounted Cumulative Total Cost</t>
  </si>
  <si>
    <t>Discounted Cumulative net margin with sigle farm payment</t>
  </si>
  <si>
    <t>Total Variable Costs</t>
  </si>
  <si>
    <t>Discount rate</t>
  </si>
  <si>
    <t>Rotation</t>
  </si>
  <si>
    <t>Year</t>
  </si>
  <si>
    <t>Total Establishment Costs</t>
  </si>
  <si>
    <t>Total Recurring Costs</t>
  </si>
  <si>
    <t xml:space="preserve">Yield               </t>
  </si>
  <si>
    <t xml:space="preserve">Price               </t>
  </si>
  <si>
    <t>Total Decomm. Costs</t>
  </si>
  <si>
    <t xml:space="preserve">Discounted Total Costs </t>
  </si>
  <si>
    <t>Discounted Total Revenue</t>
  </si>
  <si>
    <t>Discounted Total Costs</t>
  </si>
  <si>
    <t>Discounted Cumulative Total Costs</t>
  </si>
  <si>
    <t>discount rate</t>
  </si>
  <si>
    <t>Relative changes (%) in inputs parameters</t>
  </si>
  <si>
    <t>Range</t>
  </si>
  <si>
    <t>Rank</t>
  </si>
  <si>
    <t>Yield</t>
  </si>
  <si>
    <t>Costs</t>
  </si>
  <si>
    <t>%</t>
  </si>
  <si>
    <t>Discounted</t>
  </si>
  <si>
    <t>Price +50%</t>
  </si>
  <si>
    <t>Sida 0%</t>
  </si>
  <si>
    <t>Sida +50%</t>
  </si>
  <si>
    <t>Sida -50%</t>
  </si>
  <si>
    <t>Sida +100%</t>
  </si>
  <si>
    <t>Sida -100%</t>
  </si>
  <si>
    <t>Silphie 0%</t>
  </si>
  <si>
    <t>Silphie +50%</t>
  </si>
  <si>
    <t>Silphie -50%</t>
  </si>
  <si>
    <t>Silphie +100%</t>
  </si>
  <si>
    <t>Silphie -100%</t>
  </si>
  <si>
    <t>Price -50%</t>
  </si>
  <si>
    <t>Price +100%</t>
  </si>
  <si>
    <t>Price -100%</t>
  </si>
  <si>
    <t>Yield +50%</t>
  </si>
  <si>
    <t>Yield -50%</t>
  </si>
  <si>
    <t>Yield +100%</t>
  </si>
  <si>
    <t>Yield -100%</t>
  </si>
  <si>
    <t>Costs +50%</t>
  </si>
  <si>
    <t>Costs -50%</t>
  </si>
  <si>
    <t>Costs +100%</t>
  </si>
  <si>
    <t>Costs -100%</t>
  </si>
  <si>
    <t>PRICE</t>
  </si>
  <si>
    <t>YIELD</t>
  </si>
  <si>
    <t>COSTS</t>
  </si>
  <si>
    <t>Price</t>
  </si>
  <si>
    <t>Variable Costs</t>
  </si>
  <si>
    <t>Fixed Costs</t>
  </si>
  <si>
    <r>
      <t>(t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</t>
    </r>
  </si>
  <si>
    <r>
      <t>t ha</t>
    </r>
    <r>
      <rPr>
        <vertAlign val="superscript"/>
        <sz val="8"/>
        <rFont val="Arial"/>
        <family val="2"/>
      </rPr>
      <t>-1</t>
    </r>
  </si>
  <si>
    <r>
      <t>app. ha</t>
    </r>
    <r>
      <rPr>
        <vertAlign val="superscript"/>
        <sz val="8"/>
        <rFont val="Arial"/>
        <family val="2"/>
      </rPr>
      <t>-1</t>
    </r>
  </si>
  <si>
    <t>ARABLE</t>
  </si>
  <si>
    <t>ENERGY</t>
  </si>
  <si>
    <t>Coming from Arable margins</t>
  </si>
  <si>
    <t>Coming from Energy margins</t>
  </si>
  <si>
    <t>SENSITIVITY ANALYSIS: PRICE</t>
  </si>
  <si>
    <t>SENSITIVITY ANALYSIS: YIELD</t>
  </si>
  <si>
    <t>SENSITIVITY ANALYSIS: COSTS</t>
  </si>
  <si>
    <t>SENSITIVITY ANALYSIS: DISC. RATE</t>
  </si>
  <si>
    <t>Arable system with grants</t>
  </si>
  <si>
    <t>Arable system without grants</t>
  </si>
  <si>
    <t xml:space="preserve">Net present value at 0% discount rate    </t>
  </si>
  <si>
    <r>
      <t>NPV16</t>
    </r>
    <r>
      <rPr>
        <vertAlign val="subscript"/>
        <sz val="8"/>
        <color theme="1"/>
        <rFont val="Arial"/>
        <family val="2"/>
      </rPr>
      <t xml:space="preserve"> years</t>
    </r>
    <r>
      <rPr>
        <sz val="8"/>
        <color theme="1"/>
        <rFont val="Arial"/>
        <family val="2"/>
      </rPr>
      <t xml:space="preserve"> </t>
    </r>
  </si>
  <si>
    <r>
      <t>NPV</t>
    </r>
    <r>
      <rPr>
        <vertAlign val="subscript"/>
        <sz val="8"/>
        <color theme="1"/>
        <rFont val="Arial"/>
        <family val="2"/>
      </rPr>
      <t>infinite</t>
    </r>
    <r>
      <rPr>
        <sz val="8"/>
        <color theme="1"/>
        <rFont val="Arial"/>
        <family val="2"/>
      </rPr>
      <t xml:space="preserve"> </t>
    </r>
  </si>
  <si>
    <t xml:space="preserve">Equivalent Annual Value </t>
  </si>
  <si>
    <t>Discount Rate</t>
  </si>
  <si>
    <t>Output cells are coloured in green</t>
  </si>
  <si>
    <t>INSTRUCTIONS FOR USE</t>
  </si>
  <si>
    <t>Default information was obtained from Redman (2018), with some exceptions:</t>
  </si>
  <si>
    <t xml:space="preserve">This excel file has been developed to perform a financial analysis of arable and energy crops in the UK. </t>
  </si>
  <si>
    <t>INTRODUCTION / EXECUTIVE SUMMARY</t>
  </si>
  <si>
    <t>Originial model developed by Dr Anil Graves, modified by Laura Cumplido-Marin</t>
  </si>
  <si>
    <t xml:space="preserve">SidaTim </t>
  </si>
  <si>
    <t>Coming from Inputs</t>
  </si>
  <si>
    <t>Price of cart and later barn work, same as tractor+trailer+man</t>
  </si>
  <si>
    <t>42.05, 35.63</t>
  </si>
  <si>
    <t>Arable Inputs</t>
  </si>
  <si>
    <t>Arable Fixed Costs</t>
  </si>
  <si>
    <t>Energy Inputs</t>
  </si>
  <si>
    <t>Price of straw from OSR</t>
  </si>
  <si>
    <t>Year of first harvest</t>
  </si>
  <si>
    <t>Interval between harvest</t>
  </si>
  <si>
    <t>Data calculated from literature review sources</t>
  </si>
  <si>
    <t>SidaTim project</t>
  </si>
  <si>
    <t>The following assumptions were made</t>
  </si>
  <si>
    <t>AHDB (2017)</t>
  </si>
  <si>
    <t>Coming from Arable Inputs</t>
  </si>
  <si>
    <t>Coming from Energy Inputs</t>
  </si>
  <si>
    <t>Title of model:</t>
  </si>
  <si>
    <t>Version number:</t>
  </si>
  <si>
    <r>
      <t xml:space="preserve"> t ha</t>
    </r>
    <r>
      <rPr>
        <vertAlign val="superscript"/>
        <sz val="8"/>
        <color theme="1"/>
        <rFont val="Arial"/>
        <family val="2"/>
      </rPr>
      <t>-1</t>
    </r>
  </si>
  <si>
    <r>
      <t>₤ t</t>
    </r>
    <r>
      <rPr>
        <vertAlign val="superscript"/>
        <sz val="8"/>
        <color theme="1"/>
        <rFont val="Arial"/>
        <family val="2"/>
      </rPr>
      <t>-1</t>
    </r>
  </si>
  <si>
    <r>
      <t>kg ha</t>
    </r>
    <r>
      <rPr>
        <vertAlign val="superscript"/>
        <sz val="8"/>
        <color theme="1"/>
        <rFont val="Arial"/>
        <family val="2"/>
      </rPr>
      <t>-1</t>
    </r>
  </si>
  <si>
    <r>
      <t>₤ ha</t>
    </r>
    <r>
      <rPr>
        <vertAlign val="superscript"/>
        <sz val="8"/>
        <color theme="1"/>
        <rFont val="Arial"/>
        <family val="2"/>
      </rPr>
      <t>-1</t>
    </r>
  </si>
  <si>
    <t>The model requires all cells coloured in cream on the "Arable Inputs" and "Energy Inputs" sheets to be completed by the user</t>
  </si>
  <si>
    <t>All other cells are locked and cannot be modified</t>
  </si>
  <si>
    <t>Establishment Costs</t>
  </si>
  <si>
    <r>
      <t>(t ha</t>
    </r>
    <r>
      <rPr>
        <vertAlign val="superscript"/>
        <sz val="8"/>
        <rFont val="Arial"/>
        <family val="2"/>
      </rPr>
      <t>-1)</t>
    </r>
  </si>
  <si>
    <t>Recurring Costs</t>
  </si>
  <si>
    <t>Decommissioning Costs</t>
  </si>
  <si>
    <t>Price 0</t>
  </si>
  <si>
    <t>Price +50</t>
  </si>
  <si>
    <t>Price -50</t>
  </si>
  <si>
    <t>Price +100</t>
  </si>
  <si>
    <t>Price -100</t>
  </si>
  <si>
    <t>Rotation 0%</t>
  </si>
  <si>
    <t>Rotation +50%</t>
  </si>
  <si>
    <t>Rotation -50%</t>
  </si>
  <si>
    <t>Rotation +100%</t>
  </si>
  <si>
    <t>Rotation -100%</t>
  </si>
  <si>
    <t>Exchnage rate</t>
  </si>
  <si>
    <t>% change</t>
  </si>
  <si>
    <t>Discount Rate +50%</t>
  </si>
  <si>
    <t>Discount Rate -50%</t>
  </si>
  <si>
    <t>Discount Rate +100%</t>
  </si>
  <si>
    <t>Discount Rate -100%</t>
  </si>
  <si>
    <t>Yield +50</t>
  </si>
  <si>
    <t>Yield -50</t>
  </si>
  <si>
    <t>Yield +100</t>
  </si>
  <si>
    <t>Yield -100</t>
  </si>
  <si>
    <t>Costs 0</t>
  </si>
  <si>
    <t>Costs +50</t>
  </si>
  <si>
    <t>Costs -50</t>
  </si>
  <si>
    <t>Costs +100</t>
  </si>
  <si>
    <t>Yield 0</t>
  </si>
  <si>
    <t>Dis. rate:</t>
  </si>
  <si>
    <t>Dis. rate 0</t>
  </si>
  <si>
    <t>Dis. rate +50</t>
  </si>
  <si>
    <t>Dis. rate -50</t>
  </si>
  <si>
    <t>Dis. rate +100</t>
  </si>
  <si>
    <t>Dis. rate -100</t>
  </si>
  <si>
    <t>Dis. rate -100%</t>
  </si>
  <si>
    <t>Dis. rate +100%</t>
  </si>
  <si>
    <t>Dis. rate -50%</t>
  </si>
  <si>
    <t>Dis. rate +50%</t>
  </si>
  <si>
    <t>Costs-50%</t>
  </si>
  <si>
    <t>SRC 0%</t>
  </si>
  <si>
    <t>SRC +50%</t>
  </si>
  <si>
    <t>SRC -50%</t>
  </si>
  <si>
    <t>SRC +100%</t>
  </si>
  <si>
    <t>SRC -100%</t>
  </si>
  <si>
    <t>Miscanthus 0%</t>
  </si>
  <si>
    <t>Miscanthus +50%</t>
  </si>
  <si>
    <t>Miscanthus -50%</t>
  </si>
  <si>
    <t>Miscanthus +100%</t>
  </si>
  <si>
    <t>Miscanthus -100%</t>
  </si>
  <si>
    <t>DISCOUNT RATE</t>
  </si>
  <si>
    <t>Exchange rate</t>
  </si>
  <si>
    <t>DEFRA (2019)</t>
  </si>
  <si>
    <t>Costs -100</t>
  </si>
  <si>
    <t>Energy system without grants</t>
  </si>
  <si>
    <t>Energy system with grants</t>
  </si>
  <si>
    <t>Silphium</t>
  </si>
  <si>
    <t>Crop revenue without grants</t>
  </si>
  <si>
    <t>Crop revenue with grants</t>
  </si>
  <si>
    <t>Net margin without grants</t>
  </si>
  <si>
    <t>Net margin with grants</t>
  </si>
  <si>
    <t>Cumulative net margin without grants</t>
  </si>
  <si>
    <t>Cumulative net margin with grants</t>
  </si>
  <si>
    <t>Discounted net margin without grants</t>
  </si>
  <si>
    <t>Discounted net margin with grants</t>
  </si>
  <si>
    <t>Discounted Cumulative net margin without grants</t>
  </si>
  <si>
    <t>Discounted Cumulative net margin with grants</t>
  </si>
  <si>
    <r>
      <t>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</si>
  <si>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</si>
  <si>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r>
      <t>single superphosphate 20%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</si>
  <si>
    <r>
      <t>muriate of potash 60%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</si>
  <si>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t>Fertilisers cost</t>
  </si>
  <si>
    <t>Spray cost</t>
  </si>
  <si>
    <t>Seed cost</t>
  </si>
  <si>
    <t>Weeding</t>
  </si>
  <si>
    <t>Planting material cost</t>
  </si>
  <si>
    <t>Main product</t>
  </si>
  <si>
    <t>Plastic</t>
  </si>
  <si>
    <t>Cutback 1st year</t>
  </si>
  <si>
    <t xml:space="preserve">Mowing and baling </t>
  </si>
  <si>
    <t>Harvesting, carting and clamping</t>
  </si>
  <si>
    <t>Fertiliser application</t>
  </si>
  <si>
    <t>Mowing and baling</t>
  </si>
  <si>
    <t>Harvesting, carting, and clamping</t>
  </si>
  <si>
    <t>Hadling and storage</t>
  </si>
  <si>
    <t>Material costs:</t>
  </si>
  <si>
    <t>Fertilising (after harvest)</t>
  </si>
  <si>
    <t>Fertilising (establishment)</t>
  </si>
  <si>
    <t>Ground prep</t>
  </si>
  <si>
    <t>Cutback</t>
  </si>
  <si>
    <t>Cut back</t>
  </si>
  <si>
    <t>Cut back first year</t>
  </si>
  <si>
    <t>Mechical weeding</t>
  </si>
  <si>
    <t>Total Fixed costs (machinary)</t>
  </si>
  <si>
    <t>Total Establishment costs (machinery)</t>
  </si>
  <si>
    <t>RECURRING OPERATIONS</t>
  </si>
  <si>
    <t>ESTABLISHMENT OPERATIONS</t>
  </si>
  <si>
    <t>Harvesting SRC</t>
  </si>
  <si>
    <t>Harvesting and clamping</t>
  </si>
  <si>
    <t>Labour input (establishment)</t>
  </si>
  <si>
    <t>Recurring costs (machinary)</t>
  </si>
  <si>
    <t>Labour input (recurring)</t>
  </si>
  <si>
    <r>
      <t>₤</t>
    </r>
    <r>
      <rPr>
        <sz val="8"/>
        <color theme="1"/>
        <rFont val="Arial"/>
        <family val="2"/>
      </rPr>
      <t xml:space="preserve"> ha</t>
    </r>
    <r>
      <rPr>
        <vertAlign val="superscript"/>
        <sz val="8"/>
        <color theme="1"/>
        <rFont val="Arial"/>
        <family val="2"/>
      </rPr>
      <t>-1</t>
    </r>
  </si>
  <si>
    <t>Cost of ground preparation Sida and Silphium: same as Miscanthus</t>
  </si>
  <si>
    <t>Energiepflanzen.com</t>
  </si>
  <si>
    <t>Energy inputs</t>
  </si>
  <si>
    <t>Planting density Sida</t>
  </si>
  <si>
    <r>
      <t>seedlings ha</t>
    </r>
    <r>
      <rPr>
        <vertAlign val="superscript"/>
        <sz val="8"/>
        <color theme="1"/>
        <rFont val="Arial"/>
        <family val="2"/>
      </rPr>
      <t>-1</t>
    </r>
  </si>
  <si>
    <t>Cost of planting Sida: calculated using cost of potato planting</t>
  </si>
  <si>
    <t>Cost of sowing Silphium: assumed same as forage maize</t>
  </si>
  <si>
    <t>Cost of cutback first year SRC</t>
  </si>
  <si>
    <t>Cost of cutback first year Sida and Silphium: assumed same as Miscanthus</t>
  </si>
  <si>
    <t xml:space="preserve">Cost of mechanical weeding Sida and Silphium: calculated using cost of tractor + post knocker + man (per hour) </t>
  </si>
  <si>
    <t>Costs of mowing and baling Miscanthus</t>
  </si>
  <si>
    <t>100, 92, 84</t>
  </si>
  <si>
    <r>
      <t>Fertiliser needs of Sida (N,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  <r>
      <rPr>
        <sz val="8"/>
        <rFont val="Arial"/>
        <family val="2"/>
      </rPr>
      <t>,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O)</t>
    </r>
  </si>
  <si>
    <r>
      <t>Fertiliser needs of Silphium (N, P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  <r>
      <rPr>
        <vertAlign val="subscript"/>
        <sz val="8"/>
        <rFont val="Arial"/>
        <family val="2"/>
      </rPr>
      <t>5</t>
    </r>
    <r>
      <rPr>
        <sz val="8"/>
        <rFont val="Arial"/>
        <family val="2"/>
      </rPr>
      <t>, K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O)</t>
    </r>
  </si>
  <si>
    <t>120, 92, 90</t>
  </si>
  <si>
    <t>Cost of harvesting Sida: assumed same as harvesting only of forage maize</t>
  </si>
  <si>
    <t>Cost of harvesting Silphium: assumed sae as forage maize</t>
  </si>
  <si>
    <t>Seed price forage maize</t>
  </si>
  <si>
    <t>Spray cost forage maize</t>
  </si>
  <si>
    <t>Cost of full harvesting, carting and clamping forage maize</t>
  </si>
  <si>
    <t>P&amp;L Cook &amp; Partners (2007)</t>
  </si>
  <si>
    <t>Cost of decommissioning Miscanthus, Sida, and Silphium</t>
  </si>
  <si>
    <r>
      <t>Fertilisers (kg ha</t>
    </r>
    <r>
      <rPr>
        <vertAlign val="superscript"/>
        <sz val="8"/>
        <rFont val="Arial"/>
        <family val="2"/>
      </rPr>
      <t>-1</t>
    </r>
    <r>
      <rPr>
        <sz val="8"/>
        <rFont val="Arial"/>
        <family val="2"/>
      </rPr>
      <t>)</t>
    </r>
  </si>
  <si>
    <t>Fertilisers (establish.) sub-total</t>
  </si>
  <si>
    <t>Fertilisers (recurring) sub-total</t>
  </si>
  <si>
    <t xml:space="preserve">Fertilisers </t>
  </si>
  <si>
    <t>Sprays</t>
  </si>
  <si>
    <t xml:space="preserve">N </t>
  </si>
  <si>
    <r>
      <t>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/>
    </r>
  </si>
  <si>
    <r>
      <t>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</si>
  <si>
    <t xml:space="preserve">Fertilisers Sub-total </t>
  </si>
  <si>
    <t>90,55,72 - 84,14,120</t>
  </si>
  <si>
    <t>Fertiliser needs for SRC and Miscanthus (nitrogen,phosphate,potash)</t>
  </si>
  <si>
    <t>Cumplido-Marin et al, 2020</t>
  </si>
  <si>
    <t>Cost of fertilisers: arable crops</t>
  </si>
  <si>
    <t>Cost of fertilisers (establishment): energy crops</t>
  </si>
  <si>
    <t>Cost of fertilisers (recurring): energy crops</t>
  </si>
  <si>
    <t>Spays</t>
  </si>
  <si>
    <t>Spray application</t>
  </si>
  <si>
    <r>
      <t>Calculated price of N, P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</t>
    </r>
    <r>
      <rPr>
        <vertAlign val="subscript"/>
        <sz val="8"/>
        <color theme="1"/>
        <rFont val="Arial"/>
        <family val="2"/>
      </rPr>
      <t>5</t>
    </r>
    <r>
      <rPr>
        <sz val="8"/>
        <color theme="1"/>
        <rFont val="Arial"/>
        <family val="2"/>
      </rPr>
      <t>, K</t>
    </r>
    <r>
      <rPr>
        <vertAlign val="sub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>O from Redman (2018)</t>
    </r>
  </si>
  <si>
    <t>Cost of sprays (establishment) of Sida and Silphium: same as Miscanthus</t>
  </si>
  <si>
    <t>100, 60</t>
  </si>
  <si>
    <t>Cost of sprays (recurring) of SRC and Miscanthus: assumed half of the cost of sprays in establishment</t>
  </si>
  <si>
    <t>F. maize 0%</t>
  </si>
  <si>
    <t>F. maize +50%</t>
  </si>
  <si>
    <t>F. maize -50%</t>
  </si>
  <si>
    <t>F. maize +100%</t>
  </si>
  <si>
    <t>F. maize -100%</t>
  </si>
  <si>
    <t xml:space="preserve">             </t>
  </si>
  <si>
    <t>Arable inputs</t>
  </si>
  <si>
    <t>Yield profile co-efficient</t>
  </si>
  <si>
    <t>(proportion)</t>
  </si>
  <si>
    <t>Yield profile</t>
  </si>
  <si>
    <t>Yield profile coefficient over rotation</t>
  </si>
  <si>
    <t>(Year)</t>
  </si>
  <si>
    <t>Note: Yield profiles developed from combined published data sources</t>
  </si>
  <si>
    <t>Nitrogen</t>
  </si>
  <si>
    <t>Phosphorus</t>
  </si>
  <si>
    <t>Pottassium</t>
  </si>
  <si>
    <t>F to m</t>
  </si>
  <si>
    <t>G to n</t>
  </si>
  <si>
    <t>H to o</t>
  </si>
  <si>
    <t>E to l</t>
  </si>
  <si>
    <t>M to t</t>
  </si>
  <si>
    <t>N to u</t>
  </si>
  <si>
    <t>O to v</t>
  </si>
  <si>
    <t>L to S</t>
  </si>
  <si>
    <t>T to aa</t>
  </si>
  <si>
    <t>U to ab</t>
  </si>
  <si>
    <t>V to ac</t>
  </si>
  <si>
    <t>S to Z</t>
  </si>
  <si>
    <t>New</t>
  </si>
  <si>
    <t>Average established dry biomass yield</t>
  </si>
  <si>
    <t>Witzel and Finger (2016)</t>
  </si>
  <si>
    <t>Miscanthus average and profile yield</t>
  </si>
  <si>
    <t>Wtizel and Finger (2016) and ADAS (2003)</t>
  </si>
  <si>
    <t>Soya</t>
  </si>
  <si>
    <t>Sunflower</t>
  </si>
  <si>
    <t>Sunflower harvesting - harvesting only</t>
  </si>
  <si>
    <t>Sunflower harvesting - harvesting and carting</t>
  </si>
  <si>
    <t>ARABLE BASIC INPUTS (€)</t>
  </si>
  <si>
    <t>€ ha-1</t>
  </si>
  <si>
    <t>€ t-1</t>
  </si>
  <si>
    <t>ARABLE FIXED COSTS (€ ha-1)</t>
  </si>
  <si>
    <t>(€ ha-1)</t>
  </si>
  <si>
    <t>ARABLE MARGINS (€ ha-1)</t>
  </si>
  <si>
    <t>(€ t-1)</t>
  </si>
  <si>
    <t>(€ kg-1/ unit-1 )</t>
  </si>
  <si>
    <t>(€ kg-1)</t>
  </si>
  <si>
    <t>(€ app.-1)</t>
  </si>
  <si>
    <t>(€ h-1)</t>
  </si>
  <si>
    <t>ENERGY BASIC INPUTS (€)</t>
  </si>
  <si>
    <t>(€ kg-1 / unit-1)</t>
  </si>
  <si>
    <t>(€ ODT-1)</t>
  </si>
  <si>
    <t>ENERGY CULTIVATION COSTS (€ ha-1)</t>
  </si>
  <si>
    <t>ENERGY MARGINS (€ ha-1)</t>
  </si>
  <si>
    <t>ENERGY NPV (€ ha-1)</t>
  </si>
  <si>
    <t>MARGINS SUMMARY (€ ha-1)</t>
  </si>
  <si>
    <t>ARABLE NPV (€ ha-1)</t>
  </si>
  <si>
    <t>(€ ha-1 yr-1)</t>
  </si>
  <si>
    <t xml:space="preserve"> (€ ha-1)</t>
  </si>
  <si>
    <t>(€ ha-1 y-1)</t>
  </si>
  <si>
    <t>SUMMARY NPV (€ ha-1)</t>
  </si>
  <si>
    <t>Sensitivity Analysis (€ ha-1)</t>
  </si>
  <si>
    <t>Annuario dell'agricoltura Italiana 2017 (CREA)</t>
  </si>
  <si>
    <t>Wheat, soya, sunflower, OSR, maize yields</t>
  </si>
  <si>
    <t>Wheat, soya, sunflower, OSR, maize price</t>
  </si>
  <si>
    <t>5.5, 3.1, 2.1, 2.6, 9.4</t>
  </si>
  <si>
    <t>210.00, 310.75, 235.55, 196.99, 187.42</t>
  </si>
  <si>
    <r>
      <t>€ t</t>
    </r>
    <r>
      <rPr>
        <vertAlign val="superscript"/>
        <sz val="8"/>
        <color theme="1"/>
        <rFont val="Arial"/>
        <family val="2"/>
      </rPr>
      <t>-1</t>
    </r>
  </si>
  <si>
    <r>
      <t>€ t</t>
    </r>
    <r>
      <rPr>
        <vertAlign val="superscript"/>
        <sz val="8"/>
        <rFont val="Arial"/>
        <family val="2"/>
      </rPr>
      <t>-1</t>
    </r>
  </si>
  <si>
    <r>
      <t>€ ha</t>
    </r>
    <r>
      <rPr>
        <vertAlign val="superscript"/>
        <sz val="8"/>
        <rFont val="Arial"/>
        <family val="2"/>
      </rPr>
      <t>-1</t>
    </r>
  </si>
  <si>
    <r>
      <t>€ h</t>
    </r>
    <r>
      <rPr>
        <vertAlign val="superscript"/>
        <sz val="8"/>
        <rFont val="Arial"/>
        <family val="2"/>
      </rPr>
      <t>-1</t>
    </r>
  </si>
  <si>
    <t>CREA (2019)</t>
  </si>
  <si>
    <t>Labour wage rate</t>
  </si>
  <si>
    <t>Number of spray applications wheat, soya, sunflower, OSR, maize</t>
  </si>
  <si>
    <t>Seed rate for soya, sunflower, OSR</t>
  </si>
  <si>
    <t>Seed cost for OSR</t>
  </si>
  <si>
    <r>
      <t>€ ha</t>
    </r>
    <r>
      <rPr>
        <vertAlign val="superscript"/>
        <sz val="8"/>
        <color theme="1"/>
        <rFont val="Arial"/>
        <family val="2"/>
      </rPr>
      <t>-1</t>
    </r>
  </si>
  <si>
    <r>
      <t>€ h</t>
    </r>
    <r>
      <rPr>
        <vertAlign val="superscript"/>
        <sz val="8"/>
        <color theme="1"/>
        <rFont val="Arial"/>
        <family val="2"/>
      </rPr>
      <t>-1</t>
    </r>
  </si>
  <si>
    <r>
      <t>app ha</t>
    </r>
    <r>
      <rPr>
        <vertAlign val="superscript"/>
        <sz val="8"/>
        <color theme="1"/>
        <rFont val="Arial"/>
        <family val="2"/>
      </rPr>
      <t>-1</t>
    </r>
  </si>
  <si>
    <r>
      <t>€ kg</t>
    </r>
    <r>
      <rPr>
        <vertAlign val="superscript"/>
        <sz val="8"/>
        <color theme="1"/>
        <rFont val="Arial"/>
        <family val="2"/>
      </rPr>
      <t>-1</t>
    </r>
  </si>
  <si>
    <r>
      <t>€ kg</t>
    </r>
    <r>
      <rPr>
        <vertAlign val="superscript"/>
        <sz val="8"/>
        <rFont val="Arial"/>
        <family val="2"/>
      </rPr>
      <t>-1</t>
    </r>
  </si>
  <si>
    <t>Semences de France (2019)</t>
  </si>
  <si>
    <t>Seed cost for soya, €40 per 25 kg</t>
  </si>
  <si>
    <t>Seed</t>
  </si>
  <si>
    <t>Camera di Commercio di Bologna</t>
  </si>
  <si>
    <t>Seed cost sunflower, €291 per tone</t>
  </si>
  <si>
    <t>Seed rate for forage maize</t>
  </si>
  <si>
    <r>
      <t>₤ kg</t>
    </r>
    <r>
      <rPr>
        <vertAlign val="superscript"/>
        <sz val="8"/>
        <color theme="1"/>
        <rFont val="Arial"/>
        <family val="2"/>
      </rPr>
      <t>-1</t>
    </r>
  </si>
  <si>
    <t>Agronotizie</t>
  </si>
  <si>
    <r>
      <t>€ app</t>
    </r>
    <r>
      <rPr>
        <vertAlign val="superscript"/>
        <sz val="8"/>
        <color theme="1"/>
        <rFont val="Arial"/>
        <family val="2"/>
      </rPr>
      <t>-1</t>
    </r>
  </si>
  <si>
    <t>Price of spray applications for sunflower, average of 18.7-45.05 € per application (https://agronotizie.imagelinenetwork.com/materiali/Varie/File/Costi_di_Produzione/costo-produzione-girasole-2014-fonte-francesco-rinaldi-ceroni.pdf)</t>
  </si>
  <si>
    <t>Price of spray applications for osr, average of 104 € per application (https://agronotizie.imagelinenetwork.com/materiali/Varie/File/Costi_di_Produzione/costo-produzione-girasole-2014-fonte-francesco-rinaldi-ceroni.pdf)</t>
  </si>
  <si>
    <t>3, 1, 1, 1, 2</t>
  </si>
  <si>
    <t>SRC rotation, first harvest, and interval</t>
  </si>
  <si>
    <t>10, 2, 2</t>
  </si>
  <si>
    <t>years</t>
  </si>
  <si>
    <r>
      <t>t DM ha</t>
    </r>
    <r>
      <rPr>
        <vertAlign val="superscript"/>
        <sz val="8"/>
        <color theme="1"/>
        <rFont val="Arial"/>
        <family val="2"/>
      </rPr>
      <t>-1</t>
    </r>
  </si>
  <si>
    <t>Cost of planting material Miscanthus</t>
  </si>
  <si>
    <t>Price of biomass (considering prices at farm gate between 15-20 €/t FM at 40% moisture)</t>
  </si>
  <si>
    <t>Cost of ground preparation Miscanthus</t>
  </si>
  <si>
    <t>Cost of sprays Miscanthus</t>
  </si>
  <si>
    <t>Cost of planting Miscanthus</t>
  </si>
  <si>
    <t>Wheat and OSR straw yield</t>
  </si>
  <si>
    <t>3.9, 2.6</t>
  </si>
  <si>
    <t>Fertiliser needs of forage maize (nitrogen, phosphate)</t>
  </si>
  <si>
    <t>Cost of Sida seedlings (from Dirk €350 per 1000 seedlings)</t>
  </si>
  <si>
    <r>
      <t>€ seedling</t>
    </r>
    <r>
      <rPr>
        <vertAlign val="superscript"/>
        <sz val="8"/>
        <color theme="1"/>
        <rFont val="Arial"/>
        <family val="2"/>
      </rPr>
      <t>-1</t>
    </r>
  </si>
  <si>
    <t>232.1, 152.5, 163.6, 182.1, 214.6</t>
  </si>
  <si>
    <r>
      <t>t ha</t>
    </r>
    <r>
      <rPr>
        <vertAlign val="superscript"/>
        <sz val="8"/>
        <color theme="1"/>
        <rFont val="Arial"/>
        <family val="2"/>
      </rPr>
      <t>-1</t>
    </r>
  </si>
  <si>
    <t>Silphium 0%</t>
  </si>
  <si>
    <t>Silphium +50%</t>
  </si>
  <si>
    <t>Silphium -50%</t>
  </si>
  <si>
    <t>Silphium +100%</t>
  </si>
  <si>
    <t>Silphium -100%</t>
  </si>
  <si>
    <t>150, 115, 0</t>
  </si>
  <si>
    <r>
      <t>Seed cost (€55 per 100 kg) and rate (240 kg ha</t>
    </r>
    <r>
      <rPr>
        <vertAlign val="superscript"/>
        <sz val="8"/>
        <color theme="1"/>
        <rFont val="Arial"/>
        <family val="2"/>
      </rPr>
      <t>-1</t>
    </r>
    <r>
      <rPr>
        <sz val="8"/>
        <color theme="1"/>
        <rFont val="Arial"/>
        <family val="2"/>
      </rPr>
      <t>) for wheat</t>
    </r>
  </si>
  <si>
    <t>18.125, 10.0, 4.0</t>
  </si>
  <si>
    <t>114-48</t>
  </si>
  <si>
    <t>108-92</t>
  </si>
  <si>
    <t>0-92</t>
  </si>
  <si>
    <t>92-69</t>
  </si>
  <si>
    <t>Fertiliser rates (nitrogen-phosphate) for wheat (https://agronotizie.imagelinenetwork.com/materiali/Varie/File/Costi_di_Produzione/Grano-Tenero.pdf)</t>
  </si>
  <si>
    <t>Fertiliser rates (nitrogen-phosphate) for soya (https://agronotizie.imagelinenetwork.com/materiali/Varie/File/Costi_di_Produzione/costo-produzione-soia-2015-fonte-francesco-rinaldi-ceroni.pdf)</t>
  </si>
  <si>
    <t>Fertiliser rates (nitrogen-phosphate) for sunflower (https://agronotizie.imagelinenetwork.com/materiali/Varie/File/Costi_di_Produzione/costo-produzione-girasole-2014-fonte-francesco-rinaldi-ceroni.pdf)</t>
  </si>
  <si>
    <t>Fertiliser rates (nitrogen-phosphate) for OSR (https://agronotizie.imagelinenetwork.com/materiali/Varie/File/Costi_di_Produzione/costo-produzione-girasole-2014-fonte-francesco-rinaldi-ceroni.pdf)</t>
  </si>
  <si>
    <t>Price of spray applications for wheat, average of 67.20-59.0 € per application (https://agronotizie.imagelinenetwork.com/materiali/Varie/File/Costi_di_Produzione/Grano-Tenero.pdf)</t>
  </si>
  <si>
    <t>Price of spray applications for soya, 29.85 € per application (https://agronotizie.imagelinenetwork.com/materiali/Varie/File/Costi_di_Produzione/costo-produzione-soia-2015-fonte-francesco-rinaldi-ceroni.pdf)</t>
  </si>
  <si>
    <t>Mature yield of Sida and Silphium</t>
  </si>
  <si>
    <t>10.0, 15.0</t>
  </si>
  <si>
    <t>Bacenetti et al, 2016</t>
  </si>
  <si>
    <t>SRC average yield</t>
  </si>
  <si>
    <r>
      <t>€ DM t</t>
    </r>
    <r>
      <rPr>
        <vertAlign val="superscript"/>
        <sz val="8"/>
        <color theme="1"/>
        <rFont val="Arial"/>
        <family val="2"/>
      </rPr>
      <t>-1</t>
    </r>
  </si>
  <si>
    <t>Price of biomass, considering 15-20 €/t FM at 40% moisture</t>
  </si>
  <si>
    <t>Cost of planting material Silphium (considering €500 per kg of seeds and 4 kg of seeds per ha)</t>
  </si>
  <si>
    <t>Cost of planting material SRC (considering 0.18 €/unit and 5,600 units/ha)</t>
  </si>
  <si>
    <t>Price of forage maize (33 €/t FM at 35% moisture)</t>
  </si>
  <si>
    <t>SeedFuture (2019)</t>
  </si>
  <si>
    <t>Cost of planting SRC</t>
  </si>
  <si>
    <t>142.9, 133.0, 183.0, 200.8</t>
  </si>
  <si>
    <t>71.4, 124.7, 171.6, 188.6</t>
  </si>
  <si>
    <t>Cost of ground preparation SRC</t>
  </si>
  <si>
    <t>Cost of sprays SRC</t>
  </si>
  <si>
    <t>Cost of harvesting SRC</t>
  </si>
  <si>
    <t>Cost of decommissioning SRC</t>
  </si>
  <si>
    <t xml:space="preserve">Straw yield               </t>
  </si>
  <si>
    <t xml:space="preserve">Straw price               </t>
  </si>
  <si>
    <t>CAP annual payment</t>
  </si>
  <si>
    <t>CAP</t>
  </si>
  <si>
    <t>Total revenue (crop and CAP)</t>
  </si>
  <si>
    <t>Net margins (without CAP)</t>
  </si>
  <si>
    <t>Net margin (with CAP)</t>
  </si>
  <si>
    <t>Crop Revenue (without CAP)</t>
  </si>
  <si>
    <t>Crop Revenue (with CAP)</t>
  </si>
  <si>
    <t>Annual net margin without CAP</t>
  </si>
  <si>
    <t>Annual net margin with CAP</t>
  </si>
  <si>
    <t>Discounted CAP</t>
  </si>
  <si>
    <t>Discounted net margin without CAP</t>
  </si>
  <si>
    <t>Discounted Cumulative CAP</t>
  </si>
  <si>
    <t>Discounted Cumulative net margin without CAP</t>
  </si>
  <si>
    <t>Crop revenue without CAP</t>
  </si>
  <si>
    <t>Crop revenue with CAP</t>
  </si>
  <si>
    <t>Discounted net margin without CAP (€ ha-1)</t>
  </si>
  <si>
    <t>Discounted net margin with CAP (€ ha-1)</t>
  </si>
  <si>
    <t>Discounted cumulative net margin without CAP (€ ha-1)</t>
  </si>
  <si>
    <t>Discounted Total CAP</t>
  </si>
  <si>
    <t>NPV without CAP</t>
  </si>
  <si>
    <t>NPV with CAP</t>
  </si>
  <si>
    <t xml:space="preserve">NPVInfinite without CAP </t>
  </si>
  <si>
    <t>NPVInfinite with CAP</t>
  </si>
  <si>
    <t>Equivalent Annual Value without CAP</t>
  </si>
  <si>
    <t>Equivalent Annual Value with CAP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</si>
</sst>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0.00_)"/>
    <numFmt numFmtId="166" formatCode="0_)"/>
    <numFmt numFmtId="167" formatCode="0.000"/>
    <numFmt numFmtId="168" formatCode="0.0_)"/>
    <numFmt numFmtId="169" formatCode="#,##0.0"/>
  </numFmts>
  <fonts count="34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vertAlign val="superscript"/>
      <sz val="8"/>
      <name val="Arial"/>
      <family val="2"/>
    </font>
    <font>
      <b/>
      <sz val="8"/>
      <color indexed="8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sz val="12"/>
      <color theme="1"/>
      <name val="Arial"/>
      <family val="2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sz val="8"/>
      <name val="Times New Roman"/>
      <family val="1"/>
    </font>
    <font>
      <vertAlign val="subscript"/>
      <sz val="8"/>
      <name val="Arial"/>
      <family val="2"/>
    </font>
    <font>
      <sz val="10"/>
      <name val="Arial"/>
      <family val="2"/>
    </font>
    <font>
      <sz val="8"/>
      <color theme="1"/>
      <name val="Calibri"/>
      <family val="2"/>
    </font>
    <font>
      <vertAlign val="superscript"/>
      <sz val="8"/>
      <color theme="1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8"/>
      <color theme="4"/>
      <name val="Arial"/>
      <family val="2"/>
    </font>
    <font>
      <vertAlign val="subscript"/>
      <sz val="8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theme="9"/>
      <name val="Arial"/>
      <family val="2"/>
    </font>
    <font>
      <sz val="8"/>
      <color rgb="FFFF0000"/>
      <name val="Arial"/>
      <family val="2"/>
    </font>
    <font>
      <sz val="8"/>
      <color theme="5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9" fontId="15" fillId="0" borderId="0" applyFont="0" applyFill="0" applyBorder="0" applyAlignment="0" applyProtection="0"/>
  </cellStyleXfs>
  <cellXfs count="1122">
    <xf numFmtId="0" fontId="0" fillId="0" borderId="0" xfId="0"/>
    <xf numFmtId="0" fontId="1" fillId="0" borderId="0" xfId="0" applyFont="1"/>
    <xf numFmtId="0" fontId="0" fillId="0" borderId="0" xfId="0" applyFont="1"/>
    <xf numFmtId="164" fontId="3" fillId="0" borderId="16" xfId="0" applyNumberFormat="1" applyFont="1" applyFill="1" applyBorder="1" applyProtection="1">
      <protection locked="0"/>
    </xf>
    <xf numFmtId="0" fontId="3" fillId="2" borderId="9" xfId="0" applyFont="1" applyFill="1" applyBorder="1" applyAlignment="1" applyProtection="1"/>
    <xf numFmtId="0" fontId="3" fillId="2" borderId="13" xfId="0" applyFont="1" applyFill="1" applyBorder="1" applyAlignment="1" applyProtection="1"/>
    <xf numFmtId="0" fontId="4" fillId="0" borderId="8" xfId="0" applyFont="1" applyFill="1" applyBorder="1" applyProtection="1"/>
    <xf numFmtId="0" fontId="4" fillId="0" borderId="3" xfId="0" applyFont="1" applyFill="1" applyBorder="1" applyProtection="1"/>
    <xf numFmtId="165" fontId="8" fillId="0" borderId="3" xfId="0" applyNumberFormat="1" applyFont="1" applyFill="1" applyBorder="1" applyAlignment="1" applyProtection="1"/>
    <xf numFmtId="0" fontId="3" fillId="0" borderId="3" xfId="0" applyFont="1" applyFill="1" applyBorder="1" applyAlignment="1" applyProtection="1"/>
    <xf numFmtId="0" fontId="3" fillId="0" borderId="3" xfId="0" applyFont="1" applyFill="1" applyBorder="1" applyProtection="1"/>
    <xf numFmtId="0" fontId="4" fillId="2" borderId="10" xfId="0" applyFont="1" applyFill="1" applyBorder="1" applyProtection="1"/>
    <xf numFmtId="0" fontId="3" fillId="2" borderId="3" xfId="0" applyFont="1" applyFill="1" applyBorder="1" applyProtection="1"/>
    <xf numFmtId="0" fontId="4" fillId="2" borderId="3" xfId="0" applyFont="1" applyFill="1" applyBorder="1" applyProtection="1"/>
    <xf numFmtId="0" fontId="3" fillId="2" borderId="14" xfId="0" applyFont="1" applyFill="1" applyBorder="1" applyProtection="1"/>
    <xf numFmtId="165" fontId="8" fillId="0" borderId="8" xfId="0" applyNumberFormat="1" applyFont="1" applyFill="1" applyBorder="1" applyProtection="1"/>
    <xf numFmtId="0" fontId="3" fillId="0" borderId="16" xfId="0" applyFont="1" applyFill="1" applyBorder="1" applyProtection="1"/>
    <xf numFmtId="0" fontId="3" fillId="0" borderId="16" xfId="0" applyFont="1" applyFill="1" applyBorder="1" applyAlignment="1" applyProtection="1">
      <alignment horizontal="left" vertical="top"/>
    </xf>
    <xf numFmtId="0" fontId="3" fillId="0" borderId="9" xfId="0" applyFont="1" applyFill="1" applyBorder="1" applyAlignment="1" applyProtection="1"/>
    <xf numFmtId="165" fontId="8" fillId="0" borderId="0" xfId="0" applyNumberFormat="1" applyFont="1" applyFill="1" applyBorder="1" applyAlignment="1" applyProtection="1">
      <alignment horizontal="left" vertical="top" wrapText="1"/>
    </xf>
    <xf numFmtId="0" fontId="4" fillId="0" borderId="0" xfId="0" applyFont="1" applyFill="1" applyBorder="1" applyAlignment="1" applyProtection="1"/>
    <xf numFmtId="0" fontId="0" fillId="0" borderId="0" xfId="0" applyFont="1" applyFill="1" applyBorder="1"/>
    <xf numFmtId="0" fontId="3" fillId="0" borderId="11" xfId="0" applyFont="1" applyFill="1" applyBorder="1" applyProtection="1"/>
    <xf numFmtId="0" fontId="3" fillId="0" borderId="13" xfId="0" applyFont="1" applyFill="1" applyBorder="1" applyAlignment="1" applyProtection="1"/>
    <xf numFmtId="0" fontId="11" fillId="0" borderId="0" xfId="0" applyFont="1"/>
    <xf numFmtId="0" fontId="0" fillId="0" borderId="0" xfId="0" applyFont="1" applyFill="1"/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left" vertical="top"/>
    </xf>
    <xf numFmtId="0" fontId="9" fillId="0" borderId="10" xfId="0" applyFont="1" applyFill="1" applyBorder="1" applyAlignment="1" applyProtection="1">
      <alignment horizontal="right" vertical="top" wrapText="1"/>
    </xf>
    <xf numFmtId="0" fontId="9" fillId="0" borderId="16" xfId="0" applyFont="1" applyFill="1" applyBorder="1" applyAlignment="1" applyProtection="1">
      <alignment horizontal="right" vertical="top" wrapText="1"/>
    </xf>
    <xf numFmtId="0" fontId="3" fillId="0" borderId="0" xfId="0" applyFont="1" applyFill="1" applyBorder="1" applyAlignment="1" applyProtection="1"/>
    <xf numFmtId="0" fontId="9" fillId="0" borderId="14" xfId="0" applyFont="1" applyFill="1" applyBorder="1" applyAlignment="1" applyProtection="1">
      <alignment horizontal="right" vertical="top" wrapText="1"/>
    </xf>
    <xf numFmtId="165" fontId="5" fillId="0" borderId="16" xfId="0" applyNumberFormat="1" applyFont="1" applyFill="1" applyBorder="1" applyAlignment="1" applyProtection="1">
      <alignment horizontal="left" vertical="top" wrapText="1"/>
    </xf>
    <xf numFmtId="0" fontId="3" fillId="0" borderId="16" xfId="0" applyFont="1" applyFill="1" applyBorder="1" applyAlignment="1" applyProtection="1">
      <alignment horizontal="left" vertical="top" wrapText="1"/>
    </xf>
    <xf numFmtId="0" fontId="3" fillId="0" borderId="19" xfId="0" applyFont="1" applyFill="1" applyBorder="1" applyAlignment="1" applyProtection="1"/>
    <xf numFmtId="165" fontId="5" fillId="0" borderId="9" xfId="0" applyNumberFormat="1" applyFont="1" applyFill="1" applyBorder="1" applyAlignment="1" applyProtection="1">
      <alignment horizontal="left" vertical="top" wrapText="1"/>
    </xf>
    <xf numFmtId="165" fontId="5" fillId="0" borderId="13" xfId="0" applyNumberFormat="1" applyFont="1" applyFill="1" applyBorder="1" applyAlignment="1" applyProtection="1">
      <alignment horizontal="left" vertical="top" wrapText="1"/>
    </xf>
    <xf numFmtId="165" fontId="5" fillId="0" borderId="18" xfId="0" applyNumberFormat="1" applyFont="1" applyFill="1" applyBorder="1" applyAlignment="1" applyProtection="1">
      <alignment horizontal="left" vertical="top" wrapText="1"/>
    </xf>
    <xf numFmtId="0" fontId="3" fillId="0" borderId="6" xfId="0" applyFont="1" applyFill="1" applyBorder="1" applyAlignment="1" applyProtection="1"/>
    <xf numFmtId="0" fontId="0" fillId="0" borderId="0" xfId="0" applyFill="1"/>
    <xf numFmtId="2" fontId="3" fillId="0" borderId="16" xfId="0" applyNumberFormat="1" applyFont="1" applyFill="1" applyBorder="1" applyProtection="1">
      <protection locked="0"/>
    </xf>
    <xf numFmtId="0" fontId="3" fillId="0" borderId="16" xfId="0" applyFont="1" applyFill="1" applyBorder="1"/>
    <xf numFmtId="0" fontId="4" fillId="0" borderId="18" xfId="0" applyFont="1" applyFill="1" applyBorder="1"/>
    <xf numFmtId="0" fontId="4" fillId="0" borderId="6" xfId="0" applyFont="1" applyFill="1" applyBorder="1" applyAlignment="1">
      <alignment wrapText="1"/>
    </xf>
    <xf numFmtId="0" fontId="3" fillId="0" borderId="6" xfId="0" applyFont="1" applyFill="1" applyBorder="1"/>
    <xf numFmtId="0" fontId="4" fillId="0" borderId="16" xfId="0" applyFont="1" applyFill="1" applyBorder="1" applyAlignment="1">
      <alignment horizontal="left"/>
    </xf>
    <xf numFmtId="0" fontId="3" fillId="0" borderId="14" xfId="0" applyFont="1" applyFill="1" applyBorder="1"/>
    <xf numFmtId="0" fontId="3" fillId="0" borderId="13" xfId="0" applyFont="1" applyFill="1" applyBorder="1"/>
    <xf numFmtId="0" fontId="3" fillId="0" borderId="21" xfId="0" applyFont="1" applyFill="1" applyBorder="1"/>
    <xf numFmtId="0" fontId="4" fillId="0" borderId="10" xfId="0" applyFont="1" applyFill="1" applyBorder="1"/>
    <xf numFmtId="0" fontId="4" fillId="0" borderId="6" xfId="0" applyFont="1" applyFill="1" applyBorder="1" applyAlignment="1">
      <alignment horizontal="center" wrapText="1"/>
    </xf>
    <xf numFmtId="0" fontId="4" fillId="0" borderId="6" xfId="0" applyFont="1" applyFill="1" applyBorder="1"/>
    <xf numFmtId="0" fontId="4" fillId="0" borderId="16" xfId="0" applyFont="1" applyFill="1" applyBorder="1"/>
    <xf numFmtId="0" fontId="3" fillId="0" borderId="0" xfId="0" applyFont="1" applyFill="1"/>
    <xf numFmtId="0" fontId="3" fillId="0" borderId="22" xfId="0" applyFont="1" applyFill="1" applyBorder="1"/>
    <xf numFmtId="0" fontId="0" fillId="0" borderId="14" xfId="0" applyBorder="1"/>
    <xf numFmtId="0" fontId="4" fillId="0" borderId="6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wrapText="1"/>
    </xf>
    <xf numFmtId="0" fontId="4" fillId="0" borderId="5" xfId="0" applyFont="1" applyFill="1" applyBorder="1" applyAlignment="1">
      <alignment horizontal="center" wrapText="1"/>
    </xf>
    <xf numFmtId="2" fontId="3" fillId="3" borderId="3" xfId="0" applyNumberFormat="1" applyFont="1" applyFill="1" applyBorder="1" applyAlignment="1">
      <alignment horizontal="center"/>
    </xf>
    <xf numFmtId="2" fontId="3" fillId="3" borderId="11" xfId="0" applyNumberFormat="1" applyFont="1" applyFill="1" applyBorder="1" applyAlignment="1">
      <alignment horizontal="center"/>
    </xf>
    <xf numFmtId="2" fontId="3" fillId="3" borderId="16" xfId="0" applyNumberFormat="1" applyFont="1" applyFill="1" applyBorder="1" applyAlignment="1">
      <alignment horizontal="center"/>
    </xf>
    <xf numFmtId="0" fontId="3" fillId="0" borderId="10" xfId="0" applyFont="1" applyFill="1" applyBorder="1"/>
    <xf numFmtId="0" fontId="0" fillId="0" borderId="0" xfId="0" applyBorder="1"/>
    <xf numFmtId="0" fontId="0" fillId="0" borderId="16" xfId="0" applyBorder="1"/>
    <xf numFmtId="0" fontId="3" fillId="0" borderId="23" xfId="0" applyFont="1" applyFill="1" applyBorder="1"/>
    <xf numFmtId="2" fontId="4" fillId="0" borderId="21" xfId="0" applyNumberFormat="1" applyFont="1" applyFill="1" applyBorder="1"/>
    <xf numFmtId="2" fontId="4" fillId="0" borderId="6" xfId="0" applyNumberFormat="1" applyFont="1" applyFill="1" applyBorder="1"/>
    <xf numFmtId="0" fontId="0" fillId="5" borderId="0" xfId="0" applyFill="1"/>
    <xf numFmtId="2" fontId="3" fillId="0" borderId="0" xfId="0" applyNumberFormat="1" applyFont="1" applyFill="1" applyBorder="1"/>
    <xf numFmtId="0" fontId="3" fillId="0" borderId="0" xfId="0" applyFont="1" applyFill="1" applyBorder="1" applyAlignment="1">
      <alignment wrapText="1"/>
    </xf>
    <xf numFmtId="0" fontId="4" fillId="0" borderId="13" xfId="0" applyFont="1" applyFill="1" applyBorder="1" applyAlignment="1">
      <alignment wrapText="1"/>
    </xf>
    <xf numFmtId="0" fontId="4" fillId="0" borderId="23" xfId="0" applyFont="1" applyFill="1" applyBorder="1" applyAlignment="1">
      <alignment wrapText="1"/>
    </xf>
    <xf numFmtId="0" fontId="4" fillId="0" borderId="14" xfId="0" applyFont="1" applyFill="1" applyBorder="1" applyAlignment="1">
      <alignment wrapText="1"/>
    </xf>
    <xf numFmtId="165" fontId="8" fillId="0" borderId="0" xfId="0" applyNumberFormat="1" applyFont="1" applyFill="1" applyBorder="1" applyProtection="1"/>
    <xf numFmtId="0" fontId="0" fillId="0" borderId="13" xfId="0" applyFont="1" applyFill="1" applyBorder="1"/>
    <xf numFmtId="165" fontId="5" fillId="0" borderId="8" xfId="0" applyNumberFormat="1" applyFont="1" applyFill="1" applyBorder="1" applyProtection="1"/>
    <xf numFmtId="0" fontId="3" fillId="0" borderId="14" xfId="0" applyFont="1" applyFill="1" applyBorder="1" applyProtection="1"/>
    <xf numFmtId="0" fontId="13" fillId="0" borderId="0" xfId="0" applyFont="1"/>
    <xf numFmtId="0" fontId="3" fillId="0" borderId="22" xfId="0" applyFont="1" applyFill="1" applyBorder="1" applyAlignment="1" applyProtection="1"/>
    <xf numFmtId="0" fontId="3" fillId="0" borderId="23" xfId="0" applyFont="1" applyFill="1" applyBorder="1" applyAlignment="1" applyProtection="1"/>
    <xf numFmtId="165" fontId="5" fillId="0" borderId="10" xfId="0" applyNumberFormat="1" applyFont="1" applyFill="1" applyBorder="1" applyAlignment="1" applyProtection="1">
      <alignment horizontal="left" vertical="top" wrapText="1"/>
    </xf>
    <xf numFmtId="165" fontId="5" fillId="0" borderId="14" xfId="0" applyNumberFormat="1" applyFont="1" applyFill="1" applyBorder="1" applyAlignment="1" applyProtection="1">
      <alignment horizontal="left" vertical="top" wrapText="1"/>
    </xf>
    <xf numFmtId="0" fontId="3" fillId="0" borderId="24" xfId="0" applyFont="1" applyFill="1" applyBorder="1" applyAlignment="1" applyProtection="1"/>
    <xf numFmtId="2" fontId="3" fillId="0" borderId="5" xfId="0" applyNumberFormat="1" applyFont="1" applyFill="1" applyBorder="1" applyProtection="1"/>
    <xf numFmtId="0" fontId="0" fillId="3" borderId="0" xfId="0" applyFill="1"/>
    <xf numFmtId="0" fontId="11" fillId="0" borderId="5" xfId="0" applyFont="1" applyBorder="1"/>
    <xf numFmtId="0" fontId="3" fillId="0" borderId="6" xfId="0" applyFont="1" applyFill="1" applyBorder="1" applyAlignment="1" applyProtection="1">
      <alignment horizontal="left" vertical="top" wrapText="1"/>
    </xf>
    <xf numFmtId="0" fontId="11" fillId="0" borderId="6" xfId="0" applyFont="1" applyBorder="1"/>
    <xf numFmtId="0" fontId="3" fillId="0" borderId="21" xfId="0" applyFont="1" applyFill="1" applyBorder="1" applyAlignment="1" applyProtection="1"/>
    <xf numFmtId="2" fontId="0" fillId="0" borderId="0" xfId="0" applyNumberFormat="1" applyFont="1"/>
    <xf numFmtId="0" fontId="4" fillId="0" borderId="5" xfId="0" applyFont="1" applyFill="1" applyBorder="1" applyProtection="1"/>
    <xf numFmtId="1" fontId="3" fillId="0" borderId="21" xfId="0" applyNumberFormat="1" applyFont="1" applyFill="1" applyBorder="1" applyProtection="1"/>
    <xf numFmtId="0" fontId="3" fillId="0" borderId="18" xfId="0" applyFont="1" applyFill="1" applyBorder="1" applyAlignment="1" applyProtection="1">
      <alignment horizontal="left" vertical="top"/>
    </xf>
    <xf numFmtId="165" fontId="8" fillId="0" borderId="16" xfId="0" applyNumberFormat="1" applyFont="1" applyFill="1" applyBorder="1" applyAlignment="1" applyProtection="1"/>
    <xf numFmtId="165" fontId="8" fillId="0" borderId="16" xfId="0" applyNumberFormat="1" applyFont="1" applyFill="1" applyBorder="1" applyAlignment="1" applyProtection="1">
      <alignment horizontal="left" vertical="top" wrapText="1"/>
    </xf>
    <xf numFmtId="0" fontId="4" fillId="0" borderId="16" xfId="0" applyFont="1" applyFill="1" applyBorder="1" applyProtection="1"/>
    <xf numFmtId="165" fontId="8" fillId="0" borderId="8" xfId="0" applyNumberFormat="1" applyFont="1" applyFill="1" applyBorder="1" applyAlignment="1" applyProtection="1"/>
    <xf numFmtId="0" fontId="0" fillId="0" borderId="0" xfId="0" applyFill="1" applyBorder="1"/>
    <xf numFmtId="1" fontId="4" fillId="0" borderId="8" xfId="0" applyNumberFormat="1" applyFont="1" applyFill="1" applyBorder="1" applyProtection="1"/>
    <xf numFmtId="1" fontId="4" fillId="0" borderId="11" xfId="0" applyNumberFormat="1" applyFont="1" applyFill="1" applyBorder="1" applyProtection="1"/>
    <xf numFmtId="0" fontId="0" fillId="0" borderId="22" xfId="0" applyFont="1" applyFill="1" applyBorder="1"/>
    <xf numFmtId="0" fontId="11" fillId="0" borderId="0" xfId="0" applyFont="1" applyFill="1"/>
    <xf numFmtId="0" fontId="0" fillId="0" borderId="10" xfId="0" applyBorder="1"/>
    <xf numFmtId="2" fontId="0" fillId="0" borderId="0" xfId="0" applyNumberFormat="1"/>
    <xf numFmtId="0" fontId="0" fillId="0" borderId="3" xfId="0" applyBorder="1"/>
    <xf numFmtId="0" fontId="0" fillId="0" borderId="11" xfId="0" applyBorder="1"/>
    <xf numFmtId="2" fontId="11" fillId="0" borderId="8" xfId="0" applyNumberFormat="1" applyFont="1" applyBorder="1"/>
    <xf numFmtId="2" fontId="11" fillId="0" borderId="3" xfId="0" applyNumberFormat="1" applyFont="1" applyBorder="1"/>
    <xf numFmtId="2" fontId="4" fillId="0" borderId="8" xfId="0" applyNumberFormat="1" applyFont="1" applyFill="1" applyBorder="1" applyAlignment="1" applyProtection="1">
      <alignment horizontal="right"/>
    </xf>
    <xf numFmtId="2" fontId="4" fillId="0" borderId="3" xfId="0" applyNumberFormat="1" applyFont="1" applyFill="1" applyBorder="1" applyAlignment="1" applyProtection="1">
      <alignment horizontal="right"/>
    </xf>
    <xf numFmtId="2" fontId="4" fillId="0" borderId="5" xfId="0" applyNumberFormat="1" applyFont="1" applyFill="1" applyBorder="1" applyAlignment="1" applyProtection="1">
      <alignment horizontal="right"/>
    </xf>
    <xf numFmtId="0" fontId="3" fillId="0" borderId="10" xfId="0" applyFont="1" applyFill="1" applyBorder="1" applyAlignment="1" applyProtection="1">
      <alignment horizontal="left" vertical="top"/>
    </xf>
    <xf numFmtId="0" fontId="3" fillId="0" borderId="24" xfId="0" applyFont="1" applyFill="1" applyBorder="1" applyAlignment="1" applyProtection="1">
      <alignment horizontal="left" vertical="top"/>
    </xf>
    <xf numFmtId="0" fontId="3" fillId="0" borderId="23" xfId="0" applyFont="1" applyFill="1" applyBorder="1" applyAlignment="1" applyProtection="1">
      <alignment horizontal="left" vertical="top"/>
    </xf>
    <xf numFmtId="165" fontId="5" fillId="2" borderId="10" xfId="0" applyNumberFormat="1" applyFont="1" applyFill="1" applyBorder="1" applyAlignment="1" applyProtection="1">
      <alignment horizontal="left" vertical="top" wrapText="1"/>
    </xf>
    <xf numFmtId="165" fontId="5" fillId="2" borderId="14" xfId="0" applyNumberFormat="1" applyFont="1" applyFill="1" applyBorder="1" applyAlignment="1" applyProtection="1">
      <alignment horizontal="left" vertical="top" wrapText="1"/>
    </xf>
    <xf numFmtId="0" fontId="3" fillId="2" borderId="24" xfId="0" applyFont="1" applyFill="1" applyBorder="1" applyAlignment="1" applyProtection="1"/>
    <xf numFmtId="0" fontId="3" fillId="2" borderId="23" xfId="0" applyFont="1" applyFill="1" applyBorder="1" applyAlignment="1" applyProtection="1"/>
    <xf numFmtId="1" fontId="4" fillId="0" borderId="0" xfId="0" applyNumberFormat="1" applyFont="1" applyFill="1" applyBorder="1" applyProtection="1"/>
    <xf numFmtId="165" fontId="5" fillId="0" borderId="14" xfId="0" applyNumberFormat="1" applyFont="1" applyFill="1" applyBorder="1" applyAlignment="1" applyProtection="1">
      <alignment horizontal="right" vertical="top" wrapText="1"/>
    </xf>
    <xf numFmtId="165" fontId="5" fillId="0" borderId="18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right" vertical="top" wrapText="1"/>
    </xf>
    <xf numFmtId="165" fontId="8" fillId="2" borderId="14" xfId="0" applyNumberFormat="1" applyFont="1" applyFill="1" applyBorder="1" applyAlignment="1" applyProtection="1">
      <alignment horizontal="left" vertical="top" wrapText="1"/>
    </xf>
    <xf numFmtId="0" fontId="4" fillId="2" borderId="10" xfId="0" applyFont="1" applyFill="1" applyBorder="1" applyAlignment="1" applyProtection="1">
      <alignment horizontal="left" vertical="top" wrapText="1"/>
    </xf>
    <xf numFmtId="0" fontId="3" fillId="0" borderId="14" xfId="0" applyFont="1" applyFill="1" applyBorder="1" applyAlignment="1" applyProtection="1">
      <alignment horizontal="left" vertical="top" wrapText="1"/>
    </xf>
    <xf numFmtId="0" fontId="9" fillId="0" borderId="18" xfId="0" applyFont="1" applyFill="1" applyBorder="1" applyAlignment="1" applyProtection="1">
      <alignment horizontal="right" vertical="top" wrapText="1"/>
    </xf>
    <xf numFmtId="0" fontId="3" fillId="0" borderId="22" xfId="0" applyFont="1" applyFill="1" applyBorder="1" applyAlignment="1" applyProtection="1">
      <alignment horizontal="left" vertical="top"/>
    </xf>
    <xf numFmtId="0" fontId="2" fillId="0" borderId="0" xfId="0" applyFont="1" applyBorder="1"/>
    <xf numFmtId="0" fontId="3" fillId="0" borderId="5" xfId="0" applyFont="1" applyFill="1" applyBorder="1" applyAlignment="1">
      <alignment horizontal="right"/>
    </xf>
    <xf numFmtId="2" fontId="3" fillId="0" borderId="5" xfId="0" applyNumberFormat="1" applyFont="1" applyFill="1" applyBorder="1"/>
    <xf numFmtId="2" fontId="3" fillId="3" borderId="0" xfId="0" applyNumberFormat="1" applyFont="1" applyFill="1" applyBorder="1" applyAlignment="1">
      <alignment horizontal="center"/>
    </xf>
    <xf numFmtId="2" fontId="3" fillId="0" borderId="9" xfId="0" applyNumberFormat="1" applyFont="1" applyFill="1" applyBorder="1" applyAlignment="1">
      <alignment horizontal="left"/>
    </xf>
    <xf numFmtId="2" fontId="3" fillId="0" borderId="0" xfId="0" applyNumberFormat="1" applyFont="1" applyFill="1" applyBorder="1" applyAlignment="1">
      <alignment horizontal="left"/>
    </xf>
    <xf numFmtId="0" fontId="4" fillId="0" borderId="18" xfId="0" applyFont="1" applyFill="1" applyBorder="1" applyAlignment="1">
      <alignment horizontal="center" vertical="center" wrapText="1"/>
    </xf>
    <xf numFmtId="0" fontId="3" fillId="0" borderId="2" xfId="0" applyFont="1" applyFill="1" applyBorder="1"/>
    <xf numFmtId="0" fontId="3" fillId="0" borderId="29" xfId="0" applyFont="1" applyFill="1" applyBorder="1" applyAlignment="1">
      <alignment horizontal="center"/>
    </xf>
    <xf numFmtId="0" fontId="3" fillId="0" borderId="20" xfId="0" applyFont="1" applyFill="1" applyBorder="1"/>
    <xf numFmtId="1" fontId="3" fillId="0" borderId="2" xfId="0" applyNumberFormat="1" applyFont="1" applyFill="1" applyBorder="1" applyAlignment="1">
      <alignment horizontal="center"/>
    </xf>
    <xf numFmtId="0" fontId="3" fillId="0" borderId="29" xfId="0" applyFont="1" applyFill="1" applyBorder="1"/>
    <xf numFmtId="2" fontId="3" fillId="0" borderId="26" xfId="0" applyNumberFormat="1" applyFont="1" applyFill="1" applyBorder="1" applyAlignment="1">
      <alignment horizontal="left"/>
    </xf>
    <xf numFmtId="2" fontId="3" fillId="0" borderId="2" xfId="0" applyNumberFormat="1" applyFont="1" applyFill="1" applyBorder="1" applyAlignment="1">
      <alignment horizontal="left"/>
    </xf>
    <xf numFmtId="2" fontId="3" fillId="0" borderId="20" xfId="0" applyNumberFormat="1" applyFont="1" applyFill="1" applyBorder="1" applyAlignment="1">
      <alignment horizontal="left"/>
    </xf>
    <xf numFmtId="0" fontId="4" fillId="0" borderId="20" xfId="0" applyFont="1" applyFill="1" applyBorder="1" applyAlignment="1">
      <alignment wrapText="1"/>
    </xf>
    <xf numFmtId="0" fontId="4" fillId="0" borderId="20" xfId="0" applyFont="1" applyFill="1" applyBorder="1" applyAlignment="1">
      <alignment horizontal="center" wrapText="1"/>
    </xf>
    <xf numFmtId="1" fontId="4" fillId="0" borderId="29" xfId="0" applyNumberFormat="1" applyFont="1" applyFill="1" applyBorder="1" applyAlignment="1">
      <alignment horizontal="center"/>
    </xf>
    <xf numFmtId="0" fontId="3" fillId="0" borderId="18" xfId="0" applyFont="1" applyFill="1" applyBorder="1"/>
    <xf numFmtId="0" fontId="3" fillId="0" borderId="21" xfId="0" applyFont="1" applyFill="1" applyBorder="1" applyAlignment="1">
      <alignment horizontal="left"/>
    </xf>
    <xf numFmtId="0" fontId="11" fillId="0" borderId="9" xfId="0" applyFont="1" applyFill="1" applyBorder="1"/>
    <xf numFmtId="1" fontId="3" fillId="0" borderId="0" xfId="0" applyNumberFormat="1" applyFont="1" applyFill="1" applyBorder="1"/>
    <xf numFmtId="0" fontId="3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0" fontId="11" fillId="0" borderId="6" xfId="0" applyFont="1" applyFill="1" applyBorder="1"/>
    <xf numFmtId="1" fontId="3" fillId="0" borderId="11" xfId="0" applyNumberFormat="1" applyFont="1" applyFill="1" applyBorder="1" applyProtection="1"/>
    <xf numFmtId="164" fontId="3" fillId="0" borderId="5" xfId="0" applyNumberFormat="1" applyFont="1" applyFill="1" applyBorder="1" applyProtection="1"/>
    <xf numFmtId="1" fontId="3" fillId="0" borderId="5" xfId="0" applyNumberFormat="1" applyFont="1" applyFill="1" applyBorder="1" applyProtection="1"/>
    <xf numFmtId="164" fontId="3" fillId="0" borderId="31" xfId="0" applyNumberFormat="1" applyFont="1" applyFill="1" applyBorder="1" applyProtection="1"/>
    <xf numFmtId="0" fontId="3" fillId="0" borderId="27" xfId="0" applyFont="1" applyFill="1" applyBorder="1" applyAlignment="1" applyProtection="1"/>
    <xf numFmtId="0" fontId="0" fillId="0" borderId="9" xfId="0" applyBorder="1"/>
    <xf numFmtId="0" fontId="3" fillId="0" borderId="28" xfId="0" applyFont="1" applyFill="1" applyBorder="1" applyAlignment="1" applyProtection="1">
      <alignment horizontal="left" vertical="top"/>
    </xf>
    <xf numFmtId="0" fontId="3" fillId="0" borderId="28" xfId="0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top" wrapText="1"/>
    </xf>
    <xf numFmtId="1" fontId="3" fillId="0" borderId="24" xfId="0" applyNumberFormat="1" applyFont="1" applyFill="1" applyBorder="1" applyProtection="1"/>
    <xf numFmtId="165" fontId="8" fillId="0" borderId="10" xfId="0" applyNumberFormat="1" applyFont="1" applyFill="1" applyBorder="1" applyProtection="1"/>
    <xf numFmtId="1" fontId="3" fillId="0" borderId="8" xfId="0" applyNumberFormat="1" applyFont="1" applyFill="1" applyBorder="1" applyProtection="1"/>
    <xf numFmtId="0" fontId="11" fillId="0" borderId="13" xfId="0" applyFont="1" applyBorder="1"/>
    <xf numFmtId="1" fontId="3" fillId="0" borderId="3" xfId="0" applyNumberFormat="1" applyFont="1" applyFill="1" applyBorder="1" applyProtection="1"/>
    <xf numFmtId="0" fontId="3" fillId="0" borderId="23" xfId="0" applyFont="1" applyFill="1" applyBorder="1" applyAlignment="1">
      <alignment horizontal="center" wrapText="1"/>
    </xf>
    <xf numFmtId="0" fontId="11" fillId="0" borderId="13" xfId="0" applyFont="1" applyFill="1" applyBorder="1"/>
    <xf numFmtId="0" fontId="11" fillId="0" borderId="23" xfId="0" applyFont="1" applyFill="1" applyBorder="1"/>
    <xf numFmtId="0" fontId="3" fillId="0" borderId="9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11" fillId="0" borderId="14" xfId="0" applyFont="1" applyFill="1" applyBorder="1"/>
    <xf numFmtId="0" fontId="0" fillId="0" borderId="21" xfId="0" applyBorder="1"/>
    <xf numFmtId="165" fontId="8" fillId="0" borderId="10" xfId="0" applyNumberFormat="1" applyFont="1" applyFill="1" applyBorder="1" applyAlignment="1" applyProtection="1">
      <alignment horizontal="left" vertical="top" wrapText="1"/>
    </xf>
    <xf numFmtId="164" fontId="3" fillId="0" borderId="18" xfId="0" applyNumberFormat="1" applyFont="1" applyFill="1" applyBorder="1" applyProtection="1"/>
    <xf numFmtId="165" fontId="5" fillId="0" borderId="0" xfId="0" applyNumberFormat="1" applyFont="1" applyFill="1" applyBorder="1" applyAlignment="1" applyProtection="1">
      <alignment horizontal="left" vertical="top" wrapText="1"/>
    </xf>
    <xf numFmtId="0" fontId="4" fillId="0" borderId="10" xfId="0" applyFont="1" applyFill="1" applyBorder="1" applyProtection="1"/>
    <xf numFmtId="0" fontId="4" fillId="0" borderId="13" xfId="0" applyFont="1" applyFill="1" applyBorder="1" applyAlignment="1" applyProtection="1"/>
    <xf numFmtId="0" fontId="3" fillId="0" borderId="16" xfId="0" applyFont="1" applyFill="1" applyBorder="1" applyAlignment="1" applyProtection="1">
      <alignment horizontal="right" vertical="top" wrapText="1"/>
    </xf>
    <xf numFmtId="0" fontId="3" fillId="0" borderId="14" xfId="0" applyFont="1" applyFill="1" applyBorder="1" applyAlignment="1" applyProtection="1">
      <alignment horizontal="right" vertical="top" wrapText="1"/>
    </xf>
    <xf numFmtId="0" fontId="4" fillId="0" borderId="19" xfId="0" applyFont="1" applyFill="1" applyBorder="1" applyAlignment="1" applyProtection="1"/>
    <xf numFmtId="0" fontId="10" fillId="0" borderId="18" xfId="0" applyFont="1" applyFill="1" applyBorder="1"/>
    <xf numFmtId="0" fontId="4" fillId="2" borderId="8" xfId="0" applyFont="1" applyFill="1" applyBorder="1" applyProtection="1"/>
    <xf numFmtId="165" fontId="5" fillId="2" borderId="11" xfId="0" applyNumberFormat="1" applyFont="1" applyFill="1" applyBorder="1" applyAlignment="1" applyProtection="1">
      <alignment horizontal="left" vertical="top" wrapText="1"/>
    </xf>
    <xf numFmtId="0" fontId="0" fillId="9" borderId="0" xfId="0" applyFill="1"/>
    <xf numFmtId="0" fontId="4" fillId="2" borderId="10" xfId="0" applyFont="1" applyFill="1" applyBorder="1" applyAlignment="1" applyProtection="1">
      <alignment horizontal="right" vertical="top" wrapText="1"/>
    </xf>
    <xf numFmtId="0" fontId="4" fillId="2" borderId="14" xfId="0" applyFont="1" applyFill="1" applyBorder="1" applyAlignment="1" applyProtection="1">
      <alignment horizontal="right" vertical="top" wrapText="1"/>
    </xf>
    <xf numFmtId="165" fontId="4" fillId="2" borderId="5" xfId="0" applyNumberFormat="1" applyFont="1" applyFill="1" applyBorder="1" applyProtection="1"/>
    <xf numFmtId="0" fontId="4" fillId="2" borderId="16" xfId="0" applyFont="1" applyFill="1" applyBorder="1" applyAlignment="1" applyProtection="1">
      <alignment horizontal="right" vertical="top" wrapText="1"/>
    </xf>
    <xf numFmtId="165" fontId="4" fillId="2" borderId="8" xfId="0" applyNumberFormat="1" applyFont="1" applyFill="1" applyBorder="1" applyProtection="1"/>
    <xf numFmtId="165" fontId="8" fillId="2" borderId="8" xfId="0" applyNumberFormat="1" applyFont="1" applyFill="1" applyBorder="1" applyAlignment="1" applyProtection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16" xfId="0" applyFont="1" applyFill="1" applyBorder="1" applyAlignment="1">
      <alignment horizontal="center" wrapText="1"/>
    </xf>
    <xf numFmtId="2" fontId="11" fillId="0" borderId="16" xfId="0" applyNumberFormat="1" applyFont="1" applyFill="1" applyBorder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0" fontId="3" fillId="0" borderId="22" xfId="0" applyFont="1" applyFill="1" applyBorder="1" applyAlignment="1">
      <alignment horizontal="center" wrapText="1"/>
    </xf>
    <xf numFmtId="2" fontId="11" fillId="0" borderId="22" xfId="0" applyNumberFormat="1" applyFont="1" applyFill="1" applyBorder="1" applyAlignment="1">
      <alignment horizontal="center"/>
    </xf>
    <xf numFmtId="0" fontId="0" fillId="0" borderId="34" xfId="0" applyBorder="1"/>
    <xf numFmtId="0" fontId="19" fillId="0" borderId="13" xfId="0" applyFont="1" applyFill="1" applyBorder="1" applyAlignment="1">
      <alignment horizontal="center" vertical="center" wrapText="1"/>
    </xf>
    <xf numFmtId="0" fontId="19" fillId="0" borderId="23" xfId="0" applyFont="1" applyFill="1" applyBorder="1" applyAlignment="1">
      <alignment horizontal="center" vertical="center" wrapText="1"/>
    </xf>
    <xf numFmtId="0" fontId="11" fillId="0" borderId="10" xfId="0" applyFont="1" applyFill="1" applyBorder="1"/>
    <xf numFmtId="0" fontId="11" fillId="0" borderId="16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wrapText="1"/>
    </xf>
    <xf numFmtId="0" fontId="11" fillId="0" borderId="14" xfId="0" applyFont="1" applyFill="1" applyBorder="1" applyAlignment="1">
      <alignment horizontal="center"/>
    </xf>
    <xf numFmtId="2" fontId="11" fillId="0" borderId="13" xfId="0" applyNumberFormat="1" applyFont="1" applyFill="1" applyBorder="1" applyAlignment="1">
      <alignment horizontal="center"/>
    </xf>
    <xf numFmtId="2" fontId="11" fillId="0" borderId="14" xfId="0" applyNumberFormat="1" applyFont="1" applyFill="1" applyBorder="1" applyAlignment="1">
      <alignment horizontal="center"/>
    </xf>
    <xf numFmtId="2" fontId="11" fillId="0" borderId="23" xfId="0" applyNumberFormat="1" applyFont="1" applyFill="1" applyBorder="1" applyAlignment="1">
      <alignment horizontal="center"/>
    </xf>
    <xf numFmtId="0" fontId="11" fillId="0" borderId="16" xfId="0" applyFont="1" applyFill="1" applyBorder="1"/>
    <xf numFmtId="0" fontId="4" fillId="0" borderId="5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2" fontId="11" fillId="0" borderId="9" xfId="0" applyNumberFormat="1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0" fillId="0" borderId="10" xfId="0" applyFill="1" applyBorder="1"/>
    <xf numFmtId="0" fontId="11" fillId="0" borderId="24" xfId="0" applyFont="1" applyBorder="1"/>
    <xf numFmtId="0" fontId="11" fillId="0" borderId="16" xfId="0" applyFont="1" applyFill="1" applyBorder="1" applyAlignment="1">
      <alignment horizontal="left"/>
    </xf>
    <xf numFmtId="0" fontId="3" fillId="0" borderId="16" xfId="0" applyFont="1" applyFill="1" applyBorder="1" applyAlignment="1">
      <alignment horizontal="left"/>
    </xf>
    <xf numFmtId="0" fontId="3" fillId="0" borderId="14" xfId="0" applyFont="1" applyFill="1" applyBorder="1" applyAlignment="1">
      <alignment horizontal="left"/>
    </xf>
    <xf numFmtId="0" fontId="11" fillId="0" borderId="9" xfId="0" applyFont="1" applyFill="1" applyBorder="1" applyAlignment="1">
      <alignment vertical="center"/>
    </xf>
    <xf numFmtId="0" fontId="11" fillId="0" borderId="10" xfId="0" applyFont="1" applyFill="1" applyBorder="1" applyAlignment="1">
      <alignment vertical="center"/>
    </xf>
    <xf numFmtId="0" fontId="0" fillId="0" borderId="24" xfId="0" applyBorder="1"/>
    <xf numFmtId="0" fontId="14" fillId="0" borderId="8" xfId="0" applyFont="1" applyFill="1" applyBorder="1"/>
    <xf numFmtId="0" fontId="11" fillId="0" borderId="0" xfId="0" applyFont="1" applyFill="1" applyBorder="1" applyAlignment="1">
      <alignment horizontal="center"/>
    </xf>
    <xf numFmtId="0" fontId="11" fillId="0" borderId="13" xfId="0" applyFont="1" applyFill="1" applyBorder="1" applyAlignment="1">
      <alignment horizontal="center"/>
    </xf>
    <xf numFmtId="0" fontId="10" fillId="0" borderId="8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1" fillId="0" borderId="35" xfId="0" applyFont="1" applyBorder="1"/>
    <xf numFmtId="0" fontId="4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3" fillId="0" borderId="9" xfId="0" applyFont="1" applyFill="1" applyBorder="1" applyAlignment="1">
      <alignment horizontal="center"/>
    </xf>
    <xf numFmtId="1" fontId="18" fillId="0" borderId="3" xfId="0" applyNumberFormat="1" applyFont="1" applyFill="1" applyBorder="1" applyAlignment="1">
      <alignment horizontal="right" vertical="center"/>
    </xf>
    <xf numFmtId="1" fontId="18" fillId="0" borderId="3" xfId="0" applyNumberFormat="1" applyFont="1" applyFill="1" applyBorder="1"/>
    <xf numFmtId="1" fontId="18" fillId="0" borderId="22" xfId="0" applyNumberFormat="1" applyFont="1" applyFill="1" applyBorder="1" applyAlignment="1">
      <alignment horizontal="right" vertical="center"/>
    </xf>
    <xf numFmtId="0" fontId="18" fillId="0" borderId="18" xfId="0" applyFont="1" applyFill="1" applyBorder="1" applyAlignment="1">
      <alignment horizontal="center" vertical="center" wrapText="1"/>
    </xf>
    <xf numFmtId="0" fontId="18" fillId="0" borderId="21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24" xfId="0" applyFont="1" applyFill="1" applyBorder="1" applyAlignment="1">
      <alignment horizontal="center" vertical="center"/>
    </xf>
    <xf numFmtId="0" fontId="18" fillId="0" borderId="16" xfId="0" applyFont="1" applyFill="1" applyBorder="1" applyAlignment="1">
      <alignment horizontal="left" vertical="center"/>
    </xf>
    <xf numFmtId="0" fontId="18" fillId="0" borderId="22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10" xfId="0" applyFont="1" applyFill="1" applyBorder="1"/>
    <xf numFmtId="0" fontId="18" fillId="0" borderId="16" xfId="0" applyFont="1" applyFill="1" applyBorder="1"/>
    <xf numFmtId="0" fontId="18" fillId="0" borderId="14" xfId="0" applyFont="1" applyFill="1" applyBorder="1"/>
    <xf numFmtId="1" fontId="18" fillId="0" borderId="8" xfId="0" applyNumberFormat="1" applyFont="1" applyFill="1" applyBorder="1"/>
    <xf numFmtId="1" fontId="18" fillId="0" borderId="11" xfId="0" applyNumberFormat="1" applyFont="1" applyFill="1" applyBorder="1"/>
    <xf numFmtId="0" fontId="18" fillId="0" borderId="11" xfId="0" applyFont="1" applyFill="1" applyBorder="1"/>
    <xf numFmtId="0" fontId="18" fillId="0" borderId="13" xfId="0" applyFont="1" applyFill="1" applyBorder="1"/>
    <xf numFmtId="0" fontId="18" fillId="0" borderId="3" xfId="0" applyFont="1" applyFill="1" applyBorder="1"/>
    <xf numFmtId="0" fontId="18" fillId="0" borderId="8" xfId="0" applyFont="1" applyFill="1" applyBorder="1"/>
    <xf numFmtId="0" fontId="18" fillId="0" borderId="9" xfId="0" applyFont="1" applyFill="1" applyBorder="1"/>
    <xf numFmtId="0" fontId="22" fillId="0" borderId="0" xfId="0" applyFont="1" applyFill="1" applyBorder="1"/>
    <xf numFmtId="0" fontId="22" fillId="0" borderId="0" xfId="0" applyFont="1" applyFill="1"/>
    <xf numFmtId="0" fontId="6" fillId="0" borderId="0" xfId="0" applyFont="1" applyFill="1" applyBorder="1" applyAlignment="1">
      <alignment vertical="center"/>
    </xf>
    <xf numFmtId="0" fontId="18" fillId="0" borderId="0" xfId="0" applyFont="1" applyBorder="1"/>
    <xf numFmtId="0" fontId="18" fillId="0" borderId="3" xfId="0" applyFont="1" applyBorder="1"/>
    <xf numFmtId="0" fontId="18" fillId="0" borderId="11" xfId="0" applyFont="1" applyBorder="1"/>
    <xf numFmtId="0" fontId="18" fillId="0" borderId="13" xfId="0" applyFont="1" applyBorder="1"/>
    <xf numFmtId="9" fontId="18" fillId="0" borderId="5" xfId="0" applyNumberFormat="1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10" fontId="0" fillId="0" borderId="0" xfId="0" applyNumberFormat="1"/>
    <xf numFmtId="0" fontId="10" fillId="0" borderId="21" xfId="0" applyFont="1" applyFill="1" applyBorder="1" applyAlignment="1">
      <alignment vertical="center"/>
    </xf>
    <xf numFmtId="0" fontId="4" fillId="0" borderId="18" xfId="0" applyFont="1" applyFill="1" applyBorder="1" applyAlignment="1">
      <alignment vertical="center"/>
    </xf>
    <xf numFmtId="0" fontId="4" fillId="0" borderId="21" xfId="0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right" vertical="center"/>
    </xf>
    <xf numFmtId="0" fontId="0" fillId="0" borderId="0" xfId="0" applyNumberFormat="1"/>
    <xf numFmtId="0" fontId="18" fillId="0" borderId="21" xfId="0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11" fillId="0" borderId="21" xfId="0" applyFont="1" applyBorder="1"/>
    <xf numFmtId="9" fontId="3" fillId="0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left" vertical="center"/>
    </xf>
    <xf numFmtId="1" fontId="3" fillId="0" borderId="0" xfId="0" applyNumberFormat="1" applyFont="1" applyFill="1" applyBorder="1" applyAlignment="1">
      <alignment horizontal="right" vertical="center"/>
    </xf>
    <xf numFmtId="0" fontId="3" fillId="0" borderId="24" xfId="0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right" vertical="center"/>
    </xf>
    <xf numFmtId="0" fontId="3" fillId="0" borderId="16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0" fontId="3" fillId="0" borderId="23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right" vertical="center"/>
    </xf>
    <xf numFmtId="1" fontId="4" fillId="0" borderId="8" xfId="0" applyNumberFormat="1" applyFont="1" applyFill="1" applyBorder="1" applyAlignment="1">
      <alignment horizontal="right" vertical="center"/>
    </xf>
    <xf numFmtId="1" fontId="3" fillId="0" borderId="13" xfId="0" applyNumberFormat="1" applyFont="1" applyFill="1" applyBorder="1" applyAlignment="1">
      <alignment horizontal="right" vertical="center"/>
    </xf>
    <xf numFmtId="1" fontId="3" fillId="0" borderId="9" xfId="0" applyNumberFormat="1" applyFont="1" applyFill="1" applyBorder="1"/>
    <xf numFmtId="1" fontId="3" fillId="0" borderId="8" xfId="0" applyNumberFormat="1" applyFont="1" applyFill="1" applyBorder="1"/>
    <xf numFmtId="0" fontId="3" fillId="0" borderId="13" xfId="0" applyFont="1" applyFill="1" applyBorder="1" applyAlignment="1">
      <alignment horizontal="center"/>
    </xf>
    <xf numFmtId="1" fontId="3" fillId="0" borderId="13" xfId="0" applyNumberFormat="1" applyFont="1" applyFill="1" applyBorder="1"/>
    <xf numFmtId="1" fontId="3" fillId="0" borderId="11" xfId="0" applyNumberFormat="1" applyFont="1" applyFill="1" applyBorder="1"/>
    <xf numFmtId="2" fontId="11" fillId="0" borderId="11" xfId="0" applyNumberFormat="1" applyFont="1" applyBorder="1"/>
    <xf numFmtId="1" fontId="4" fillId="0" borderId="11" xfId="0" applyNumberFormat="1" applyFont="1" applyFill="1" applyBorder="1" applyAlignment="1">
      <alignment horizontal="right" vertical="center"/>
    </xf>
    <xf numFmtId="1" fontId="18" fillId="0" borderId="3" xfId="0" applyNumberFormat="1" applyFont="1" applyBorder="1"/>
    <xf numFmtId="1" fontId="18" fillId="0" borderId="11" xfId="0" applyNumberFormat="1" applyFont="1" applyBorder="1"/>
    <xf numFmtId="0" fontId="11" fillId="0" borderId="0" xfId="0" applyFont="1" applyAlignment="1">
      <alignment horizontal="center" vertical="center"/>
    </xf>
    <xf numFmtId="0" fontId="11" fillId="0" borderId="11" xfId="0" applyFont="1" applyBorder="1"/>
    <xf numFmtId="0" fontId="11" fillId="0" borderId="8" xfId="0" applyFont="1" applyBorder="1"/>
    <xf numFmtId="0" fontId="11" fillId="0" borderId="3" xfId="0" applyFont="1" applyBorder="1"/>
    <xf numFmtId="0" fontId="4" fillId="0" borderId="25" xfId="0" applyFont="1" applyBorder="1"/>
    <xf numFmtId="0" fontId="11" fillId="0" borderId="16" xfId="0" applyFont="1" applyBorder="1"/>
    <xf numFmtId="0" fontId="11" fillId="0" borderId="0" xfId="0" applyFont="1" applyBorder="1"/>
    <xf numFmtId="0" fontId="4" fillId="2" borderId="18" xfId="0" applyFont="1" applyFill="1" applyBorder="1" applyAlignment="1" applyProtection="1">
      <alignment horizontal="right" vertical="top" wrapText="1"/>
    </xf>
    <xf numFmtId="165" fontId="8" fillId="2" borderId="10" xfId="0" applyNumberFormat="1" applyFont="1" applyFill="1" applyBorder="1" applyAlignment="1" applyProtection="1">
      <alignment horizontal="left" vertical="top" wrapText="1"/>
    </xf>
    <xf numFmtId="2" fontId="3" fillId="0" borderId="8" xfId="0" applyNumberFormat="1" applyFont="1" applyFill="1" applyBorder="1" applyAlignment="1" applyProtection="1">
      <alignment horizontal="right"/>
    </xf>
    <xf numFmtId="2" fontId="3" fillId="0" borderId="3" xfId="0" applyNumberFormat="1" applyFont="1" applyFill="1" applyBorder="1" applyAlignment="1" applyProtection="1">
      <alignment horizontal="right"/>
    </xf>
    <xf numFmtId="0" fontId="3" fillId="2" borderId="16" xfId="0" applyFont="1" applyFill="1" applyBorder="1" applyAlignment="1" applyProtection="1">
      <alignment horizontal="left" vertical="top" wrapText="1"/>
    </xf>
    <xf numFmtId="0" fontId="3" fillId="2" borderId="10" xfId="0" applyFont="1" applyFill="1" applyBorder="1" applyAlignment="1" applyProtection="1">
      <alignment horizontal="left" vertical="top" wrapText="1"/>
    </xf>
    <xf numFmtId="0" fontId="4" fillId="0" borderId="9" xfId="0" applyFont="1" applyFill="1" applyBorder="1" applyAlignment="1" applyProtection="1">
      <alignment horizontal="right" vertical="top" wrapText="1"/>
    </xf>
    <xf numFmtId="0" fontId="4" fillId="0" borderId="13" xfId="0" applyFont="1" applyFill="1" applyBorder="1" applyAlignment="1" applyProtection="1">
      <alignment horizontal="left" vertical="top" wrapText="1"/>
    </xf>
    <xf numFmtId="0" fontId="4" fillId="0" borderId="13" xfId="0" applyFont="1" applyFill="1" applyBorder="1" applyAlignment="1" applyProtection="1">
      <alignment horizontal="right" vertical="top" wrapText="1"/>
    </xf>
    <xf numFmtId="165" fontId="5" fillId="2" borderId="10" xfId="0" applyNumberFormat="1" applyFont="1" applyFill="1" applyBorder="1" applyAlignment="1" applyProtection="1">
      <alignment horizontal="left" vertical="center" wrapText="1"/>
    </xf>
    <xf numFmtId="165" fontId="5" fillId="2" borderId="16" xfId="0" applyNumberFormat="1" applyFont="1" applyFill="1" applyBorder="1" applyAlignment="1" applyProtection="1">
      <alignment horizontal="left" vertical="center" wrapText="1"/>
    </xf>
    <xf numFmtId="165" fontId="5" fillId="2" borderId="18" xfId="0" applyNumberFormat="1" applyFont="1" applyFill="1" applyBorder="1" applyAlignment="1" applyProtection="1">
      <alignment horizontal="left" vertical="center" wrapText="1"/>
    </xf>
    <xf numFmtId="165" fontId="5" fillId="2" borderId="0" xfId="0" applyNumberFormat="1" applyFont="1" applyFill="1" applyBorder="1" applyAlignment="1" applyProtection="1">
      <alignment horizontal="left" vertical="center" wrapText="1"/>
    </xf>
    <xf numFmtId="165" fontId="5" fillId="2" borderId="14" xfId="0" applyNumberFormat="1" applyFont="1" applyFill="1" applyBorder="1" applyAlignment="1" applyProtection="1">
      <alignment horizontal="left" vertical="center" wrapText="1"/>
    </xf>
    <xf numFmtId="2" fontId="3" fillId="2" borderId="3" xfId="0" applyNumberFormat="1" applyFont="1" applyFill="1" applyBorder="1" applyAlignment="1" applyProtection="1">
      <alignment horizontal="center" vertical="center"/>
    </xf>
    <xf numFmtId="0" fontId="3" fillId="2" borderId="24" xfId="0" applyFont="1" applyFill="1" applyBorder="1" applyAlignment="1" applyProtection="1">
      <alignment horizontal="center" vertical="center"/>
    </xf>
    <xf numFmtId="0" fontId="3" fillId="2" borderId="23" xfId="0" applyFont="1" applyFill="1" applyBorder="1" applyAlignment="1" applyProtection="1">
      <alignment horizontal="center" vertical="center"/>
    </xf>
    <xf numFmtId="0" fontId="3" fillId="2" borderId="22" xfId="0" applyFont="1" applyFill="1" applyBorder="1" applyAlignment="1" applyProtection="1">
      <alignment horizontal="center" vertical="center"/>
    </xf>
    <xf numFmtId="0" fontId="4" fillId="2" borderId="8" xfId="0" applyFont="1" applyFill="1" applyBorder="1" applyAlignment="1" applyProtection="1">
      <alignment horizontal="left" vertical="center"/>
    </xf>
    <xf numFmtId="0" fontId="4" fillId="2" borderId="3" xfId="0" applyFont="1" applyFill="1" applyBorder="1" applyAlignment="1" applyProtection="1">
      <alignment horizontal="left" vertical="center"/>
    </xf>
    <xf numFmtId="0" fontId="4" fillId="2" borderId="5" xfId="0" applyFont="1" applyFill="1" applyBorder="1" applyAlignment="1" applyProtection="1">
      <alignment horizontal="left" vertical="center"/>
    </xf>
    <xf numFmtId="0" fontId="4" fillId="2" borderId="10" xfId="0" applyFont="1" applyFill="1" applyBorder="1" applyAlignment="1" applyProtection="1">
      <alignment horizontal="left" vertical="center"/>
    </xf>
    <xf numFmtId="0" fontId="4" fillId="2" borderId="16" xfId="0" applyFont="1" applyFill="1" applyBorder="1" applyAlignment="1" applyProtection="1">
      <alignment horizontal="left" vertical="center"/>
    </xf>
    <xf numFmtId="165" fontId="8" fillId="2" borderId="14" xfId="0" applyNumberFormat="1" applyFont="1" applyFill="1" applyBorder="1" applyAlignment="1" applyProtection="1">
      <alignment horizontal="left" vertical="center" wrapText="1"/>
    </xf>
    <xf numFmtId="0" fontId="3" fillId="2" borderId="10" xfId="0" applyFont="1" applyFill="1" applyBorder="1" applyAlignment="1" applyProtection="1">
      <alignment horizontal="left" vertical="center"/>
    </xf>
    <xf numFmtId="0" fontId="3" fillId="2" borderId="16" xfId="0" applyFont="1" applyFill="1" applyBorder="1" applyAlignment="1" applyProtection="1">
      <alignment horizontal="left" vertical="center"/>
    </xf>
    <xf numFmtId="0" fontId="4" fillId="2" borderId="14" xfId="0" applyFont="1" applyFill="1" applyBorder="1" applyAlignment="1" applyProtection="1">
      <alignment horizontal="left" vertical="center"/>
    </xf>
    <xf numFmtId="0" fontId="3" fillId="2" borderId="14" xfId="0" applyFont="1" applyFill="1" applyBorder="1" applyAlignment="1" applyProtection="1">
      <alignment horizontal="left" vertical="center"/>
    </xf>
    <xf numFmtId="0" fontId="4" fillId="2" borderId="23" xfId="0" applyFont="1" applyFill="1" applyBorder="1" applyAlignment="1" applyProtection="1">
      <alignment horizontal="center" vertical="center"/>
    </xf>
    <xf numFmtId="165" fontId="5" fillId="8" borderId="8" xfId="0" applyNumberFormat="1" applyFont="1" applyFill="1" applyBorder="1" applyAlignment="1" applyProtection="1">
      <alignment horizontal="center" vertical="center" wrapText="1"/>
    </xf>
    <xf numFmtId="165" fontId="5" fillId="8" borderId="11" xfId="0" applyNumberFormat="1" applyFont="1" applyFill="1" applyBorder="1" applyAlignment="1" applyProtection="1">
      <alignment horizontal="center" vertical="center" wrapText="1"/>
    </xf>
    <xf numFmtId="165" fontId="5" fillId="8" borderId="3" xfId="0" applyNumberFormat="1" applyFont="1" applyFill="1" applyBorder="1" applyAlignment="1" applyProtection="1">
      <alignment horizontal="center" vertical="center" wrapText="1"/>
    </xf>
    <xf numFmtId="165" fontId="5" fillId="0" borderId="3" xfId="0" applyNumberFormat="1" applyFont="1" applyFill="1" applyBorder="1" applyAlignment="1" applyProtection="1">
      <alignment horizontal="center" vertical="center" wrapText="1"/>
    </xf>
    <xf numFmtId="165" fontId="5" fillId="0" borderId="11" xfId="0" applyNumberFormat="1" applyFont="1" applyFill="1" applyBorder="1" applyAlignment="1" applyProtection="1">
      <alignment horizontal="center" vertical="center" wrapText="1"/>
    </xf>
    <xf numFmtId="165" fontId="5" fillId="8" borderId="24" xfId="0" applyNumberFormat="1" applyFont="1" applyFill="1" applyBorder="1" applyAlignment="1" applyProtection="1">
      <alignment horizontal="center" vertical="center" wrapText="1"/>
    </xf>
    <xf numFmtId="165" fontId="5" fillId="8" borderId="22" xfId="0" applyNumberFormat="1" applyFont="1" applyFill="1" applyBorder="1" applyAlignment="1" applyProtection="1">
      <alignment horizontal="center" vertical="center" wrapText="1"/>
    </xf>
    <xf numFmtId="165" fontId="5" fillId="0" borderId="22" xfId="0" applyNumberFormat="1" applyFont="1" applyFill="1" applyBorder="1" applyAlignment="1" applyProtection="1">
      <alignment horizontal="center" vertical="center" wrapText="1"/>
    </xf>
    <xf numFmtId="165" fontId="8" fillId="8" borderId="23" xfId="0" applyNumberFormat="1" applyFont="1" applyFill="1" applyBorder="1" applyAlignment="1" applyProtection="1">
      <alignment horizontal="center" vertical="center" wrapText="1"/>
    </xf>
    <xf numFmtId="2" fontId="3" fillId="8" borderId="8" xfId="0" applyNumberFormat="1" applyFont="1" applyFill="1" applyBorder="1" applyAlignment="1" applyProtection="1">
      <alignment horizontal="center" vertical="center"/>
    </xf>
    <xf numFmtId="2" fontId="3" fillId="8" borderId="3" xfId="0" applyNumberFormat="1" applyFont="1" applyFill="1" applyBorder="1" applyAlignment="1" applyProtection="1">
      <alignment horizontal="center" vertical="center"/>
    </xf>
    <xf numFmtId="2" fontId="3" fillId="0" borderId="3" xfId="0" applyNumberFormat="1" applyFont="1" applyFill="1" applyBorder="1" applyAlignment="1" applyProtection="1">
      <alignment horizontal="center" vertical="center"/>
    </xf>
    <xf numFmtId="2" fontId="4" fillId="8" borderId="11" xfId="0" applyNumberFormat="1" applyFont="1" applyFill="1" applyBorder="1" applyAlignment="1" applyProtection="1">
      <alignment horizontal="center" vertical="center"/>
    </xf>
    <xf numFmtId="165" fontId="5" fillId="8" borderId="23" xfId="0" applyNumberFormat="1" applyFont="1" applyFill="1" applyBorder="1" applyAlignment="1" applyProtection="1">
      <alignment horizontal="center" vertical="center" wrapText="1"/>
    </xf>
    <xf numFmtId="165" fontId="8" fillId="8" borderId="11" xfId="0" applyNumberFormat="1" applyFont="1" applyFill="1" applyBorder="1" applyAlignment="1" applyProtection="1">
      <alignment horizontal="center" vertical="center" wrapText="1"/>
    </xf>
    <xf numFmtId="165" fontId="8" fillId="8" borderId="3" xfId="0" applyNumberFormat="1" applyFont="1" applyFill="1" applyBorder="1" applyAlignment="1" applyProtection="1">
      <alignment horizontal="center" vertical="center" wrapText="1"/>
    </xf>
    <xf numFmtId="0" fontId="4" fillId="2" borderId="22" xfId="0" applyFont="1" applyFill="1" applyBorder="1" applyAlignment="1" applyProtection="1"/>
    <xf numFmtId="0" fontId="4" fillId="2" borderId="23" xfId="0" applyFont="1" applyFill="1" applyBorder="1" applyAlignment="1" applyProtection="1"/>
    <xf numFmtId="0" fontId="14" fillId="0" borderId="33" xfId="0" applyFont="1" applyBorder="1"/>
    <xf numFmtId="0" fontId="14" fillId="0" borderId="35" xfId="0" applyFont="1" applyBorder="1"/>
    <xf numFmtId="9" fontId="11" fillId="0" borderId="0" xfId="0" applyNumberFormat="1" applyFont="1"/>
    <xf numFmtId="0" fontId="4" fillId="2" borderId="18" xfId="0" applyFont="1" applyFill="1" applyBorder="1" applyAlignment="1" applyProtection="1">
      <alignment horizontal="right" vertical="center" wrapText="1"/>
    </xf>
    <xf numFmtId="0" fontId="3" fillId="2" borderId="21" xfId="0" applyFont="1" applyFill="1" applyBorder="1" applyAlignment="1" applyProtection="1">
      <alignment vertical="center"/>
    </xf>
    <xf numFmtId="165" fontId="8" fillId="2" borderId="18" xfId="0" applyNumberFormat="1" applyFont="1" applyFill="1" applyBorder="1" applyAlignment="1" applyProtection="1">
      <alignment horizontal="right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11" fillId="0" borderId="5" xfId="0" applyFont="1" applyBorder="1" applyAlignment="1">
      <alignment horizontal="center" vertical="top" wrapText="1"/>
    </xf>
    <xf numFmtId="0" fontId="11" fillId="0" borderId="5" xfId="0" applyFont="1" applyBorder="1" applyAlignment="1">
      <alignment vertical="top" wrapText="1"/>
    </xf>
    <xf numFmtId="9" fontId="11" fillId="0" borderId="5" xfId="0" applyNumberFormat="1" applyFont="1" applyBorder="1"/>
    <xf numFmtId="0" fontId="11" fillId="11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2" fontId="3" fillId="0" borderId="13" xfId="0" applyNumberFormat="1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0" fillId="0" borderId="0" xfId="0" applyProtection="1"/>
    <xf numFmtId="0" fontId="11" fillId="0" borderId="0" xfId="0" applyFont="1" applyProtection="1"/>
    <xf numFmtId="0" fontId="14" fillId="0" borderId="0" xfId="0" applyFont="1" applyProtection="1"/>
    <xf numFmtId="0" fontId="11" fillId="0" borderId="16" xfId="0" applyFont="1" applyBorder="1" applyAlignment="1" applyProtection="1">
      <alignment horizontal="left" vertical="center"/>
    </xf>
    <xf numFmtId="0" fontId="11" fillId="0" borderId="16" xfId="0" applyFont="1" applyBorder="1" applyProtection="1"/>
    <xf numFmtId="0" fontId="11" fillId="0" borderId="0" xfId="0" applyFont="1" applyAlignment="1" applyProtection="1">
      <alignment horizontal="left" vertical="center"/>
    </xf>
    <xf numFmtId="0" fontId="11" fillId="0" borderId="3" xfId="0" applyFont="1" applyBorder="1" applyAlignment="1" applyProtection="1">
      <alignment horizontal="left" vertical="center"/>
    </xf>
    <xf numFmtId="0" fontId="3" fillId="0" borderId="16" xfId="1" applyFont="1" applyBorder="1" applyProtection="1"/>
    <xf numFmtId="0" fontId="0" fillId="0" borderId="16" xfId="0" applyBorder="1" applyProtection="1"/>
    <xf numFmtId="0" fontId="0" fillId="0" borderId="13" xfId="0" applyBorder="1" applyProtection="1"/>
    <xf numFmtId="0" fontId="14" fillId="0" borderId="13" xfId="0" applyFont="1" applyBorder="1" applyProtection="1"/>
    <xf numFmtId="0" fontId="14" fillId="0" borderId="0" xfId="0" applyFont="1" applyBorder="1" applyAlignment="1" applyProtection="1">
      <alignment horizontal="left" vertical="center"/>
    </xf>
    <xf numFmtId="1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3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3" fillId="0" borderId="16" xfId="0" applyFont="1" applyFill="1" applyBorder="1" applyAlignment="1" applyProtection="1">
      <alignment vertical="center"/>
    </xf>
    <xf numFmtId="164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2" fontId="3" fillId="11" borderId="5" xfId="0" applyNumberFormat="1" applyFont="1" applyFill="1" applyBorder="1" applyAlignment="1" applyProtection="1">
      <alignment vertical="center"/>
      <protection locked="0"/>
    </xf>
    <xf numFmtId="0" fontId="3" fillId="0" borderId="5" xfId="0" applyFont="1" applyFill="1" applyBorder="1" applyAlignment="1" applyProtection="1">
      <alignment horizontal="left" vertical="center"/>
    </xf>
    <xf numFmtId="0" fontId="3" fillId="0" borderId="18" xfId="0" applyFont="1" applyFill="1" applyBorder="1" applyAlignment="1" applyProtection="1">
      <alignment vertical="center"/>
    </xf>
    <xf numFmtId="2" fontId="3" fillId="0" borderId="0" xfId="0" applyNumberFormat="1" applyFont="1" applyFill="1" applyBorder="1" applyAlignment="1" applyProtection="1">
      <alignment vertical="center"/>
    </xf>
    <xf numFmtId="0" fontId="3" fillId="0" borderId="11" xfId="0" applyFont="1" applyFill="1" applyBorder="1" applyAlignment="1" applyProtection="1">
      <alignment horizontal="right" vertical="center"/>
    </xf>
    <xf numFmtId="0" fontId="0" fillId="0" borderId="0" xfId="0" applyAlignment="1" applyProtection="1">
      <alignment vertical="center"/>
    </xf>
    <xf numFmtId="0" fontId="23" fillId="0" borderId="0" xfId="0" applyFont="1" applyFill="1" applyBorder="1" applyAlignment="1" applyProtection="1">
      <alignment vertical="center"/>
    </xf>
    <xf numFmtId="167" fontId="3" fillId="11" borderId="3" xfId="0" applyNumberFormat="1" applyFont="1" applyFill="1" applyBorder="1" applyAlignment="1" applyProtection="1">
      <alignment vertical="center"/>
      <protection locked="0"/>
    </xf>
    <xf numFmtId="0" fontId="3" fillId="0" borderId="3" xfId="0" applyFont="1" applyFill="1" applyBorder="1" applyAlignment="1" applyProtection="1">
      <alignment horizontal="right" vertical="center"/>
    </xf>
    <xf numFmtId="2" fontId="23" fillId="0" borderId="0" xfId="0" applyNumberFormat="1" applyFont="1" applyFill="1" applyBorder="1" applyAlignment="1" applyProtection="1">
      <alignment vertical="center"/>
    </xf>
    <xf numFmtId="167" fontId="3" fillId="11" borderId="8" xfId="0" applyNumberFormat="1" applyFont="1" applyFill="1" applyBorder="1" applyAlignment="1" applyProtection="1">
      <alignment vertical="center"/>
      <protection locked="0"/>
    </xf>
    <xf numFmtId="0" fontId="3" fillId="0" borderId="8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right" vertical="center"/>
    </xf>
    <xf numFmtId="0" fontId="3" fillId="0" borderId="21" xfId="0" applyFont="1" applyFill="1" applyBorder="1" applyAlignment="1" applyProtection="1">
      <alignment horizontal="left" vertical="center"/>
    </xf>
    <xf numFmtId="165" fontId="3" fillId="0" borderId="5" xfId="0" applyNumberFormat="1" applyFont="1" applyFill="1" applyBorder="1" applyAlignment="1" applyProtection="1">
      <alignment horizontal="left" vertical="center" wrapText="1"/>
    </xf>
    <xf numFmtId="2" fontId="3" fillId="0" borderId="9" xfId="0" applyNumberFormat="1" applyFont="1" applyFill="1" applyBorder="1" applyAlignment="1" applyProtection="1">
      <alignment vertical="center"/>
    </xf>
    <xf numFmtId="2" fontId="3" fillId="0" borderId="10" xfId="0" applyNumberFormat="1" applyFont="1" applyFill="1" applyBorder="1" applyAlignment="1" applyProtection="1">
      <alignment vertical="center"/>
    </xf>
    <xf numFmtId="0" fontId="3" fillId="0" borderId="23" xfId="0" applyFont="1" applyFill="1" applyBorder="1" applyAlignment="1" applyProtection="1">
      <alignment vertical="center"/>
    </xf>
    <xf numFmtId="0" fontId="3" fillId="0" borderId="13" xfId="0" applyFont="1" applyFill="1" applyBorder="1" applyAlignment="1" applyProtection="1">
      <alignment vertical="center"/>
    </xf>
    <xf numFmtId="0" fontId="0" fillId="0" borderId="9" xfId="0" applyBorder="1" applyProtection="1"/>
    <xf numFmtId="0" fontId="3" fillId="0" borderId="9" xfId="0" applyFont="1" applyFill="1" applyBorder="1" applyAlignment="1" applyProtection="1">
      <alignment vertical="center"/>
    </xf>
    <xf numFmtId="0" fontId="3" fillId="0" borderId="10" xfId="0" applyFont="1" applyFill="1" applyBorder="1" applyAlignment="1" applyProtection="1">
      <alignment vertical="center"/>
    </xf>
    <xf numFmtId="164" fontId="3" fillId="11" borderId="18" xfId="0" applyNumberFormat="1" applyFont="1" applyFill="1" applyBorder="1" applyAlignment="1" applyProtection="1">
      <alignment vertical="center"/>
      <protection locked="0"/>
    </xf>
    <xf numFmtId="0" fontId="3" fillId="0" borderId="18" xfId="0" applyFont="1" applyFill="1" applyBorder="1" applyAlignment="1" applyProtection="1">
      <alignment horizontal="left" vertical="center"/>
    </xf>
    <xf numFmtId="164" fontId="3" fillId="0" borderId="0" xfId="0" applyNumberFormat="1" applyFont="1" applyFill="1" applyBorder="1" applyAlignment="1" applyProtection="1">
      <alignment vertical="center"/>
    </xf>
    <xf numFmtId="0" fontId="4" fillId="0" borderId="25" xfId="0" applyFont="1" applyBorder="1" applyAlignment="1" applyProtection="1">
      <alignment vertical="center"/>
    </xf>
    <xf numFmtId="0" fontId="11" fillId="0" borderId="0" xfId="0" applyFont="1" applyFill="1" applyBorder="1" applyProtection="1"/>
    <xf numFmtId="0" fontId="11" fillId="0" borderId="16" xfId="0" applyFont="1" applyFill="1" applyBorder="1" applyProtection="1"/>
    <xf numFmtId="0" fontId="11" fillId="0" borderId="3" xfId="0" applyFont="1" applyBorder="1" applyProtection="1"/>
    <xf numFmtId="0" fontId="4" fillId="0" borderId="25" xfId="0" applyFont="1" applyBorder="1" applyProtection="1"/>
    <xf numFmtId="0" fontId="2" fillId="0" borderId="0" xfId="0" applyFont="1" applyBorder="1" applyProtection="1"/>
    <xf numFmtId="0" fontId="3" fillId="0" borderId="0" xfId="0" applyFont="1" applyFill="1" applyBorder="1" applyAlignment="1" applyProtection="1">
      <alignment wrapText="1"/>
    </xf>
    <xf numFmtId="2" fontId="3" fillId="0" borderId="0" xfId="0" applyNumberFormat="1" applyFont="1" applyFill="1" applyBorder="1" applyProtection="1"/>
    <xf numFmtId="0" fontId="3" fillId="0" borderId="5" xfId="0" applyFont="1" applyFill="1" applyBorder="1" applyAlignment="1" applyProtection="1">
      <alignment horizontal="right"/>
    </xf>
    <xf numFmtId="0" fontId="0" fillId="0" borderId="0" xfId="0" applyFont="1" applyFill="1" applyBorder="1" applyProtection="1"/>
    <xf numFmtId="0" fontId="0" fillId="0" borderId="13" xfId="0" applyFont="1" applyFill="1" applyBorder="1" applyProtection="1"/>
    <xf numFmtId="0" fontId="3" fillId="0" borderId="13" xfId="0" applyFont="1" applyFill="1" applyBorder="1" applyProtection="1"/>
    <xf numFmtId="0" fontId="3" fillId="0" borderId="29" xfId="0" applyFont="1" applyFill="1" applyBorder="1" applyProtection="1"/>
    <xf numFmtId="0" fontId="4" fillId="0" borderId="6" xfId="0" applyFont="1" applyFill="1" applyBorder="1" applyProtection="1"/>
    <xf numFmtId="0" fontId="3" fillId="0" borderId="6" xfId="0" applyFont="1" applyFill="1" applyBorder="1" applyProtection="1"/>
    <xf numFmtId="0" fontId="4" fillId="0" borderId="18" xfId="0" applyFont="1" applyFill="1" applyBorder="1" applyProtection="1"/>
    <xf numFmtId="0" fontId="3" fillId="0" borderId="21" xfId="0" applyFont="1" applyFill="1" applyBorder="1" applyProtection="1"/>
    <xf numFmtId="0" fontId="0" fillId="0" borderId="10" xfId="0" applyBorder="1" applyProtection="1"/>
    <xf numFmtId="0" fontId="3" fillId="0" borderId="0" xfId="0" applyFont="1" applyFill="1" applyBorder="1" applyProtection="1"/>
    <xf numFmtId="0" fontId="3" fillId="0" borderId="2" xfId="0" applyFont="1" applyFill="1" applyBorder="1" applyProtection="1"/>
    <xf numFmtId="2" fontId="3" fillId="0" borderId="26" xfId="0" applyNumberFormat="1" applyFont="1" applyFill="1" applyBorder="1" applyAlignment="1" applyProtection="1">
      <alignment horizontal="left"/>
    </xf>
    <xf numFmtId="2" fontId="3" fillId="0" borderId="9" xfId="0" applyNumberFormat="1" applyFont="1" applyFill="1" applyBorder="1" applyAlignment="1" applyProtection="1">
      <alignment horizontal="left"/>
    </xf>
    <xf numFmtId="0" fontId="4" fillId="0" borderId="16" xfId="0" applyFont="1" applyFill="1" applyBorder="1" applyAlignment="1" applyProtection="1">
      <alignment horizontal="left"/>
    </xf>
    <xf numFmtId="2" fontId="3" fillId="0" borderId="2" xfId="0" applyNumberFormat="1" applyFont="1" applyFill="1" applyBorder="1" applyAlignment="1" applyProtection="1">
      <alignment horizontal="left"/>
    </xf>
    <xf numFmtId="2" fontId="3" fillId="0" borderId="0" xfId="0" applyNumberFormat="1" applyFont="1" applyFill="1" applyBorder="1" applyAlignment="1" applyProtection="1">
      <alignment horizontal="left"/>
    </xf>
    <xf numFmtId="0" fontId="0" fillId="0" borderId="0" xfId="0" applyFont="1" applyFill="1" applyProtection="1"/>
    <xf numFmtId="0" fontId="3" fillId="0" borderId="20" xfId="0" applyFont="1" applyFill="1" applyBorder="1" applyProtection="1"/>
    <xf numFmtId="2" fontId="3" fillId="0" borderId="20" xfId="0" applyNumberFormat="1" applyFont="1" applyFill="1" applyBorder="1" applyAlignment="1" applyProtection="1">
      <alignment horizontal="left"/>
    </xf>
    <xf numFmtId="2" fontId="3" fillId="0" borderId="13" xfId="0" applyNumberFormat="1" applyFont="1" applyFill="1" applyBorder="1" applyAlignment="1" applyProtection="1">
      <alignment horizontal="left"/>
    </xf>
    <xf numFmtId="0" fontId="0" fillId="0" borderId="14" xfId="0" applyBorder="1" applyProtection="1"/>
    <xf numFmtId="0" fontId="4" fillId="0" borderId="5" xfId="0" applyFont="1" applyFill="1" applyBorder="1" applyAlignment="1" applyProtection="1">
      <alignment horizontal="center" wrapText="1"/>
    </xf>
    <xf numFmtId="0" fontId="4" fillId="0" borderId="18" xfId="0" applyFont="1" applyFill="1" applyBorder="1" applyAlignment="1" applyProtection="1">
      <alignment horizontal="center" vertical="center" wrapText="1"/>
    </xf>
    <xf numFmtId="0" fontId="4" fillId="0" borderId="20" xfId="0" applyFont="1" applyFill="1" applyBorder="1" applyAlignment="1" applyProtection="1">
      <alignment horizontal="center" wrapText="1"/>
    </xf>
    <xf numFmtId="0" fontId="4" fillId="0" borderId="13" xfId="0" applyFont="1" applyFill="1" applyBorder="1" applyAlignment="1" applyProtection="1">
      <alignment wrapText="1"/>
    </xf>
    <xf numFmtId="0" fontId="4" fillId="0" borderId="23" xfId="0" applyFont="1" applyFill="1" applyBorder="1" applyAlignment="1" applyProtection="1">
      <alignment wrapText="1"/>
    </xf>
    <xf numFmtId="0" fontId="4" fillId="0" borderId="20" xfId="0" applyFont="1" applyFill="1" applyBorder="1" applyAlignment="1" applyProtection="1">
      <alignment wrapText="1"/>
    </xf>
    <xf numFmtId="0" fontId="4" fillId="0" borderId="14" xfId="0" applyFont="1" applyFill="1" applyBorder="1" applyAlignment="1" applyProtection="1">
      <alignment wrapText="1"/>
    </xf>
    <xf numFmtId="0" fontId="4" fillId="0" borderId="6" xfId="0" applyFont="1" applyFill="1" applyBorder="1" applyAlignment="1" applyProtection="1">
      <alignment horizont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2" fontId="3" fillId="3" borderId="3" xfId="0" applyNumberFormat="1" applyFont="1" applyFill="1" applyBorder="1" applyAlignment="1" applyProtection="1">
      <alignment horizontal="center"/>
    </xf>
    <xf numFmtId="2" fontId="3" fillId="3" borderId="16" xfId="0" applyNumberFormat="1" applyFont="1" applyFill="1" applyBorder="1" applyAlignment="1" applyProtection="1">
      <alignment horizontal="center"/>
    </xf>
    <xf numFmtId="1" fontId="3" fillId="0" borderId="2" xfId="0" applyNumberFormat="1" applyFont="1" applyFill="1" applyBorder="1" applyAlignment="1" applyProtection="1">
      <alignment horizontal="center"/>
    </xf>
    <xf numFmtId="0" fontId="3" fillId="0" borderId="22" xfId="0" applyFont="1" applyFill="1" applyBorder="1" applyProtection="1"/>
    <xf numFmtId="0" fontId="3" fillId="0" borderId="0" xfId="0" applyFont="1" applyFill="1" applyProtection="1"/>
    <xf numFmtId="0" fontId="3" fillId="3" borderId="0" xfId="0" applyFont="1" applyFill="1" applyBorder="1" applyProtection="1"/>
    <xf numFmtId="2" fontId="3" fillId="0" borderId="22" xfId="0" applyNumberFormat="1" applyFont="1" applyFill="1" applyBorder="1" applyProtection="1"/>
    <xf numFmtId="1" fontId="3" fillId="3" borderId="0" xfId="0" applyNumberFormat="1" applyFont="1" applyFill="1" applyBorder="1" applyProtection="1"/>
    <xf numFmtId="0" fontId="0" fillId="0" borderId="0" xfId="0" applyBorder="1" applyProtection="1"/>
    <xf numFmtId="2" fontId="3" fillId="3" borderId="0" xfId="0" applyNumberFormat="1" applyFont="1" applyFill="1" applyBorder="1" applyAlignment="1" applyProtection="1">
      <alignment horizontal="center"/>
    </xf>
    <xf numFmtId="2" fontId="3" fillId="3" borderId="11" xfId="0" applyNumberFormat="1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9" xfId="0" applyFont="1" applyFill="1" applyBorder="1" applyAlignment="1" applyProtection="1">
      <alignment horizontal="center"/>
    </xf>
    <xf numFmtId="0" fontId="4" fillId="0" borderId="21" xfId="0" applyFont="1" applyFill="1" applyBorder="1" applyProtection="1"/>
    <xf numFmtId="2" fontId="4" fillId="0" borderId="6" xfId="0" applyNumberFormat="1" applyFont="1" applyFill="1" applyBorder="1" applyProtection="1"/>
    <xf numFmtId="1" fontId="4" fillId="0" borderId="29" xfId="0" applyNumberFormat="1" applyFont="1" applyFill="1" applyBorder="1" applyAlignment="1" applyProtection="1">
      <alignment horizontal="center"/>
    </xf>
    <xf numFmtId="2" fontId="4" fillId="0" borderId="21" xfId="0" applyNumberFormat="1" applyFont="1" applyFill="1" applyBorder="1" applyProtection="1"/>
    <xf numFmtId="0" fontId="4" fillId="0" borderId="14" xfId="0" applyFont="1" applyFill="1" applyBorder="1" applyProtection="1"/>
    <xf numFmtId="0" fontId="3" fillId="0" borderId="9" xfId="0" applyFont="1" applyFill="1" applyBorder="1" applyProtection="1"/>
    <xf numFmtId="0" fontId="3" fillId="0" borderId="24" xfId="0" applyFont="1" applyFill="1" applyBorder="1" applyProtection="1"/>
    <xf numFmtId="2" fontId="3" fillId="3" borderId="14" xfId="0" applyNumberFormat="1" applyFont="1" applyFill="1" applyBorder="1" applyAlignment="1" applyProtection="1">
      <alignment horizontal="center"/>
    </xf>
    <xf numFmtId="1" fontId="3" fillId="0" borderId="20" xfId="0" applyNumberFormat="1" applyFont="1" applyFill="1" applyBorder="1" applyAlignment="1" applyProtection="1">
      <alignment horizontal="center"/>
    </xf>
    <xf numFmtId="0" fontId="3" fillId="0" borderId="23" xfId="0" applyFont="1" applyFill="1" applyBorder="1" applyProtection="1"/>
    <xf numFmtId="2" fontId="4" fillId="0" borderId="18" xfId="0" applyNumberFormat="1" applyFont="1" applyFill="1" applyBorder="1" applyProtection="1"/>
    <xf numFmtId="2" fontId="3" fillId="0" borderId="6" xfId="0" applyNumberFormat="1" applyFont="1" applyFill="1" applyBorder="1" applyAlignment="1" applyProtection="1">
      <alignment horizontal="center"/>
    </xf>
    <xf numFmtId="0" fontId="3" fillId="0" borderId="10" xfId="0" applyFont="1" applyFill="1" applyBorder="1" applyProtection="1"/>
    <xf numFmtId="2" fontId="3" fillId="0" borderId="2" xfId="0" applyNumberFormat="1" applyFont="1" applyFill="1" applyBorder="1" applyAlignment="1" applyProtection="1">
      <alignment horizontal="center"/>
    </xf>
    <xf numFmtId="2" fontId="3" fillId="0" borderId="20" xfId="0" applyNumberFormat="1" applyFont="1" applyFill="1" applyBorder="1" applyAlignment="1" applyProtection="1">
      <alignment horizontal="center"/>
    </xf>
    <xf numFmtId="2" fontId="3" fillId="0" borderId="29" xfId="0" applyNumberFormat="1" applyFont="1" applyFill="1" applyBorder="1" applyAlignment="1" applyProtection="1">
      <alignment horizontal="center"/>
    </xf>
    <xf numFmtId="2" fontId="3" fillId="0" borderId="9" xfId="0" applyNumberFormat="1" applyFont="1" applyFill="1" applyBorder="1" applyAlignment="1" applyProtection="1">
      <alignment horizontal="center"/>
    </xf>
    <xf numFmtId="2" fontId="3" fillId="0" borderId="0" xfId="0" applyNumberFormat="1" applyFont="1" applyFill="1" applyBorder="1" applyAlignment="1" applyProtection="1">
      <alignment horizontal="center"/>
    </xf>
    <xf numFmtId="0" fontId="3" fillId="3" borderId="3" xfId="0" applyFont="1" applyFill="1" applyBorder="1" applyAlignment="1" applyProtection="1">
      <alignment horizontal="center"/>
    </xf>
    <xf numFmtId="0" fontId="3" fillId="3" borderId="16" xfId="0" applyFont="1" applyFill="1" applyBorder="1" applyAlignment="1" applyProtection="1">
      <alignment horizontal="center"/>
    </xf>
    <xf numFmtId="0" fontId="3" fillId="0" borderId="2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0" fillId="0" borderId="22" xfId="0" applyFill="1" applyBorder="1" applyProtection="1"/>
    <xf numFmtId="0" fontId="0" fillId="0" borderId="0" xfId="0" applyFill="1" applyProtection="1"/>
    <xf numFmtId="1" fontId="0" fillId="0" borderId="2" xfId="0" applyNumberFormat="1" applyFill="1" applyBorder="1" applyAlignment="1" applyProtection="1">
      <alignment horizontal="center"/>
    </xf>
    <xf numFmtId="0" fontId="0" fillId="0" borderId="16" xfId="0" applyFill="1" applyBorder="1" applyProtection="1"/>
    <xf numFmtId="2" fontId="3" fillId="3" borderId="10" xfId="0" applyNumberFormat="1" applyFont="1" applyFill="1" applyBorder="1" applyAlignment="1" applyProtection="1">
      <alignment horizontal="center"/>
    </xf>
    <xf numFmtId="1" fontId="3" fillId="6" borderId="0" xfId="0" applyNumberFormat="1" applyFont="1" applyFill="1" applyBorder="1" applyProtection="1"/>
    <xf numFmtId="1" fontId="3" fillId="6" borderId="9" xfId="0" applyNumberFormat="1" applyFont="1" applyFill="1" applyBorder="1" applyProtection="1"/>
    <xf numFmtId="2" fontId="3" fillId="3" borderId="22" xfId="0" applyNumberFormat="1" applyFont="1" applyFill="1" applyBorder="1" applyAlignment="1" applyProtection="1">
      <alignment horizontal="center"/>
    </xf>
    <xf numFmtId="0" fontId="3" fillId="3" borderId="13" xfId="0" applyFont="1" applyFill="1" applyBorder="1" applyProtection="1"/>
    <xf numFmtId="2" fontId="3" fillId="5" borderId="3" xfId="0" applyNumberFormat="1" applyFont="1" applyFill="1" applyBorder="1" applyAlignment="1" applyProtection="1">
      <alignment horizontal="center"/>
    </xf>
    <xf numFmtId="2" fontId="3" fillId="5" borderId="16" xfId="0" applyNumberFormat="1" applyFont="1" applyFill="1" applyBorder="1" applyAlignment="1" applyProtection="1">
      <alignment horizontal="center"/>
    </xf>
    <xf numFmtId="0" fontId="3" fillId="0" borderId="9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Protection="1"/>
    <xf numFmtId="0" fontId="4" fillId="0" borderId="22" xfId="0" applyFont="1" applyFill="1" applyBorder="1" applyProtection="1"/>
    <xf numFmtId="0" fontId="4" fillId="0" borderId="24" xfId="0" applyFont="1" applyFill="1" applyBorder="1" applyProtection="1"/>
    <xf numFmtId="1" fontId="4" fillId="0" borderId="2" xfId="0" applyNumberFormat="1" applyFont="1" applyFill="1" applyBorder="1" applyAlignment="1" applyProtection="1">
      <alignment horizontal="center"/>
    </xf>
    <xf numFmtId="0" fontId="4" fillId="0" borderId="23" xfId="0" applyFont="1" applyFill="1" applyBorder="1" applyProtection="1"/>
    <xf numFmtId="164" fontId="3" fillId="6" borderId="13" xfId="0" applyNumberFormat="1" applyFont="1" applyFill="1" applyBorder="1" applyProtection="1"/>
    <xf numFmtId="0" fontId="1" fillId="0" borderId="0" xfId="0" applyFont="1" applyProtection="1"/>
    <xf numFmtId="166" fontId="5" fillId="0" borderId="0" xfId="0" applyNumberFormat="1" applyFont="1" applyFill="1" applyBorder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165" fontId="3" fillId="0" borderId="3" xfId="0" applyNumberFormat="1" applyFont="1" applyFill="1" applyBorder="1" applyProtection="1"/>
    <xf numFmtId="0" fontId="13" fillId="0" borderId="0" xfId="0" applyFont="1" applyProtection="1"/>
    <xf numFmtId="0" fontId="11" fillId="0" borderId="18" xfId="0" applyFont="1" applyBorder="1" applyProtection="1"/>
    <xf numFmtId="0" fontId="11" fillId="0" borderId="6" xfId="0" applyFont="1" applyBorder="1" applyProtection="1"/>
    <xf numFmtId="165" fontId="14" fillId="0" borderId="5" xfId="0" applyNumberFormat="1" applyFont="1" applyBorder="1" applyProtection="1"/>
    <xf numFmtId="165" fontId="14" fillId="0" borderId="21" xfId="0" applyNumberFormat="1" applyFont="1" applyBorder="1" applyProtection="1"/>
    <xf numFmtId="0" fontId="14" fillId="0" borderId="5" xfId="0" applyFont="1" applyBorder="1" applyProtection="1"/>
    <xf numFmtId="0" fontId="0" fillId="6" borderId="0" xfId="0" applyFill="1"/>
    <xf numFmtId="0" fontId="0" fillId="0" borderId="0" xfId="0" applyFont="1" applyProtection="1"/>
    <xf numFmtId="0" fontId="4" fillId="0" borderId="10" xfId="0" applyFont="1" applyFill="1" applyBorder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4" fillId="0" borderId="18" xfId="0" applyFont="1" applyFill="1" applyBorder="1" applyAlignment="1" applyProtection="1">
      <alignment horizontal="center"/>
    </xf>
    <xf numFmtId="164" fontId="3" fillId="6" borderId="10" xfId="0" applyNumberFormat="1" applyFont="1" applyFill="1" applyBorder="1" applyProtection="1"/>
    <xf numFmtId="164" fontId="3" fillId="6" borderId="8" xfId="0" applyNumberFormat="1" applyFont="1" applyFill="1" applyBorder="1" applyProtection="1"/>
    <xf numFmtId="164" fontId="3" fillId="6" borderId="16" xfId="0" applyNumberFormat="1" applyFont="1" applyFill="1" applyBorder="1" applyProtection="1"/>
    <xf numFmtId="2" fontId="3" fillId="6" borderId="16" xfId="0" applyNumberFormat="1" applyFont="1" applyFill="1" applyBorder="1" applyProtection="1"/>
    <xf numFmtId="2" fontId="3" fillId="6" borderId="8" xfId="0" applyNumberFormat="1" applyFont="1" applyFill="1" applyBorder="1" applyProtection="1"/>
    <xf numFmtId="2" fontId="3" fillId="0" borderId="3" xfId="0" applyNumberFormat="1" applyFont="1" applyFill="1" applyBorder="1" applyProtection="1"/>
    <xf numFmtId="2" fontId="3" fillId="0" borderId="10" xfId="0" applyNumberFormat="1" applyFont="1" applyFill="1" applyBorder="1" applyProtection="1"/>
    <xf numFmtId="2" fontId="3" fillId="0" borderId="8" xfId="0" applyNumberFormat="1" applyFont="1" applyFill="1" applyBorder="1" applyProtection="1"/>
    <xf numFmtId="2" fontId="3" fillId="0" borderId="14" xfId="0" applyNumberFormat="1" applyFont="1" applyFill="1" applyBorder="1" applyProtection="1"/>
    <xf numFmtId="2" fontId="3" fillId="0" borderId="11" xfId="0" applyNumberFormat="1" applyFont="1" applyFill="1" applyBorder="1" applyProtection="1"/>
    <xf numFmtId="2" fontId="4" fillId="0" borderId="10" xfId="0" applyNumberFormat="1" applyFont="1" applyFill="1" applyBorder="1" applyProtection="1"/>
    <xf numFmtId="2" fontId="4" fillId="0" borderId="8" xfId="0" applyNumberFormat="1" applyFont="1" applyFill="1" applyBorder="1" applyProtection="1"/>
    <xf numFmtId="2" fontId="4" fillId="0" borderId="14" xfId="0" applyNumberFormat="1" applyFont="1" applyFill="1" applyBorder="1" applyProtection="1"/>
    <xf numFmtId="2" fontId="4" fillId="0" borderId="11" xfId="0" applyNumberFormat="1" applyFont="1" applyFill="1" applyBorder="1" applyProtection="1"/>
    <xf numFmtId="0" fontId="4" fillId="2" borderId="14" xfId="0" applyFont="1" applyFill="1" applyBorder="1" applyAlignment="1" applyProtection="1">
      <alignment horizontal="right"/>
    </xf>
    <xf numFmtId="2" fontId="3" fillId="6" borderId="11" xfId="0" applyNumberFormat="1" applyFont="1" applyFill="1" applyBorder="1" applyProtection="1"/>
    <xf numFmtId="2" fontId="3" fillId="6" borderId="3" xfId="0" applyNumberFormat="1" applyFont="1" applyFill="1" applyBorder="1" applyProtection="1"/>
    <xf numFmtId="1" fontId="3" fillId="0" borderId="23" xfId="0" applyNumberFormat="1" applyFont="1" applyFill="1" applyBorder="1" applyProtection="1"/>
    <xf numFmtId="2" fontId="3" fillId="0" borderId="24" xfId="0" applyNumberFormat="1" applyFont="1" applyFill="1" applyBorder="1" applyProtection="1"/>
    <xf numFmtId="2" fontId="3" fillId="0" borderId="24" xfId="0" applyNumberFormat="1" applyFont="1" applyFill="1" applyBorder="1" applyAlignment="1" applyProtection="1">
      <alignment horizontal="right"/>
    </xf>
    <xf numFmtId="2" fontId="3" fillId="0" borderId="22" xfId="0" applyNumberFormat="1" applyFont="1" applyFill="1" applyBorder="1" applyAlignment="1" applyProtection="1">
      <alignment horizontal="right"/>
    </xf>
    <xf numFmtId="2" fontId="4" fillId="0" borderId="24" xfId="0" applyNumberFormat="1" applyFont="1" applyFill="1" applyBorder="1" applyAlignment="1" applyProtection="1">
      <alignment horizontal="right"/>
    </xf>
    <xf numFmtId="2" fontId="4" fillId="0" borderId="22" xfId="0" applyNumberFormat="1" applyFont="1" applyFill="1" applyBorder="1" applyAlignment="1" applyProtection="1">
      <alignment horizontal="right"/>
    </xf>
    <xf numFmtId="2" fontId="4" fillId="0" borderId="21" xfId="0" applyNumberFormat="1" applyFont="1" applyFill="1" applyBorder="1" applyAlignment="1" applyProtection="1">
      <alignment horizontal="right"/>
    </xf>
    <xf numFmtId="165" fontId="3" fillId="9" borderId="8" xfId="0" applyNumberFormat="1" applyFont="1" applyFill="1" applyBorder="1" applyProtection="1"/>
    <xf numFmtId="165" fontId="3" fillId="9" borderId="3" xfId="0" applyNumberFormat="1" applyFont="1" applyFill="1" applyBorder="1" applyProtection="1"/>
    <xf numFmtId="165" fontId="3" fillId="9" borderId="11" xfId="0" applyNumberFormat="1" applyFont="1" applyFill="1" applyBorder="1" applyProtection="1"/>
    <xf numFmtId="165" fontId="3" fillId="0" borderId="11" xfId="0" applyNumberFormat="1" applyFont="1" applyFill="1" applyBorder="1" applyProtection="1"/>
    <xf numFmtId="0" fontId="11" fillId="0" borderId="14" xfId="0" applyFont="1" applyBorder="1" applyProtection="1"/>
    <xf numFmtId="165" fontId="3" fillId="0" borderId="5" xfId="0" applyNumberFormat="1" applyFont="1" applyFill="1" applyBorder="1" applyProtection="1"/>
    <xf numFmtId="165" fontId="3" fillId="6" borderId="11" xfId="0" applyNumberFormat="1" applyFont="1" applyFill="1" applyBorder="1" applyProtection="1"/>
    <xf numFmtId="2" fontId="11" fillId="0" borderId="8" xfId="0" applyNumberFormat="1" applyFont="1" applyBorder="1" applyProtection="1"/>
    <xf numFmtId="2" fontId="11" fillId="0" borderId="3" xfId="0" applyNumberFormat="1" applyFont="1" applyBorder="1" applyProtection="1"/>
    <xf numFmtId="0" fontId="11" fillId="0" borderId="11" xfId="0" applyFont="1" applyBorder="1" applyProtection="1"/>
    <xf numFmtId="2" fontId="11" fillId="0" borderId="5" xfId="0" applyNumberFormat="1" applyFont="1" applyBorder="1" applyProtection="1"/>
    <xf numFmtId="2" fontId="11" fillId="6" borderId="5" xfId="0" applyNumberFormat="1" applyFont="1" applyFill="1" applyBorder="1" applyProtection="1"/>
    <xf numFmtId="0" fontId="11" fillId="0" borderId="5" xfId="0" applyFont="1" applyBorder="1" applyProtection="1"/>
    <xf numFmtId="1" fontId="3" fillId="0" borderId="22" xfId="0" applyNumberFormat="1" applyFont="1" applyFill="1" applyBorder="1" applyProtection="1"/>
    <xf numFmtId="0" fontId="11" fillId="0" borderId="0" xfId="0" applyFont="1" applyBorder="1" applyProtection="1"/>
    <xf numFmtId="2" fontId="11" fillId="0" borderId="11" xfId="0" applyNumberFormat="1" applyFont="1" applyBorder="1" applyProtection="1"/>
    <xf numFmtId="2" fontId="14" fillId="0" borderId="3" xfId="0" applyNumberFormat="1" applyFont="1" applyBorder="1" applyProtection="1"/>
    <xf numFmtId="2" fontId="14" fillId="0" borderId="11" xfId="0" applyNumberFormat="1" applyFont="1" applyBorder="1" applyProtection="1"/>
    <xf numFmtId="1" fontId="4" fillId="0" borderId="24" xfId="0" applyNumberFormat="1" applyFont="1" applyFill="1" applyBorder="1" applyProtection="1"/>
    <xf numFmtId="1" fontId="4" fillId="0" borderId="23" xfId="0" applyNumberFormat="1" applyFont="1" applyFill="1" applyBorder="1" applyProtection="1"/>
    <xf numFmtId="0" fontId="11" fillId="6" borderId="0" xfId="0" applyFont="1" applyFill="1" applyProtection="1"/>
    <xf numFmtId="0" fontId="11" fillId="7" borderId="0" xfId="0" applyFont="1" applyFill="1" applyProtection="1"/>
    <xf numFmtId="0" fontId="0" fillId="0" borderId="0" xfId="0" applyFont="1" applyBorder="1"/>
    <xf numFmtId="0" fontId="4" fillId="2" borderId="6" xfId="0" applyFont="1" applyFill="1" applyBorder="1" applyProtection="1"/>
    <xf numFmtId="0" fontId="3" fillId="2" borderId="6" xfId="0" applyFont="1" applyFill="1" applyBorder="1" applyAlignment="1" applyProtection="1">
      <alignment horizontal="left" vertical="top"/>
    </xf>
    <xf numFmtId="164" fontId="3" fillId="2" borderId="6" xfId="0" applyNumberFormat="1" applyFont="1" applyFill="1" applyBorder="1" applyProtection="1"/>
    <xf numFmtId="164" fontId="3" fillId="2" borderId="13" xfId="0" applyNumberFormat="1" applyFont="1" applyFill="1" applyBorder="1" applyProtection="1"/>
    <xf numFmtId="164" fontId="3" fillId="0" borderId="0" xfId="0" applyNumberFormat="1" applyFont="1" applyFill="1" applyBorder="1" applyProtection="1"/>
    <xf numFmtId="164" fontId="3" fillId="6" borderId="11" xfId="0" applyNumberFormat="1" applyFont="1" applyFill="1" applyBorder="1" applyProtection="1"/>
    <xf numFmtId="0" fontId="11" fillId="0" borderId="0" xfId="0" applyFont="1" applyBorder="1" applyAlignment="1" applyProtection="1">
      <alignment horizontal="left" vertical="center"/>
    </xf>
    <xf numFmtId="1" fontId="3" fillId="11" borderId="21" xfId="0" applyNumberFormat="1" applyFont="1" applyFill="1" applyBorder="1" applyProtection="1">
      <protection locked="0"/>
    </xf>
    <xf numFmtId="0" fontId="11" fillId="0" borderId="16" xfId="0" applyFont="1" applyBorder="1" applyAlignment="1">
      <alignment horizontal="left"/>
    </xf>
    <xf numFmtId="164" fontId="3" fillId="11" borderId="3" xfId="0" applyNumberFormat="1" applyFont="1" applyFill="1" applyBorder="1" applyProtection="1">
      <protection locked="0"/>
    </xf>
    <xf numFmtId="1" fontId="3" fillId="11" borderId="3" xfId="0" applyNumberFormat="1" applyFont="1" applyFill="1" applyBorder="1" applyAlignment="1" applyProtection="1">
      <alignment horizontal="right"/>
      <protection locked="0"/>
    </xf>
    <xf numFmtId="167" fontId="3" fillId="11" borderId="5" xfId="0" applyNumberFormat="1" applyFont="1" applyFill="1" applyBorder="1" applyAlignment="1" applyProtection="1">
      <alignment horizontal="center"/>
      <protection locked="0"/>
    </xf>
    <xf numFmtId="167" fontId="3" fillId="11" borderId="11" xfId="0" applyNumberFormat="1" applyFont="1" applyFill="1" applyBorder="1" applyAlignment="1" applyProtection="1">
      <alignment horizontal="center"/>
      <protection locked="0"/>
    </xf>
    <xf numFmtId="1" fontId="3" fillId="11" borderId="11" xfId="0" applyNumberFormat="1" applyFont="1" applyFill="1" applyBorder="1" applyAlignment="1" applyProtection="1">
      <alignment horizontal="center"/>
      <protection locked="0"/>
    </xf>
    <xf numFmtId="0" fontId="3" fillId="11" borderId="11" xfId="0" applyFont="1" applyFill="1" applyBorder="1" applyAlignment="1" applyProtection="1">
      <alignment horizontal="center"/>
      <protection locked="0"/>
    </xf>
    <xf numFmtId="0" fontId="3" fillId="0" borderId="30" xfId="0" applyFont="1" applyFill="1" applyBorder="1" applyAlignment="1" applyProtection="1"/>
    <xf numFmtId="0" fontId="3" fillId="0" borderId="7" xfId="0" applyFont="1" applyFill="1" applyBorder="1" applyAlignment="1" applyProtection="1"/>
    <xf numFmtId="0" fontId="9" fillId="0" borderId="30" xfId="0" applyFont="1" applyFill="1" applyBorder="1" applyAlignment="1" applyProtection="1"/>
    <xf numFmtId="0" fontId="9" fillId="0" borderId="7" xfId="0" applyFont="1" applyFill="1" applyBorder="1" applyAlignment="1" applyProtection="1"/>
    <xf numFmtId="0" fontId="0" fillId="0" borderId="29" xfId="0" applyFont="1" applyFill="1" applyBorder="1" applyProtection="1"/>
    <xf numFmtId="0" fontId="0" fillId="0" borderId="9" xfId="0" applyFont="1" applyFill="1" applyBorder="1" applyProtection="1"/>
    <xf numFmtId="0" fontId="0" fillId="0" borderId="18" xfId="0" applyFont="1" applyFill="1" applyBorder="1" applyProtection="1"/>
    <xf numFmtId="0" fontId="0" fillId="0" borderId="6" xfId="0" applyFont="1" applyFill="1" applyBorder="1" applyProtection="1"/>
    <xf numFmtId="0" fontId="0" fillId="0" borderId="28" xfId="0" applyFont="1" applyFill="1" applyBorder="1" applyProtection="1"/>
    <xf numFmtId="0" fontId="3" fillId="0" borderId="1" xfId="0" applyFont="1" applyFill="1" applyBorder="1" applyAlignment="1" applyProtection="1">
      <alignment horizontal="center"/>
    </xf>
    <xf numFmtId="0" fontId="3" fillId="0" borderId="26" xfId="0" applyFont="1" applyFill="1" applyBorder="1" applyAlignment="1" applyProtection="1">
      <alignment horizontal="center"/>
    </xf>
    <xf numFmtId="0" fontId="3" fillId="0" borderId="20" xfId="0" applyFont="1" applyFill="1" applyBorder="1" applyAlignment="1" applyProtection="1">
      <alignment horizontal="center"/>
    </xf>
    <xf numFmtId="164" fontId="3" fillId="7" borderId="29" xfId="0" applyNumberFormat="1" applyFont="1" applyFill="1" applyBorder="1" applyProtection="1"/>
    <xf numFmtId="164" fontId="3" fillId="7" borderId="1" xfId="0" applyNumberFormat="1" applyFont="1" applyFill="1" applyBorder="1" applyProtection="1"/>
    <xf numFmtId="164" fontId="3" fillId="7" borderId="30" xfId="0" applyNumberFormat="1" applyFont="1" applyFill="1" applyBorder="1" applyProtection="1"/>
    <xf numFmtId="164" fontId="3" fillId="0" borderId="1" xfId="0" applyNumberFormat="1" applyFont="1" applyFill="1" applyBorder="1" applyProtection="1"/>
    <xf numFmtId="1" fontId="3" fillId="0" borderId="0" xfId="0" applyNumberFormat="1" applyFont="1" applyFill="1" applyBorder="1" applyProtection="1"/>
    <xf numFmtId="2" fontId="3" fillId="0" borderId="9" xfId="0" applyNumberFormat="1" applyFont="1" applyFill="1" applyBorder="1" applyProtection="1"/>
    <xf numFmtId="2" fontId="3" fillId="0" borderId="17" xfId="0" applyNumberFormat="1" applyFont="1" applyFill="1" applyBorder="1" applyProtection="1"/>
    <xf numFmtId="164" fontId="3" fillId="0" borderId="7" xfId="0" applyNumberFormat="1" applyFont="1" applyFill="1" applyBorder="1" applyProtection="1"/>
    <xf numFmtId="2" fontId="3" fillId="7" borderId="30" xfId="0" applyNumberFormat="1" applyFont="1" applyFill="1" applyBorder="1" applyProtection="1"/>
    <xf numFmtId="0" fontId="0" fillId="0" borderId="5" xfId="0" applyFont="1" applyFill="1" applyBorder="1" applyProtection="1"/>
    <xf numFmtId="2" fontId="3" fillId="7" borderId="7" xfId="0" applyNumberFormat="1" applyFont="1" applyFill="1" applyBorder="1" applyProtection="1"/>
    <xf numFmtId="0" fontId="0" fillId="0" borderId="8" xfId="0" applyFont="1" applyFill="1" applyBorder="1" applyProtection="1"/>
    <xf numFmtId="0" fontId="0" fillId="0" borderId="27" xfId="0" applyFont="1" applyFill="1" applyBorder="1" applyProtection="1"/>
    <xf numFmtId="0" fontId="0" fillId="0" borderId="1" xfId="0" applyBorder="1" applyProtection="1"/>
    <xf numFmtId="0" fontId="0" fillId="0" borderId="24" xfId="0" applyBorder="1" applyProtection="1"/>
    <xf numFmtId="2" fontId="11" fillId="0" borderId="27" xfId="0" applyNumberFormat="1" applyFont="1" applyBorder="1" applyProtection="1"/>
    <xf numFmtId="0" fontId="0" fillId="0" borderId="7" xfId="0" applyBorder="1" applyProtection="1"/>
    <xf numFmtId="0" fontId="11" fillId="0" borderId="27" xfId="0" applyFont="1" applyBorder="1" applyProtection="1"/>
    <xf numFmtId="2" fontId="11" fillId="0" borderId="23" xfId="0" applyNumberFormat="1" applyFont="1" applyBorder="1" applyProtection="1"/>
    <xf numFmtId="2" fontId="11" fillId="0" borderId="17" xfId="0" applyNumberFormat="1" applyFont="1" applyBorder="1" applyProtection="1"/>
    <xf numFmtId="0" fontId="11" fillId="0" borderId="23" xfId="0" applyFont="1" applyBorder="1" applyProtection="1"/>
    <xf numFmtId="2" fontId="3" fillId="0" borderId="7" xfId="0" applyNumberFormat="1" applyFont="1" applyFill="1" applyBorder="1" applyProtection="1"/>
    <xf numFmtId="2" fontId="3" fillId="7" borderId="32" xfId="0" applyNumberFormat="1" applyFont="1" applyFill="1" applyBorder="1" applyProtection="1"/>
    <xf numFmtId="2" fontId="3" fillId="7" borderId="15" xfId="0" applyNumberFormat="1" applyFont="1" applyFill="1" applyBorder="1" applyProtection="1"/>
    <xf numFmtId="2" fontId="3" fillId="7" borderId="12" xfId="0" applyNumberFormat="1" applyFont="1" applyFill="1" applyBorder="1" applyProtection="1"/>
    <xf numFmtId="0" fontId="11" fillId="0" borderId="7" xfId="0" applyFont="1" applyBorder="1" applyProtection="1"/>
    <xf numFmtId="0" fontId="14" fillId="0" borderId="24" xfId="0" applyFont="1" applyBorder="1" applyProtection="1"/>
    <xf numFmtId="2" fontId="14" fillId="0" borderId="27" xfId="0" applyNumberFormat="1" applyFont="1" applyBorder="1" applyProtection="1"/>
    <xf numFmtId="0" fontId="6" fillId="0" borderId="14" xfId="0" applyFont="1" applyFill="1" applyBorder="1" applyProtection="1"/>
    <xf numFmtId="2" fontId="14" fillId="0" borderId="23" xfId="0" applyNumberFormat="1" applyFont="1" applyBorder="1" applyProtection="1"/>
    <xf numFmtId="2" fontId="14" fillId="0" borderId="19" xfId="0" applyNumberFormat="1" applyFont="1" applyBorder="1" applyProtection="1"/>
    <xf numFmtId="0" fontId="0" fillId="0" borderId="16" xfId="0" applyFont="1" applyFill="1" applyBorder="1" applyProtection="1"/>
    <xf numFmtId="0" fontId="0" fillId="0" borderId="30" xfId="0" applyFont="1" applyFill="1" applyBorder="1" applyProtection="1"/>
    <xf numFmtId="2" fontId="3" fillId="7" borderId="1" xfId="0" applyNumberFormat="1" applyFont="1" applyFill="1" applyBorder="1" applyProtection="1"/>
    <xf numFmtId="2" fontId="3" fillId="7" borderId="17" xfId="0" applyNumberFormat="1" applyFont="1" applyFill="1" applyBorder="1" applyProtection="1"/>
    <xf numFmtId="2" fontId="3" fillId="7" borderId="26" xfId="0" applyNumberFormat="1" applyFont="1" applyFill="1" applyBorder="1" applyProtection="1"/>
    <xf numFmtId="167" fontId="3" fillId="0" borderId="3" xfId="0" applyNumberFormat="1" applyFont="1" applyFill="1" applyBorder="1" applyProtection="1"/>
    <xf numFmtId="167" fontId="3" fillId="0" borderId="4" xfId="0" applyNumberFormat="1" applyFont="1" applyFill="1" applyBorder="1" applyProtection="1"/>
    <xf numFmtId="2" fontId="3" fillId="7" borderId="2" xfId="0" applyNumberFormat="1" applyFont="1" applyFill="1" applyBorder="1" applyProtection="1"/>
    <xf numFmtId="0" fontId="11" fillId="0" borderId="9" xfId="0" applyFont="1" applyBorder="1" applyProtection="1"/>
    <xf numFmtId="0" fontId="0" fillId="0" borderId="3" xfId="0" applyBorder="1" applyProtection="1"/>
    <xf numFmtId="0" fontId="11" fillId="0" borderId="15" xfId="0" applyFont="1" applyBorder="1" applyProtection="1"/>
    <xf numFmtId="0" fontId="11" fillId="0" borderId="13" xfId="0" applyFont="1" applyBorder="1" applyProtection="1"/>
    <xf numFmtId="2" fontId="11" fillId="7" borderId="19" xfId="0" applyNumberFormat="1" applyFont="1" applyFill="1" applyBorder="1" applyProtection="1"/>
    <xf numFmtId="2" fontId="3" fillId="7" borderId="4" xfId="0" applyNumberFormat="1" applyFont="1" applyFill="1" applyBorder="1" applyProtection="1"/>
    <xf numFmtId="2" fontId="3" fillId="7" borderId="20" xfId="0" applyNumberFormat="1" applyFont="1" applyFill="1" applyBorder="1" applyProtection="1"/>
    <xf numFmtId="2" fontId="4" fillId="0" borderId="7" xfId="0" applyNumberFormat="1" applyFont="1" applyFill="1" applyBorder="1" applyProtection="1"/>
    <xf numFmtId="1" fontId="3" fillId="0" borderId="9" xfId="0" applyNumberFormat="1" applyFont="1" applyFill="1" applyBorder="1" applyProtection="1"/>
    <xf numFmtId="2" fontId="4" fillId="0" borderId="24" xfId="0" applyNumberFormat="1" applyFont="1" applyFill="1" applyBorder="1" applyProtection="1"/>
    <xf numFmtId="2" fontId="3" fillId="0" borderId="27" xfId="0" applyNumberFormat="1" applyFont="1" applyFill="1" applyBorder="1" applyProtection="1"/>
    <xf numFmtId="2" fontId="4" fillId="0" borderId="9" xfId="0" applyNumberFormat="1" applyFont="1" applyFill="1" applyBorder="1" applyProtection="1"/>
    <xf numFmtId="2" fontId="4" fillId="0" borderId="15" xfId="0" applyNumberFormat="1" applyFont="1" applyFill="1" applyBorder="1" applyProtection="1"/>
    <xf numFmtId="1" fontId="3" fillId="0" borderId="13" xfId="0" applyNumberFormat="1" applyFont="1" applyFill="1" applyBorder="1" applyProtection="1"/>
    <xf numFmtId="2" fontId="4" fillId="0" borderId="23" xfId="0" applyNumberFormat="1" applyFont="1" applyFill="1" applyBorder="1" applyProtection="1"/>
    <xf numFmtId="2" fontId="4" fillId="0" borderId="19" xfId="0" applyNumberFormat="1" applyFont="1" applyFill="1" applyBorder="1" applyProtection="1"/>
    <xf numFmtId="2" fontId="4" fillId="0" borderId="13" xfId="0" applyNumberFormat="1" applyFont="1" applyFill="1" applyBorder="1" applyProtection="1"/>
    <xf numFmtId="2" fontId="4" fillId="0" borderId="17" xfId="0" applyNumberFormat="1" applyFont="1" applyFill="1" applyBorder="1" applyProtection="1"/>
    <xf numFmtId="2" fontId="4" fillId="0" borderId="0" xfId="0" applyNumberFormat="1" applyFont="1" applyFill="1" applyBorder="1" applyProtection="1"/>
    <xf numFmtId="2" fontId="3" fillId="0" borderId="1" xfId="0" applyNumberFormat="1" applyFont="1" applyFill="1" applyBorder="1" applyProtection="1"/>
    <xf numFmtId="2" fontId="3" fillId="0" borderId="4" xfId="0" applyNumberFormat="1" applyFont="1" applyFill="1" applyBorder="1" applyProtection="1"/>
    <xf numFmtId="1" fontId="16" fillId="0" borderId="8" xfId="0" applyNumberFormat="1" applyFont="1" applyFill="1" applyBorder="1" applyProtection="1"/>
    <xf numFmtId="2" fontId="3" fillId="0" borderId="32" xfId="0" applyNumberFormat="1" applyFont="1" applyFill="1" applyBorder="1" applyProtection="1"/>
    <xf numFmtId="2" fontId="3" fillId="0" borderId="2" xfId="0" applyNumberFormat="1" applyFont="1" applyFill="1" applyBorder="1" applyProtection="1"/>
    <xf numFmtId="1" fontId="16" fillId="0" borderId="3" xfId="0" applyNumberFormat="1" applyFont="1" applyFill="1" applyBorder="1" applyProtection="1"/>
    <xf numFmtId="2" fontId="3" fillId="6" borderId="2" xfId="0" applyNumberFormat="1" applyFont="1" applyFill="1" applyBorder="1" applyProtection="1"/>
    <xf numFmtId="2" fontId="3" fillId="0" borderId="15" xfId="0" applyNumberFormat="1" applyFont="1" applyFill="1" applyBorder="1" applyProtection="1"/>
    <xf numFmtId="2" fontId="3" fillId="0" borderId="12" xfId="0" applyNumberFormat="1" applyFont="1" applyFill="1" applyBorder="1" applyProtection="1"/>
    <xf numFmtId="2" fontId="4" fillId="0" borderId="2" xfId="0" applyNumberFormat="1" applyFont="1" applyFill="1" applyBorder="1" applyProtection="1"/>
    <xf numFmtId="2" fontId="4" fillId="0" borderId="3" xfId="0" applyNumberFormat="1" applyFont="1" applyFill="1" applyBorder="1" applyProtection="1"/>
    <xf numFmtId="2" fontId="4" fillId="0" borderId="4" xfId="0" applyNumberFormat="1" applyFont="1" applyFill="1" applyBorder="1" applyProtection="1"/>
    <xf numFmtId="2" fontId="4" fillId="0" borderId="26" xfId="0" applyNumberFormat="1" applyFont="1" applyFill="1" applyBorder="1" applyProtection="1"/>
    <xf numFmtId="2" fontId="4" fillId="0" borderId="20" xfId="0" applyNumberFormat="1" applyFont="1" applyFill="1" applyBorder="1" applyProtection="1"/>
    <xf numFmtId="2" fontId="4" fillId="0" borderId="12" xfId="0" applyNumberFormat="1" applyFont="1" applyFill="1" applyBorder="1" applyProtection="1"/>
    <xf numFmtId="1" fontId="4" fillId="0" borderId="9" xfId="0" applyNumberFormat="1" applyFont="1" applyFill="1" applyBorder="1" applyProtection="1"/>
    <xf numFmtId="1" fontId="4" fillId="0" borderId="13" xfId="0" applyNumberFormat="1" applyFont="1" applyFill="1" applyBorder="1" applyProtection="1"/>
    <xf numFmtId="0" fontId="11" fillId="0" borderId="0" xfId="0" applyFont="1" applyFill="1" applyProtection="1"/>
    <xf numFmtId="0" fontId="14" fillId="0" borderId="13" xfId="0" applyFont="1" applyBorder="1" applyAlignment="1" applyProtection="1">
      <alignment horizontal="left" vertical="center"/>
    </xf>
    <xf numFmtId="0" fontId="14" fillId="0" borderId="6" xfId="0" applyFont="1" applyBorder="1" applyAlignment="1" applyProtection="1">
      <alignment horizontal="left" vertical="center"/>
    </xf>
    <xf numFmtId="0" fontId="14" fillId="0" borderId="18" xfId="0" applyFont="1" applyBorder="1" applyProtection="1"/>
    <xf numFmtId="0" fontId="0" fillId="0" borderId="6" xfId="0" applyBorder="1" applyProtection="1"/>
    <xf numFmtId="0" fontId="0" fillId="0" borderId="21" xfId="0" applyBorder="1" applyProtection="1"/>
    <xf numFmtId="0" fontId="11" fillId="0" borderId="18" xfId="0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11" fillId="0" borderId="10" xfId="0" applyFont="1" applyFill="1" applyBorder="1" applyProtection="1"/>
    <xf numFmtId="0" fontId="4" fillId="0" borderId="14" xfId="0" applyFont="1" applyFill="1" applyBorder="1" applyAlignment="1" applyProtection="1"/>
    <xf numFmtId="0" fontId="4" fillId="0" borderId="23" xfId="0" applyFont="1" applyFill="1" applyBorder="1" applyAlignment="1" applyProtection="1"/>
    <xf numFmtId="0" fontId="10" fillId="0" borderId="14" xfId="0" applyFont="1" applyFill="1" applyBorder="1" applyAlignment="1" applyProtection="1"/>
    <xf numFmtId="0" fontId="11" fillId="0" borderId="14" xfId="0" applyFont="1" applyFill="1" applyBorder="1" applyProtection="1"/>
    <xf numFmtId="2" fontId="3" fillId="2" borderId="24" xfId="0" applyNumberFormat="1" applyFont="1" applyFill="1" applyBorder="1" applyProtection="1"/>
    <xf numFmtId="2" fontId="3" fillId="10" borderId="8" xfId="0" applyNumberFormat="1" applyFont="1" applyFill="1" applyBorder="1" applyProtection="1"/>
    <xf numFmtId="2" fontId="3" fillId="2" borderId="8" xfId="0" applyNumberFormat="1" applyFont="1" applyFill="1" applyBorder="1" applyProtection="1"/>
    <xf numFmtId="0" fontId="11" fillId="2" borderId="11" xfId="0" applyFont="1" applyFill="1" applyBorder="1" applyAlignment="1" applyProtection="1">
      <alignment horizontal="left" vertical="center"/>
    </xf>
    <xf numFmtId="2" fontId="4" fillId="2" borderId="11" xfId="0" applyNumberFormat="1" applyFont="1" applyFill="1" applyBorder="1" applyAlignment="1" applyProtection="1">
      <alignment horizontal="center" vertical="center"/>
    </xf>
    <xf numFmtId="0" fontId="4" fillId="2" borderId="11" xfId="0" applyFont="1" applyFill="1" applyBorder="1" applyProtection="1"/>
    <xf numFmtId="2" fontId="4" fillId="10" borderId="22" xfId="0" applyNumberFormat="1" applyFont="1" applyFill="1" applyBorder="1" applyProtection="1"/>
    <xf numFmtId="2" fontId="4" fillId="8" borderId="8" xfId="0" applyNumberFormat="1" applyFont="1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165" fontId="3" fillId="10" borderId="21" xfId="0" applyNumberFormat="1" applyFont="1" applyFill="1" applyBorder="1" applyAlignment="1" applyProtection="1">
      <alignment horizontal="right"/>
    </xf>
    <xf numFmtId="2" fontId="3" fillId="10" borderId="5" xfId="0" applyNumberFormat="1" applyFont="1" applyFill="1" applyBorder="1" applyProtection="1"/>
    <xf numFmtId="2" fontId="3" fillId="10" borderId="21" xfId="0" applyNumberFormat="1" applyFont="1" applyFill="1" applyBorder="1" applyProtection="1"/>
    <xf numFmtId="165" fontId="4" fillId="10" borderId="21" xfId="0" applyNumberFormat="1" applyFont="1" applyFill="1" applyBorder="1" applyAlignment="1" applyProtection="1">
      <alignment horizontal="right"/>
    </xf>
    <xf numFmtId="2" fontId="4" fillId="10" borderId="5" xfId="0" applyNumberFormat="1" applyFont="1" applyFill="1" applyBorder="1" applyProtection="1"/>
    <xf numFmtId="2" fontId="4" fillId="10" borderId="21" xfId="0" applyNumberFormat="1" applyFont="1" applyFill="1" applyBorder="1" applyProtection="1"/>
    <xf numFmtId="2" fontId="3" fillId="8" borderId="11" xfId="0" applyNumberFormat="1" applyFont="1" applyFill="1" applyBorder="1" applyAlignment="1" applyProtection="1">
      <alignment horizontal="center" vertical="center"/>
    </xf>
    <xf numFmtId="2" fontId="3" fillId="2" borderId="11" xfId="0" applyNumberFormat="1" applyFont="1" applyFill="1" applyBorder="1" applyAlignment="1" applyProtection="1">
      <alignment horizontal="center" vertical="center"/>
    </xf>
    <xf numFmtId="0" fontId="11" fillId="2" borderId="18" xfId="0" applyFont="1" applyFill="1" applyBorder="1" applyProtection="1"/>
    <xf numFmtId="0" fontId="11" fillId="2" borderId="6" xfId="0" applyFont="1" applyFill="1" applyBorder="1" applyProtection="1"/>
    <xf numFmtId="0" fontId="11" fillId="2" borderId="21" xfId="0" applyFont="1" applyFill="1" applyBorder="1" applyProtection="1"/>
    <xf numFmtId="2" fontId="4" fillId="10" borderId="11" xfId="0" applyNumberFormat="1" applyFont="1" applyFill="1" applyBorder="1" applyProtection="1"/>
    <xf numFmtId="0" fontId="11" fillId="2" borderId="10" xfId="0" applyFont="1" applyFill="1" applyBorder="1" applyProtection="1"/>
    <xf numFmtId="0" fontId="11" fillId="2" borderId="0" xfId="0" applyFont="1" applyFill="1" applyProtection="1"/>
    <xf numFmtId="0" fontId="11" fillId="2" borderId="24" xfId="0" applyFont="1" applyFill="1" applyBorder="1" applyProtection="1"/>
    <xf numFmtId="0" fontId="11" fillId="2" borderId="18" xfId="0" applyFont="1" applyFill="1" applyBorder="1" applyAlignment="1" applyProtection="1">
      <alignment horizontal="left" vertical="center"/>
    </xf>
    <xf numFmtId="0" fontId="11" fillId="2" borderId="6" xfId="0" applyFont="1" applyFill="1" applyBorder="1" applyAlignment="1" applyProtection="1">
      <alignment horizontal="left" vertical="center"/>
    </xf>
    <xf numFmtId="0" fontId="11" fillId="2" borderId="6" xfId="0" applyFont="1" applyFill="1" applyBorder="1" applyAlignment="1" applyProtection="1">
      <alignment horizontal="center" vertical="center"/>
    </xf>
    <xf numFmtId="0" fontId="11" fillId="2" borderId="21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left" vertical="center"/>
    </xf>
    <xf numFmtId="0" fontId="11" fillId="2" borderId="0" xfId="0" applyFont="1" applyFill="1" applyBorder="1" applyProtection="1"/>
    <xf numFmtId="0" fontId="11" fillId="2" borderId="22" xfId="0" applyFont="1" applyFill="1" applyBorder="1" applyProtection="1"/>
    <xf numFmtId="2" fontId="4" fillId="2" borderId="11" xfId="0" applyNumberFormat="1" applyFont="1" applyFill="1" applyBorder="1" applyProtection="1"/>
    <xf numFmtId="2" fontId="3" fillId="2" borderId="8" xfId="0" applyNumberFormat="1" applyFont="1" applyFill="1" applyBorder="1" applyAlignment="1" applyProtection="1">
      <alignment horizontal="center" vertical="center"/>
    </xf>
    <xf numFmtId="0" fontId="0" fillId="8" borderId="0" xfId="0" applyFill="1" applyProtection="1"/>
    <xf numFmtId="0" fontId="0" fillId="10" borderId="0" xfId="0" applyFill="1" applyProtection="1"/>
    <xf numFmtId="0" fontId="3" fillId="0" borderId="5" xfId="0" applyFont="1" applyFill="1" applyBorder="1" applyProtection="1"/>
    <xf numFmtId="0" fontId="3" fillId="0" borderId="18" xfId="0" applyFont="1" applyFill="1" applyBorder="1" applyAlignment="1" applyProtection="1">
      <alignment horizontal="left"/>
    </xf>
    <xf numFmtId="0" fontId="3" fillId="0" borderId="11" xfId="0" applyFont="1" applyFill="1" applyBorder="1" applyAlignment="1" applyProtection="1">
      <alignment horizontal="center"/>
    </xf>
    <xf numFmtId="0" fontId="11" fillId="0" borderId="8" xfId="0" applyFont="1" applyBorder="1" applyProtection="1"/>
    <xf numFmtId="0" fontId="0" fillId="0" borderId="5" xfId="0" applyBorder="1" applyProtection="1"/>
    <xf numFmtId="0" fontId="11" fillId="0" borderId="23" xfId="0" applyFont="1" applyFill="1" applyBorder="1" applyAlignment="1">
      <alignment horizontal="center"/>
    </xf>
    <xf numFmtId="0" fontId="9" fillId="0" borderId="5" xfId="0" applyFont="1" applyFill="1" applyBorder="1" applyAlignment="1" applyProtection="1">
      <alignment horizontal="center"/>
    </xf>
    <xf numFmtId="1" fontId="3" fillId="0" borderId="18" xfId="0" applyNumberFormat="1" applyFont="1" applyFill="1" applyBorder="1" applyAlignment="1" applyProtection="1">
      <alignment horizontal="center"/>
    </xf>
    <xf numFmtId="0" fontId="11" fillId="0" borderId="8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right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right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right" vertical="center"/>
    </xf>
    <xf numFmtId="0" fontId="3" fillId="0" borderId="3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horizontal="right" vertical="center"/>
    </xf>
    <xf numFmtId="2" fontId="11" fillId="4" borderId="8" xfId="0" applyNumberFormat="1" applyFont="1" applyFill="1" applyBorder="1" applyAlignment="1">
      <alignment horizontal="left" vertical="center"/>
    </xf>
    <xf numFmtId="2" fontId="11" fillId="4" borderId="3" xfId="0" applyNumberFormat="1" applyFont="1" applyFill="1" applyBorder="1" applyAlignment="1">
      <alignment horizontal="left" vertical="center"/>
    </xf>
    <xf numFmtId="2" fontId="11" fillId="4" borderId="11" xfId="0" applyNumberFormat="1" applyFont="1" applyFill="1" applyBorder="1" applyAlignment="1">
      <alignment horizontal="left" vertical="center"/>
    </xf>
    <xf numFmtId="0" fontId="11" fillId="0" borderId="8" xfId="0" applyFont="1" applyBorder="1" applyAlignment="1">
      <alignment horizontal="center" vertical="top" wrapText="1"/>
    </xf>
    <xf numFmtId="0" fontId="11" fillId="0" borderId="11" xfId="0" applyFont="1" applyBorder="1" applyAlignment="1">
      <alignment horizontal="center" vertical="top" wrapText="1"/>
    </xf>
    <xf numFmtId="9" fontId="11" fillId="4" borderId="5" xfId="2" applyFont="1" applyFill="1" applyBorder="1"/>
    <xf numFmtId="164" fontId="3" fillId="0" borderId="8" xfId="0" applyNumberFormat="1" applyFont="1" applyFill="1" applyBorder="1" applyAlignment="1" applyProtection="1">
      <alignment horizontal="center"/>
    </xf>
    <xf numFmtId="164" fontId="3" fillId="0" borderId="3" xfId="0" applyNumberFormat="1" applyFont="1" applyFill="1" applyBorder="1" applyAlignment="1" applyProtection="1">
      <alignment horizontal="center"/>
    </xf>
    <xf numFmtId="164" fontId="3" fillId="0" borderId="11" xfId="0" applyNumberFormat="1" applyFont="1" applyFill="1" applyBorder="1" applyAlignment="1" applyProtection="1">
      <alignment horizontal="center"/>
    </xf>
    <xf numFmtId="0" fontId="3" fillId="0" borderId="18" xfId="0" applyFont="1" applyFill="1" applyBorder="1" applyProtection="1"/>
    <xf numFmtId="9" fontId="0" fillId="0" borderId="0" xfId="0" applyNumberFormat="1"/>
    <xf numFmtId="0" fontId="3" fillId="0" borderId="9" xfId="0" applyFont="1" applyFill="1" applyBorder="1" applyAlignment="1"/>
    <xf numFmtId="0" fontId="11" fillId="0" borderId="0" xfId="0" applyFont="1" applyAlignment="1">
      <alignment horizontal="center"/>
    </xf>
    <xf numFmtId="2" fontId="11" fillId="0" borderId="0" xfId="0" applyNumberFormat="1" applyFont="1" applyAlignment="1">
      <alignment horizontal="center"/>
    </xf>
    <xf numFmtId="2" fontId="11" fillId="0" borderId="13" xfId="0" applyNumberFormat="1" applyFont="1" applyBorder="1" applyAlignment="1">
      <alignment horizontal="center"/>
    </xf>
    <xf numFmtId="2" fontId="11" fillId="0" borderId="0" xfId="0" applyNumberFormat="1" applyFont="1" applyFill="1" applyAlignment="1">
      <alignment horizontal="center"/>
    </xf>
    <xf numFmtId="0" fontId="4" fillId="0" borderId="18" xfId="0" applyNumberFormat="1" applyFont="1" applyFill="1" applyBorder="1" applyAlignment="1">
      <alignment horizontal="right" vertical="center"/>
    </xf>
    <xf numFmtId="2" fontId="3" fillId="0" borderId="3" xfId="0" applyNumberFormat="1" applyFont="1" applyFill="1" applyBorder="1" applyAlignment="1">
      <alignment horizontal="right" vertical="center"/>
    </xf>
    <xf numFmtId="2" fontId="4" fillId="0" borderId="8" xfId="0" applyNumberFormat="1" applyFont="1" applyFill="1" applyBorder="1" applyAlignment="1">
      <alignment horizontal="right" vertical="center"/>
    </xf>
    <xf numFmtId="2" fontId="4" fillId="0" borderId="11" xfId="0" applyNumberFormat="1" applyFont="1" applyFill="1" applyBorder="1" applyAlignment="1">
      <alignment horizontal="right" vertical="center"/>
    </xf>
    <xf numFmtId="2" fontId="3" fillId="0" borderId="8" xfId="0" applyNumberFormat="1" applyFont="1" applyFill="1" applyBorder="1"/>
    <xf numFmtId="2" fontId="3" fillId="0" borderId="11" xfId="0" applyNumberFormat="1" applyFont="1" applyFill="1" applyBorder="1"/>
    <xf numFmtId="9" fontId="10" fillId="0" borderId="0" xfId="2" applyFont="1" applyFill="1" applyBorder="1" applyAlignment="1">
      <alignment vertical="center"/>
    </xf>
    <xf numFmtId="9" fontId="11" fillId="0" borderId="5" xfId="2" applyFont="1" applyBorder="1"/>
    <xf numFmtId="9" fontId="3" fillId="11" borderId="5" xfId="2" applyFont="1" applyFill="1" applyBorder="1" applyAlignment="1" applyProtection="1">
      <alignment vertical="center"/>
      <protection locked="0"/>
    </xf>
    <xf numFmtId="9" fontId="3" fillId="11" borderId="21" xfId="2" applyFont="1" applyFill="1" applyBorder="1" applyProtection="1">
      <protection locked="0"/>
    </xf>
    <xf numFmtId="2" fontId="3" fillId="11" borderId="5" xfId="2" applyNumberFormat="1" applyFont="1" applyFill="1" applyBorder="1" applyAlignment="1" applyProtection="1">
      <alignment vertical="center"/>
      <protection locked="0"/>
    </xf>
    <xf numFmtId="0" fontId="3" fillId="2" borderId="21" xfId="0" applyFont="1" applyFill="1" applyBorder="1" applyAlignment="1" applyProtection="1"/>
    <xf numFmtId="0" fontId="4" fillId="0" borderId="18" xfId="0" applyFont="1" applyFill="1" applyBorder="1" applyAlignment="1">
      <alignment horizontal="right" vertical="center"/>
    </xf>
    <xf numFmtId="0" fontId="18" fillId="0" borderId="0" xfId="0" applyFont="1" applyFill="1" applyBorder="1"/>
    <xf numFmtId="0" fontId="25" fillId="0" borderId="11" xfId="0" applyFont="1" applyBorder="1"/>
    <xf numFmtId="0" fontId="26" fillId="0" borderId="0" xfId="0" applyFont="1" applyProtection="1"/>
    <xf numFmtId="0" fontId="3" fillId="0" borderId="5" xfId="0" applyFont="1" applyFill="1" applyBorder="1" applyAlignment="1" applyProtection="1">
      <alignment horizontal="left"/>
    </xf>
    <xf numFmtId="2" fontId="3" fillId="6" borderId="26" xfId="0" applyNumberFormat="1" applyFont="1" applyFill="1" applyBorder="1" applyProtection="1"/>
    <xf numFmtId="0" fontId="0" fillId="0" borderId="8" xfId="0" applyBorder="1"/>
    <xf numFmtId="0" fontId="0" fillId="0" borderId="32" xfId="0" applyBorder="1"/>
    <xf numFmtId="0" fontId="0" fillId="0" borderId="4" xfId="0" applyBorder="1"/>
    <xf numFmtId="2" fontId="3" fillId="0" borderId="20" xfId="0" applyNumberFormat="1" applyFont="1" applyFill="1" applyBorder="1" applyProtection="1"/>
    <xf numFmtId="1" fontId="11" fillId="4" borderId="5" xfId="0" applyNumberFormat="1" applyFont="1" applyFill="1" applyBorder="1"/>
    <xf numFmtId="0" fontId="14" fillId="6" borderId="5" xfId="0" applyFont="1" applyFill="1" applyBorder="1"/>
    <xf numFmtId="9" fontId="18" fillId="8" borderId="5" xfId="0" applyNumberFormat="1" applyFont="1" applyFill="1" applyBorder="1" applyAlignment="1">
      <alignment horizontal="center" vertical="center"/>
    </xf>
    <xf numFmtId="0" fontId="18" fillId="8" borderId="5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18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left" vertical="center"/>
    </xf>
    <xf numFmtId="0" fontId="6" fillId="0" borderId="23" xfId="0" applyFont="1" applyFill="1" applyBorder="1" applyAlignment="1">
      <alignment horizontal="center" vertical="center"/>
    </xf>
    <xf numFmtId="1" fontId="6" fillId="0" borderId="11" xfId="0" applyNumberFormat="1" applyFont="1" applyFill="1" applyBorder="1" applyAlignment="1">
      <alignment horizontal="righ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24" xfId="0" applyFont="1" applyFill="1" applyBorder="1" applyAlignment="1">
      <alignment horizontal="center" vertical="center"/>
    </xf>
    <xf numFmtId="0" fontId="18" fillId="0" borderId="18" xfId="0" applyFont="1" applyFill="1" applyBorder="1"/>
    <xf numFmtId="0" fontId="25" fillId="0" borderId="21" xfId="0" applyFont="1" applyBorder="1"/>
    <xf numFmtId="0" fontId="25" fillId="0" borderId="5" xfId="0" applyFont="1" applyBorder="1"/>
    <xf numFmtId="1" fontId="18" fillId="0" borderId="3" xfId="0" applyNumberFormat="1" applyFont="1" applyBorder="1" applyAlignment="1">
      <alignment horizontal="center"/>
    </xf>
    <xf numFmtId="1" fontId="18" fillId="0" borderId="11" xfId="0" applyNumberFormat="1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18" fillId="0" borderId="3" xfId="0" applyNumberFormat="1" applyFont="1" applyFill="1" applyBorder="1" applyAlignment="1">
      <alignment horizontal="center"/>
    </xf>
    <xf numFmtId="1" fontId="25" fillId="0" borderId="11" xfId="0" applyNumberFormat="1" applyFont="1" applyBorder="1" applyAlignment="1">
      <alignment horizontal="center"/>
    </xf>
    <xf numFmtId="0" fontId="3" fillId="0" borderId="6" xfId="0" applyFont="1" applyFill="1" applyBorder="1" applyAlignment="1" applyProtection="1">
      <alignment horizontal="center"/>
    </xf>
    <xf numFmtId="168" fontId="3" fillId="0" borderId="3" xfId="0" applyNumberFormat="1" applyFont="1" applyFill="1" applyBorder="1" applyProtection="1"/>
    <xf numFmtId="164" fontId="14" fillId="0" borderId="5" xfId="0" applyNumberFormat="1" applyFont="1" applyBorder="1" applyProtection="1"/>
    <xf numFmtId="164" fontId="4" fillId="0" borderId="18" xfId="0" applyNumberFormat="1" applyFont="1" applyFill="1" applyBorder="1" applyProtection="1"/>
    <xf numFmtId="0" fontId="23" fillId="3" borderId="0" xfId="0" applyFont="1" applyFill="1" applyBorder="1" applyProtection="1"/>
    <xf numFmtId="164" fontId="23" fillId="3" borderId="10" xfId="0" applyNumberFormat="1" applyFont="1" applyFill="1" applyBorder="1" applyProtection="1"/>
    <xf numFmtId="0" fontId="23" fillId="3" borderId="14" xfId="0" applyFont="1" applyFill="1" applyBorder="1" applyProtection="1"/>
    <xf numFmtId="164" fontId="23" fillId="3" borderId="0" xfId="0" applyNumberFormat="1" applyFont="1" applyFill="1" applyBorder="1" applyProtection="1"/>
    <xf numFmtId="0" fontId="23" fillId="0" borderId="0" xfId="0" applyFont="1" applyFill="1" applyBorder="1" applyProtection="1"/>
    <xf numFmtId="0" fontId="30" fillId="0" borderId="0" xfId="0" applyFont="1" applyFill="1" applyProtection="1"/>
    <xf numFmtId="164" fontId="3" fillId="11" borderId="5" xfId="0" applyNumberFormat="1" applyFont="1" applyFill="1" applyBorder="1" applyAlignment="1" applyProtection="1">
      <alignment horizontal="center"/>
      <protection locked="0"/>
    </xf>
    <xf numFmtId="0" fontId="3" fillId="0" borderId="13" xfId="0" applyFont="1" applyFill="1" applyBorder="1" applyAlignment="1" applyProtection="1">
      <alignment horizontal="right" vertical="center"/>
    </xf>
    <xf numFmtId="167" fontId="3" fillId="0" borderId="13" xfId="0" applyNumberFormat="1" applyFont="1" applyFill="1" applyBorder="1" applyAlignment="1" applyProtection="1">
      <alignment horizontal="right" vertical="center"/>
      <protection locked="0"/>
    </xf>
    <xf numFmtId="0" fontId="3" fillId="0" borderId="24" xfId="0" applyFont="1" applyFill="1" applyBorder="1" applyAlignment="1">
      <alignment horizontal="center" wrapText="1"/>
    </xf>
    <xf numFmtId="164" fontId="3" fillId="11" borderId="8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alignment horizontal="right"/>
      <protection locked="0"/>
    </xf>
    <xf numFmtId="164" fontId="3" fillId="11" borderId="11" xfId="0" applyNumberFormat="1" applyFont="1" applyFill="1" applyBorder="1" applyProtection="1">
      <protection locked="0"/>
    </xf>
    <xf numFmtId="164" fontId="3" fillId="11" borderId="3" xfId="0" applyNumberFormat="1" applyFont="1" applyFill="1" applyBorder="1" applyAlignment="1" applyProtection="1">
      <protection locked="0"/>
    </xf>
    <xf numFmtId="164" fontId="4" fillId="0" borderId="6" xfId="0" applyNumberFormat="1" applyFont="1" applyFill="1" applyBorder="1"/>
    <xf numFmtId="1" fontId="4" fillId="0" borderId="6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Protection="1"/>
    <xf numFmtId="164" fontId="4" fillId="0" borderId="21" xfId="0" applyNumberFormat="1" applyFont="1" applyFill="1" applyBorder="1" applyProtection="1"/>
    <xf numFmtId="0" fontId="23" fillId="0" borderId="14" xfId="0" applyFont="1" applyFill="1" applyBorder="1" applyProtection="1"/>
    <xf numFmtId="2" fontId="3" fillId="0" borderId="23" xfId="0" applyNumberFormat="1" applyFont="1" applyFill="1" applyBorder="1" applyProtection="1"/>
    <xf numFmtId="0" fontId="11" fillId="11" borderId="8" xfId="0" applyFont="1" applyFill="1" applyBorder="1" applyAlignment="1" applyProtection="1">
      <alignment horizontal="right"/>
      <protection locked="0"/>
    </xf>
    <xf numFmtId="0" fontId="11" fillId="11" borderId="3" xfId="0" applyFont="1" applyFill="1" applyBorder="1" applyAlignment="1" applyProtection="1">
      <alignment horizontal="right"/>
      <protection locked="0"/>
    </xf>
    <xf numFmtId="0" fontId="3" fillId="0" borderId="9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11" borderId="3" xfId="0" applyFont="1" applyFill="1" applyBorder="1" applyAlignment="1" applyProtection="1">
      <alignment horizontal="right"/>
      <protection locked="0"/>
    </xf>
    <xf numFmtId="164" fontId="4" fillId="0" borderId="24" xfId="0" applyNumberFormat="1" applyFont="1" applyFill="1" applyBorder="1" applyProtection="1"/>
    <xf numFmtId="0" fontId="23" fillId="0" borderId="0" xfId="0" applyFont="1" applyFill="1" applyProtection="1"/>
    <xf numFmtId="0" fontId="31" fillId="3" borderId="0" xfId="0" applyFont="1" applyFill="1" applyProtection="1"/>
    <xf numFmtId="164" fontId="4" fillId="0" borderId="0" xfId="0" applyNumberFormat="1" applyFont="1" applyFill="1" applyBorder="1" applyProtection="1"/>
    <xf numFmtId="1" fontId="4" fillId="0" borderId="0" xfId="0" applyNumberFormat="1" applyFont="1" applyFill="1" applyBorder="1" applyAlignment="1" applyProtection="1">
      <alignment horizontal="center"/>
    </xf>
    <xf numFmtId="164" fontId="4" fillId="0" borderId="6" xfId="0" applyNumberFormat="1" applyFont="1" applyFill="1" applyBorder="1" applyProtection="1"/>
    <xf numFmtId="1" fontId="4" fillId="0" borderId="6" xfId="0" applyNumberFormat="1" applyFont="1" applyFill="1" applyBorder="1" applyAlignment="1" applyProtection="1">
      <alignment horizontal="center"/>
    </xf>
    <xf numFmtId="0" fontId="30" fillId="0" borderId="0" xfId="0" applyFont="1" applyFill="1" applyBorder="1" applyProtection="1"/>
    <xf numFmtId="0" fontId="4" fillId="3" borderId="21" xfId="0" applyFont="1" applyFill="1" applyBorder="1" applyProtection="1"/>
    <xf numFmtId="164" fontId="4" fillId="10" borderId="21" xfId="0" applyNumberFormat="1" applyFont="1" applyFill="1" applyBorder="1" applyProtection="1"/>
    <xf numFmtId="164" fontId="4" fillId="10" borderId="21" xfId="0" applyNumberFormat="1" applyFont="1" applyFill="1" applyBorder="1"/>
    <xf numFmtId="0" fontId="4" fillId="10" borderId="21" xfId="0" applyFont="1" applyFill="1" applyBorder="1" applyProtection="1"/>
    <xf numFmtId="0" fontId="4" fillId="0" borderId="6" xfId="0" applyFont="1" applyFill="1" applyBorder="1" applyAlignment="1" applyProtection="1">
      <alignment horizontal="left" vertical="top" wrapText="1"/>
    </xf>
    <xf numFmtId="0" fontId="4" fillId="0" borderId="21" xfId="0" applyFont="1" applyFill="1" applyBorder="1" applyAlignment="1" applyProtection="1"/>
    <xf numFmtId="2" fontId="4" fillId="0" borderId="5" xfId="0" applyNumberFormat="1" applyFont="1" applyFill="1" applyBorder="1" applyProtection="1"/>
    <xf numFmtId="0" fontId="4" fillId="0" borderId="13" xfId="0" applyFont="1" applyFill="1" applyBorder="1" applyAlignment="1">
      <alignment horizontal="center" wrapText="1"/>
    </xf>
    <xf numFmtId="0" fontId="14" fillId="0" borderId="14" xfId="0" applyFont="1" applyBorder="1"/>
    <xf numFmtId="0" fontId="4" fillId="0" borderId="9" xfId="0" applyFont="1" applyFill="1" applyBorder="1" applyProtection="1"/>
    <xf numFmtId="164" fontId="4" fillId="12" borderId="21" xfId="0" applyNumberFormat="1" applyFont="1" applyFill="1" applyBorder="1" applyProtection="1"/>
    <xf numFmtId="2" fontId="3" fillId="0" borderId="21" xfId="0" applyNumberFormat="1" applyFont="1" applyFill="1" applyBorder="1" applyProtection="1"/>
    <xf numFmtId="164" fontId="4" fillId="10" borderId="6" xfId="0" applyNumberFormat="1" applyFont="1" applyFill="1" applyBorder="1" applyProtection="1"/>
    <xf numFmtId="2" fontId="3" fillId="0" borderId="3" xfId="0" applyNumberFormat="1" applyFont="1" applyFill="1" applyBorder="1" applyAlignment="1" applyProtection="1">
      <alignment horizontal="center"/>
    </xf>
    <xf numFmtId="2" fontId="3" fillId="0" borderId="10" xfId="0" applyNumberFormat="1" applyFont="1" applyFill="1" applyBorder="1" applyAlignment="1" applyProtection="1">
      <alignment horizontal="center"/>
    </xf>
    <xf numFmtId="2" fontId="3" fillId="0" borderId="16" xfId="0" applyNumberFormat="1" applyFont="1" applyFill="1" applyBorder="1" applyAlignment="1" applyProtection="1">
      <alignment horizontal="center"/>
    </xf>
    <xf numFmtId="2" fontId="3" fillId="0" borderId="11" xfId="0" applyNumberFormat="1" applyFont="1" applyFill="1" applyBorder="1" applyAlignment="1" applyProtection="1">
      <alignment horizontal="center"/>
    </xf>
    <xf numFmtId="164" fontId="4" fillId="7" borderId="21" xfId="0" applyNumberFormat="1" applyFont="1" applyFill="1" applyBorder="1"/>
    <xf numFmtId="0" fontId="31" fillId="0" borderId="0" xfId="0" applyFont="1" applyFill="1" applyBorder="1" applyProtection="1"/>
    <xf numFmtId="164" fontId="13" fillId="0" borderId="0" xfId="0" applyNumberFormat="1" applyFont="1" applyProtection="1"/>
    <xf numFmtId="0" fontId="31" fillId="3" borderId="0" xfId="0" applyFont="1" applyFill="1" applyBorder="1" applyProtection="1"/>
    <xf numFmtId="0" fontId="31" fillId="3" borderId="10" xfId="0" applyFont="1" applyFill="1" applyBorder="1" applyProtection="1"/>
    <xf numFmtId="1" fontId="31" fillId="0" borderId="0" xfId="0" applyNumberFormat="1" applyFont="1" applyFill="1" applyBorder="1"/>
    <xf numFmtId="0" fontId="31" fillId="0" borderId="0" xfId="0" applyFont="1" applyFill="1" applyBorder="1"/>
    <xf numFmtId="0" fontId="31" fillId="0" borderId="0" xfId="0" applyFont="1" applyFill="1"/>
    <xf numFmtId="0" fontId="31" fillId="0" borderId="0" xfId="0" applyFont="1" applyFill="1" applyProtection="1"/>
    <xf numFmtId="164" fontId="31" fillId="0" borderId="0" xfId="0" applyNumberFormat="1" applyFont="1" applyFill="1" applyBorder="1" applyProtection="1"/>
    <xf numFmtId="164" fontId="31" fillId="0" borderId="10" xfId="0" applyNumberFormat="1" applyFont="1" applyFill="1" applyBorder="1" applyProtection="1"/>
    <xf numFmtId="2" fontId="11" fillId="0" borderId="3" xfId="0" applyNumberFormat="1" applyFont="1" applyBorder="1" applyAlignment="1" applyProtection="1">
      <alignment horizontal="left" vertical="center"/>
    </xf>
    <xf numFmtId="164" fontId="11" fillId="0" borderId="3" xfId="0" applyNumberFormat="1" applyFont="1" applyBorder="1" applyAlignment="1" applyProtection="1">
      <alignment horizontal="left" vertical="center"/>
    </xf>
    <xf numFmtId="2" fontId="3" fillId="11" borderId="21" xfId="0" applyNumberFormat="1" applyFont="1" applyFill="1" applyBorder="1" applyAlignment="1" applyProtection="1">
      <alignment vertical="center"/>
      <protection locked="0"/>
    </xf>
    <xf numFmtId="0" fontId="3" fillId="0" borderId="16" xfId="0" applyFont="1" applyBorder="1" applyProtection="1"/>
    <xf numFmtId="164" fontId="11" fillId="0" borderId="3" xfId="0" applyNumberFormat="1" applyFont="1" applyBorder="1" applyAlignment="1">
      <alignment horizontal="left"/>
    </xf>
    <xf numFmtId="164" fontId="11" fillId="0" borderId="16" xfId="0" applyNumberFormat="1" applyFont="1" applyFill="1" applyBorder="1" applyAlignment="1">
      <alignment horizontal="left"/>
    </xf>
    <xf numFmtId="164" fontId="32" fillId="0" borderId="0" xfId="0" applyNumberFormat="1" applyFont="1"/>
    <xf numFmtId="0" fontId="29" fillId="0" borderId="0" xfId="0" applyFont="1" applyFill="1" applyBorder="1" applyAlignment="1" applyProtection="1">
      <alignment horizontal="center"/>
      <protection locked="0"/>
    </xf>
    <xf numFmtId="0" fontId="30" fillId="0" borderId="0" xfId="0" applyFont="1" applyFill="1" applyBorder="1" applyAlignment="1" applyProtection="1">
      <alignment horizontal="center"/>
      <protection locked="0"/>
    </xf>
    <xf numFmtId="1" fontId="30" fillId="0" borderId="0" xfId="0" applyNumberFormat="1" applyFont="1" applyFill="1" applyBorder="1" applyAlignment="1" applyProtection="1">
      <alignment horizontal="center"/>
      <protection locked="0"/>
    </xf>
    <xf numFmtId="0" fontId="9" fillId="0" borderId="5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>
      <alignment horizontal="right"/>
    </xf>
    <xf numFmtId="1" fontId="3" fillId="11" borderId="8" xfId="0" applyNumberFormat="1" applyFont="1" applyFill="1" applyBorder="1" applyAlignment="1" applyProtection="1">
      <alignment vertical="center"/>
      <protection locked="0"/>
    </xf>
    <xf numFmtId="1" fontId="3" fillId="11" borderId="3" xfId="0" applyNumberFormat="1" applyFont="1" applyFill="1" applyBorder="1" applyAlignment="1" applyProtection="1">
      <alignment vertical="center"/>
      <protection locked="0"/>
    </xf>
    <xf numFmtId="1" fontId="3" fillId="11" borderId="11" xfId="0" applyNumberFormat="1" applyFont="1" applyFill="1" applyBorder="1" applyAlignment="1" applyProtection="1">
      <alignment vertical="center"/>
      <protection locked="0"/>
    </xf>
    <xf numFmtId="0" fontId="0" fillId="0" borderId="24" xfId="0" applyFill="1" applyBorder="1" applyProtection="1"/>
    <xf numFmtId="2" fontId="11" fillId="0" borderId="23" xfId="0" applyNumberFormat="1" applyFont="1" applyFill="1" applyBorder="1" applyProtection="1"/>
    <xf numFmtId="2" fontId="11" fillId="0" borderId="13" xfId="0" applyNumberFormat="1" applyFont="1" applyBorder="1" applyProtection="1"/>
    <xf numFmtId="0" fontId="11" fillId="0" borderId="8" xfId="0" applyFont="1" applyBorder="1" applyAlignment="1">
      <alignment horizontal="right"/>
    </xf>
    <xf numFmtId="0" fontId="11" fillId="0" borderId="3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2" fontId="3" fillId="0" borderId="0" xfId="0" applyNumberFormat="1" applyFont="1" applyFill="1" applyBorder="1" applyProtection="1">
      <protection locked="0"/>
    </xf>
    <xf numFmtId="165" fontId="3" fillId="0" borderId="16" xfId="0" applyNumberFormat="1" applyFont="1" applyFill="1" applyBorder="1" applyAlignment="1" applyProtection="1">
      <alignment horizontal="left" vertical="top" wrapText="1"/>
    </xf>
    <xf numFmtId="167" fontId="3" fillId="11" borderId="11" xfId="0" applyNumberFormat="1" applyFont="1" applyFill="1" applyBorder="1" applyAlignment="1" applyProtection="1">
      <alignment vertical="center"/>
      <protection locked="0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3" fillId="11" borderId="5" xfId="0" applyFont="1" applyFill="1" applyBorder="1" applyAlignment="1" applyProtection="1">
      <alignment horizontal="center"/>
      <protection locked="0"/>
    </xf>
    <xf numFmtId="164" fontId="3" fillId="11" borderId="18" xfId="0" applyNumberFormat="1" applyFont="1" applyFill="1" applyBorder="1" applyAlignment="1" applyProtection="1">
      <alignment horizontal="center"/>
      <protection locked="0"/>
    </xf>
    <xf numFmtId="0" fontId="11" fillId="0" borderId="10" xfId="0" applyFont="1" applyBorder="1" applyAlignment="1" applyProtection="1">
      <alignment horizontal="center"/>
    </xf>
    <xf numFmtId="0" fontId="11" fillId="0" borderId="16" xfId="0" applyFont="1" applyBorder="1" applyAlignment="1" applyProtection="1">
      <alignment horizontal="center"/>
    </xf>
    <xf numFmtId="0" fontId="11" fillId="0" borderId="14" xfId="0" applyFont="1" applyBorder="1" applyAlignment="1" applyProtection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13" xfId="0" applyFont="1" applyFill="1" applyBorder="1" applyAlignment="1">
      <alignment horizontal="left"/>
    </xf>
    <xf numFmtId="0" fontId="0" fillId="0" borderId="13" xfId="0" applyBorder="1"/>
    <xf numFmtId="0" fontId="4" fillId="0" borderId="14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164" fontId="4" fillId="0" borderId="0" xfId="2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2" fontId="4" fillId="0" borderId="0" xfId="2" applyNumberFormat="1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64" fontId="11" fillId="0" borderId="0" xfId="0" applyNumberFormat="1" applyFont="1" applyAlignment="1">
      <alignment horizontal="center"/>
    </xf>
    <xf numFmtId="164" fontId="11" fillId="0" borderId="13" xfId="0" applyNumberFormat="1" applyFont="1" applyBorder="1" applyAlignment="1">
      <alignment horizontal="center"/>
    </xf>
    <xf numFmtId="0" fontId="14" fillId="0" borderId="0" xfId="0" applyFont="1" applyFill="1" applyAlignment="1">
      <alignment horizontal="left"/>
    </xf>
    <xf numFmtId="2" fontId="3" fillId="0" borderId="3" xfId="0" applyNumberFormat="1" applyFont="1" applyFill="1" applyBorder="1"/>
    <xf numFmtId="0" fontId="3" fillId="0" borderId="0" xfId="0" applyFont="1" applyBorder="1" applyProtection="1"/>
    <xf numFmtId="164" fontId="11" fillId="0" borderId="0" xfId="0" applyNumberFormat="1" applyFont="1" applyFill="1" applyBorder="1" applyAlignment="1">
      <alignment horizontal="left"/>
    </xf>
    <xf numFmtId="0" fontId="32" fillId="0" borderId="0" xfId="0" applyFont="1"/>
    <xf numFmtId="2" fontId="11" fillId="8" borderId="0" xfId="0" applyNumberFormat="1" applyFont="1" applyFill="1" applyBorder="1" applyAlignment="1">
      <alignment horizontal="center"/>
    </xf>
    <xf numFmtId="2" fontId="11" fillId="8" borderId="13" xfId="0" applyNumberFormat="1" applyFont="1" applyFill="1" applyBorder="1" applyAlignment="1">
      <alignment horizontal="center"/>
    </xf>
    <xf numFmtId="0" fontId="11" fillId="8" borderId="0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2" fontId="11" fillId="8" borderId="0" xfId="0" applyNumberFormat="1" applyFont="1" applyFill="1" applyAlignment="1">
      <alignment horizontal="center"/>
    </xf>
    <xf numFmtId="2" fontId="3" fillId="8" borderId="5" xfId="0" applyNumberFormat="1" applyFont="1" applyFill="1" applyBorder="1" applyAlignment="1" applyProtection="1">
      <alignment horizontal="center"/>
      <protection locked="0"/>
    </xf>
    <xf numFmtId="2" fontId="11" fillId="8" borderId="5" xfId="0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10" fontId="0" fillId="11" borderId="5" xfId="0" applyNumberFormat="1" applyFill="1" applyBorder="1"/>
    <xf numFmtId="2" fontId="11" fillId="8" borderId="9" xfId="0" applyNumberFormat="1" applyFont="1" applyFill="1" applyBorder="1" applyAlignment="1">
      <alignment horizontal="center"/>
    </xf>
    <xf numFmtId="2" fontId="11" fillId="0" borderId="24" xfId="0" applyNumberFormat="1" applyFont="1" applyFill="1" applyBorder="1" applyAlignment="1">
      <alignment horizontal="center"/>
    </xf>
    <xf numFmtId="0" fontId="11" fillId="8" borderId="10" xfId="0" applyFont="1" applyFill="1" applyBorder="1"/>
    <xf numFmtId="0" fontId="11" fillId="8" borderId="9" xfId="0" applyFont="1" applyFill="1" applyBorder="1"/>
    <xf numFmtId="0" fontId="11" fillId="8" borderId="24" xfId="0" applyFont="1" applyFill="1" applyBorder="1"/>
    <xf numFmtId="0" fontId="3" fillId="8" borderId="16" xfId="0" applyFont="1" applyFill="1" applyBorder="1" applyAlignment="1" applyProtection="1">
      <alignment horizontal="center" wrapText="1"/>
    </xf>
    <xf numFmtId="0" fontId="3" fillId="8" borderId="0" xfId="0" applyFont="1" applyFill="1" applyBorder="1" applyAlignment="1" applyProtection="1">
      <alignment horizontal="center" wrapText="1"/>
    </xf>
    <xf numFmtId="0" fontId="11" fillId="8" borderId="0" xfId="0" applyFont="1" applyFill="1" applyBorder="1" applyAlignment="1">
      <alignment horizontal="center" wrapText="1"/>
    </xf>
    <xf numFmtId="0" fontId="11" fillId="8" borderId="22" xfId="0" applyFont="1" applyFill="1" applyBorder="1" applyAlignment="1">
      <alignment horizontal="center" wrapText="1"/>
    </xf>
    <xf numFmtId="0" fontId="3" fillId="8" borderId="14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/>
    <xf numFmtId="0" fontId="11" fillId="8" borderId="23" xfId="0" applyFont="1" applyFill="1" applyBorder="1" applyAlignment="1">
      <alignment horizontal="center"/>
    </xf>
    <xf numFmtId="0" fontId="11" fillId="8" borderId="10" xfId="0" applyFont="1" applyFill="1" applyBorder="1" applyAlignment="1">
      <alignment horizontal="center"/>
    </xf>
    <xf numFmtId="2" fontId="11" fillId="8" borderId="24" xfId="0" applyNumberFormat="1" applyFont="1" applyFill="1" applyBorder="1" applyAlignment="1">
      <alignment horizontal="center"/>
    </xf>
    <xf numFmtId="0" fontId="11" fillId="8" borderId="16" xfId="0" applyFont="1" applyFill="1" applyBorder="1" applyAlignment="1">
      <alignment horizontal="center"/>
    </xf>
    <xf numFmtId="2" fontId="11" fillId="8" borderId="22" xfId="0" applyNumberFormat="1" applyFont="1" applyFill="1" applyBorder="1" applyAlignment="1">
      <alignment horizontal="center"/>
    </xf>
    <xf numFmtId="0" fontId="11" fillId="8" borderId="14" xfId="0" applyFont="1" applyFill="1" applyBorder="1" applyAlignment="1">
      <alignment horizontal="center"/>
    </xf>
    <xf numFmtId="2" fontId="11" fillId="8" borderId="23" xfId="0" applyNumberFormat="1" applyFont="1" applyFill="1" applyBorder="1" applyAlignment="1">
      <alignment horizontal="center"/>
    </xf>
    <xf numFmtId="2" fontId="11" fillId="8" borderId="16" xfId="0" applyNumberFormat="1" applyFont="1" applyFill="1" applyBorder="1" applyAlignment="1">
      <alignment horizontal="center"/>
    </xf>
    <xf numFmtId="2" fontId="11" fillId="8" borderId="14" xfId="0" applyNumberFormat="1" applyFont="1" applyFill="1" applyBorder="1" applyAlignment="1">
      <alignment horizontal="center"/>
    </xf>
    <xf numFmtId="0" fontId="3" fillId="8" borderId="0" xfId="0" applyFont="1" applyFill="1" applyBorder="1" applyAlignment="1" applyProtection="1">
      <alignment horizontal="left" wrapText="1"/>
    </xf>
    <xf numFmtId="165" fontId="5" fillId="8" borderId="0" xfId="0" applyNumberFormat="1" applyFont="1" applyFill="1" applyBorder="1" applyAlignment="1" applyProtection="1">
      <alignment horizontal="left" wrapText="1"/>
    </xf>
    <xf numFmtId="0" fontId="3" fillId="8" borderId="16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>
      <alignment horizontal="center"/>
    </xf>
    <xf numFmtId="0" fontId="3" fillId="8" borderId="0" xfId="0" applyFont="1" applyFill="1" applyBorder="1" applyAlignment="1" applyProtection="1"/>
    <xf numFmtId="0" fontId="11" fillId="8" borderId="22" xfId="0" applyFont="1" applyFill="1" applyBorder="1" applyAlignment="1">
      <alignment horizontal="center"/>
    </xf>
    <xf numFmtId="0" fontId="3" fillId="8" borderId="10" xfId="0" applyFont="1" applyFill="1" applyBorder="1" applyAlignment="1" applyProtection="1">
      <alignment horizontal="center" wrapText="1"/>
    </xf>
    <xf numFmtId="0" fontId="3" fillId="8" borderId="9" xfId="0" applyFont="1" applyFill="1" applyBorder="1" applyAlignment="1" applyProtection="1">
      <alignment horizontal="center" wrapText="1"/>
    </xf>
    <xf numFmtId="0" fontId="11" fillId="8" borderId="9" xfId="0" applyFont="1" applyFill="1" applyBorder="1" applyAlignment="1">
      <alignment horizontal="center" wrapText="1"/>
    </xf>
    <xf numFmtId="0" fontId="3" fillId="8" borderId="9" xfId="0" applyFont="1" applyFill="1" applyBorder="1" applyAlignment="1" applyProtection="1">
      <alignment horizontal="left" wrapText="1"/>
    </xf>
    <xf numFmtId="165" fontId="5" fillId="8" borderId="9" xfId="0" applyNumberFormat="1" applyFont="1" applyFill="1" applyBorder="1" applyAlignment="1" applyProtection="1">
      <alignment horizontal="left" wrapText="1"/>
    </xf>
    <xf numFmtId="0" fontId="11" fillId="8" borderId="24" xfId="0" applyFont="1" applyFill="1" applyBorder="1" applyAlignment="1">
      <alignment horizontal="center" wrapText="1"/>
    </xf>
    <xf numFmtId="0" fontId="11" fillId="8" borderId="18" xfId="0" applyFont="1" applyFill="1" applyBorder="1"/>
    <xf numFmtId="0" fontId="11" fillId="8" borderId="6" xfId="0" applyFont="1" applyFill="1" applyBorder="1"/>
    <xf numFmtId="0" fontId="11" fillId="8" borderId="21" xfId="0" applyFont="1" applyFill="1" applyBorder="1"/>
    <xf numFmtId="2" fontId="11" fillId="8" borderId="10" xfId="0" applyNumberFormat="1" applyFont="1" applyFill="1" applyBorder="1" applyAlignment="1">
      <alignment horizontal="center"/>
    </xf>
    <xf numFmtId="2" fontId="3" fillId="8" borderId="1" xfId="0" applyNumberFormat="1" applyFont="1" applyFill="1" applyBorder="1" applyProtection="1"/>
    <xf numFmtId="164" fontId="3" fillId="8" borderId="5" xfId="0" applyNumberFormat="1" applyFont="1" applyFill="1" applyBorder="1" applyAlignment="1" applyProtection="1">
      <alignment horizontal="center"/>
      <protection locked="0"/>
    </xf>
    <xf numFmtId="0" fontId="0" fillId="8" borderId="0" xfId="0" applyFill="1"/>
    <xf numFmtId="0" fontId="3" fillId="8" borderId="18" xfId="0" applyFont="1" applyFill="1" applyBorder="1"/>
    <xf numFmtId="0" fontId="19" fillId="8" borderId="13" xfId="0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horizontal="center"/>
    </xf>
    <xf numFmtId="1" fontId="3" fillId="8" borderId="5" xfId="0" applyNumberFormat="1" applyFont="1" applyFill="1" applyBorder="1" applyProtection="1"/>
    <xf numFmtId="164" fontId="3" fillId="8" borderId="5" xfId="0" applyNumberFormat="1" applyFont="1" applyFill="1" applyBorder="1" applyProtection="1"/>
    <xf numFmtId="1" fontId="11" fillId="0" borderId="16" xfId="0" applyNumberFormat="1" applyFont="1" applyFill="1" applyBorder="1" applyAlignment="1">
      <alignment horizontal="right"/>
    </xf>
    <xf numFmtId="1" fontId="11" fillId="0" borderId="0" xfId="0" applyNumberFormat="1" applyFont="1" applyFill="1" applyBorder="1" applyAlignment="1">
      <alignment horizontal="right"/>
    </xf>
    <xf numFmtId="1" fontId="11" fillId="0" borderId="22" xfId="0" applyNumberFormat="1" applyFont="1" applyFill="1" applyBorder="1" applyAlignment="1">
      <alignment horizontal="right"/>
    </xf>
    <xf numFmtId="1" fontId="11" fillId="0" borderId="14" xfId="0" applyNumberFormat="1" applyFont="1" applyFill="1" applyBorder="1" applyAlignment="1">
      <alignment horizontal="right"/>
    </xf>
    <xf numFmtId="1" fontId="11" fillId="0" borderId="13" xfId="0" applyNumberFormat="1" applyFont="1" applyFill="1" applyBorder="1" applyAlignment="1">
      <alignment horizontal="right"/>
    </xf>
    <xf numFmtId="1" fontId="11" fillId="0" borderId="23" xfId="0" applyNumberFormat="1" applyFont="1" applyFill="1" applyBorder="1" applyAlignment="1">
      <alignment horizontal="right"/>
    </xf>
    <xf numFmtId="1" fontId="11" fillId="0" borderId="9" xfId="0" applyNumberFormat="1" applyFont="1" applyFill="1" applyBorder="1" applyAlignment="1">
      <alignment horizontal="right"/>
    </xf>
    <xf numFmtId="2" fontId="3" fillId="8" borderId="2" xfId="0" applyNumberFormat="1" applyFont="1" applyFill="1" applyBorder="1" applyProtection="1"/>
    <xf numFmtId="0" fontId="33" fillId="0" borderId="0" xfId="0" applyFont="1" applyProtection="1"/>
    <xf numFmtId="164" fontId="3" fillId="0" borderId="16" xfId="0" applyNumberFormat="1" applyFont="1" applyFill="1" applyBorder="1" applyAlignment="1">
      <alignment horizontal="left"/>
    </xf>
    <xf numFmtId="0" fontId="3" fillId="0" borderId="16" xfId="0" applyFont="1" applyBorder="1" applyAlignment="1" applyProtection="1">
      <alignment horizontal="left" vertical="center"/>
    </xf>
    <xf numFmtId="164" fontId="0" fillId="0" borderId="0" xfId="0" applyNumberFormat="1"/>
    <xf numFmtId="0" fontId="11" fillId="11" borderId="8" xfId="0" applyFont="1" applyFill="1" applyBorder="1" applyAlignment="1" applyProtection="1">
      <alignment vertical="top"/>
      <protection locked="0"/>
    </xf>
    <xf numFmtId="0" fontId="11" fillId="13" borderId="3" xfId="0" applyFont="1" applyFill="1" applyBorder="1" applyAlignment="1" applyProtection="1">
      <alignment vertical="top"/>
      <protection locked="0"/>
    </xf>
    <xf numFmtId="0" fontId="11" fillId="13" borderId="11" xfId="0" applyFont="1" applyFill="1" applyBorder="1" applyAlignment="1" applyProtection="1">
      <alignment vertical="top"/>
      <protection locked="0"/>
    </xf>
    <xf numFmtId="0" fontId="11" fillId="0" borderId="16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2" fontId="11" fillId="0" borderId="3" xfId="0" applyNumberFormat="1" applyFont="1" applyFill="1" applyBorder="1" applyAlignment="1" applyProtection="1">
      <alignment horizontal="left" vertical="center"/>
    </xf>
    <xf numFmtId="0" fontId="11" fillId="0" borderId="16" xfId="0" applyFont="1" applyFill="1" applyBorder="1" applyAlignment="1" applyProtection="1">
      <alignment horizontal="left" vertical="center"/>
    </xf>
    <xf numFmtId="0" fontId="3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3" fillId="0" borderId="8" xfId="0" applyFont="1" applyFill="1" applyBorder="1" applyAlignment="1" applyProtection="1">
      <alignment vertical="center"/>
      <protection locked="0"/>
    </xf>
    <xf numFmtId="1" fontId="3" fillId="0" borderId="8" xfId="0" applyNumberFormat="1" applyFont="1" applyFill="1" applyBorder="1" applyAlignment="1" applyProtection="1">
      <alignment vertical="center"/>
      <protection locked="0"/>
    </xf>
    <xf numFmtId="164" fontId="3" fillId="0" borderId="22" xfId="0" applyNumberFormat="1" applyFont="1" applyFill="1" applyBorder="1" applyProtection="1"/>
    <xf numFmtId="0" fontId="11" fillId="0" borderId="16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1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 wrapText="1"/>
    </xf>
    <xf numFmtId="164" fontId="11" fillId="11" borderId="8" xfId="0" applyNumberFormat="1" applyFont="1" applyFill="1" applyBorder="1"/>
    <xf numFmtId="164" fontId="11" fillId="11" borderId="3" xfId="0" applyNumberFormat="1" applyFont="1" applyFill="1" applyBorder="1"/>
    <xf numFmtId="164" fontId="11" fillId="11" borderId="11" xfId="0" applyNumberFormat="1" applyFont="1" applyFill="1" applyBorder="1"/>
    <xf numFmtId="164" fontId="11" fillId="0" borderId="16" xfId="0" applyNumberFormat="1" applyFont="1" applyBorder="1" applyAlignment="1" applyProtection="1">
      <alignment horizontal="left" vertical="center"/>
    </xf>
    <xf numFmtId="2" fontId="0" fillId="0" borderId="0" xfId="0" applyNumberFormat="1" applyProtection="1"/>
    <xf numFmtId="164" fontId="0" fillId="0" borderId="0" xfId="0" applyNumberFormat="1" applyProtection="1"/>
    <xf numFmtId="164" fontId="3" fillId="0" borderId="8" xfId="0" applyNumberFormat="1" applyFont="1" applyFill="1" applyBorder="1" applyAlignment="1" applyProtection="1">
      <alignment vertical="center"/>
      <protection locked="0"/>
    </xf>
    <xf numFmtId="164" fontId="3" fillId="0" borderId="23" xfId="0" applyNumberFormat="1" applyFont="1" applyFill="1" applyBorder="1" applyProtection="1"/>
    <xf numFmtId="164" fontId="0" fillId="0" borderId="22" xfId="0" applyNumberFormat="1" applyFill="1" applyBorder="1" applyProtection="1"/>
    <xf numFmtId="164" fontId="0" fillId="0" borderId="0" xfId="0" applyNumberFormat="1" applyFill="1" applyProtection="1"/>
    <xf numFmtId="164" fontId="0" fillId="0" borderId="0" xfId="0" applyNumberFormat="1" applyFill="1" applyBorder="1" applyProtection="1"/>
    <xf numFmtId="0" fontId="23" fillId="0" borderId="16" xfId="0" applyFont="1" applyFill="1" applyBorder="1" applyProtection="1"/>
    <xf numFmtId="0" fontId="31" fillId="0" borderId="14" xfId="0" applyFont="1" applyFill="1" applyBorder="1" applyProtection="1"/>
    <xf numFmtId="164" fontId="3" fillId="0" borderId="6" xfId="0" applyNumberFormat="1" applyFont="1" applyFill="1" applyBorder="1" applyProtection="1"/>
    <xf numFmtId="1" fontId="23" fillId="3" borderId="0" xfId="0" applyNumberFormat="1" applyFont="1" applyFill="1" applyBorder="1" applyProtection="1"/>
    <xf numFmtId="2" fontId="11" fillId="0" borderId="16" xfId="0" applyNumberFormat="1" applyFont="1" applyBorder="1" applyAlignment="1" applyProtection="1">
      <alignment horizontal="left" vertical="center"/>
    </xf>
    <xf numFmtId="164" fontId="3" fillId="11" borderId="5" xfId="0" applyNumberFormat="1" applyFont="1" applyFill="1" applyBorder="1" applyAlignment="1" applyProtection="1">
      <alignment horizontal="right"/>
      <protection locked="0"/>
    </xf>
    <xf numFmtId="164" fontId="3" fillId="0" borderId="22" xfId="0" applyNumberFormat="1" applyFont="1" applyFill="1" applyBorder="1"/>
    <xf numFmtId="164" fontId="3" fillId="0" borderId="24" xfId="0" applyNumberFormat="1" applyFont="1" applyFill="1" applyBorder="1" applyProtection="1"/>
    <xf numFmtId="169" fontId="11" fillId="0" borderId="16" xfId="0" applyNumberFormat="1" applyFont="1" applyFill="1" applyBorder="1" applyAlignment="1">
      <alignment horizontal="left"/>
    </xf>
    <xf numFmtId="164" fontId="3" fillId="0" borderId="0" xfId="0" applyNumberFormat="1" applyFont="1" applyFill="1" applyBorder="1"/>
    <xf numFmtId="164" fontId="31" fillId="0" borderId="0" xfId="0" applyNumberFormat="1" applyFont="1" applyFill="1" applyBorder="1"/>
    <xf numFmtId="164" fontId="4" fillId="0" borderId="18" xfId="0" applyNumberFormat="1" applyFont="1" applyFill="1" applyBorder="1"/>
    <xf numFmtId="164" fontId="4" fillId="0" borderId="21" xfId="0" applyNumberFormat="1" applyFont="1" applyFill="1" applyBorder="1"/>
    <xf numFmtId="164" fontId="4" fillId="14" borderId="21" xfId="0" applyNumberFormat="1" applyFont="1" applyFill="1" applyBorder="1"/>
    <xf numFmtId="164" fontId="11" fillId="11" borderId="3" xfId="0" applyNumberFormat="1" applyFont="1" applyFill="1" applyBorder="1" applyAlignment="1" applyProtection="1">
      <alignment horizontal="right"/>
      <protection locked="0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1" fontId="11" fillId="0" borderId="10" xfId="0" applyNumberFormat="1" applyFont="1" applyFill="1" applyBorder="1" applyAlignment="1">
      <alignment horizontal="right"/>
    </xf>
    <xf numFmtId="2" fontId="11" fillId="0" borderId="10" xfId="0" applyNumberFormat="1" applyFont="1" applyFill="1" applyBorder="1" applyAlignment="1">
      <alignment horizontal="center"/>
    </xf>
    <xf numFmtId="1" fontId="11" fillId="0" borderId="10" xfId="0" applyNumberFormat="1" applyFont="1" applyFill="1" applyBorder="1" applyAlignment="1">
      <alignment horizontal="center"/>
    </xf>
    <xf numFmtId="1" fontId="11" fillId="0" borderId="9" xfId="0" applyNumberFormat="1" applyFont="1" applyFill="1" applyBorder="1" applyAlignment="1">
      <alignment horizontal="center"/>
    </xf>
    <xf numFmtId="1" fontId="11" fillId="0" borderId="16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1" fontId="11" fillId="0" borderId="14" xfId="0" applyNumberFormat="1" applyFont="1" applyFill="1" applyBorder="1" applyAlignment="1">
      <alignment horizontal="center"/>
    </xf>
    <xf numFmtId="1" fontId="11" fillId="0" borderId="13" xfId="0" applyNumberFormat="1" applyFont="1" applyFill="1" applyBorder="1" applyAlignment="1">
      <alignment horizontal="center"/>
    </xf>
    <xf numFmtId="0" fontId="11" fillId="0" borderId="16" xfId="0" applyFont="1" applyFill="1" applyBorder="1" applyAlignment="1" applyProtection="1">
      <alignment horizontal="left"/>
    </xf>
    <xf numFmtId="0" fontId="11" fillId="0" borderId="0" xfId="0" applyFont="1" applyFill="1" applyBorder="1" applyAlignment="1" applyProtection="1">
      <alignment horizontal="left"/>
    </xf>
    <xf numFmtId="0" fontId="11" fillId="0" borderId="22" xfId="0" applyFont="1" applyFill="1" applyBorder="1" applyAlignment="1" applyProtection="1">
      <alignment horizontal="left"/>
    </xf>
    <xf numFmtId="0" fontId="3" fillId="0" borderId="14" xfId="0" applyFont="1" applyFill="1" applyBorder="1" applyAlignment="1" applyProtection="1">
      <alignment horizontal="left" wrapText="1"/>
    </xf>
    <xf numFmtId="0" fontId="3" fillId="0" borderId="23" xfId="0" applyFont="1" applyFill="1" applyBorder="1" applyAlignment="1" applyProtection="1">
      <alignment horizontal="left" wrapText="1"/>
    </xf>
    <xf numFmtId="2" fontId="3" fillId="0" borderId="8" xfId="0" applyNumberFormat="1" applyFont="1" applyFill="1" applyBorder="1" applyAlignment="1" applyProtection="1">
      <alignment horizontal="left"/>
    </xf>
    <xf numFmtId="2" fontId="3" fillId="0" borderId="10" xfId="0" applyNumberFormat="1" applyFont="1" applyFill="1" applyBorder="1" applyAlignment="1" applyProtection="1">
      <alignment horizontal="left"/>
    </xf>
    <xf numFmtId="0" fontId="3" fillId="0" borderId="24" xfId="0" applyFont="1" applyFill="1" applyBorder="1" applyAlignment="1" applyProtection="1">
      <alignment horizontal="left" wrapText="1"/>
    </xf>
    <xf numFmtId="0" fontId="3" fillId="0" borderId="8" xfId="0" applyFont="1" applyFill="1" applyBorder="1" applyAlignment="1" applyProtection="1">
      <alignment horizontal="left" wrapText="1"/>
    </xf>
    <xf numFmtId="2" fontId="3" fillId="0" borderId="3" xfId="0" applyNumberFormat="1" applyFont="1" applyFill="1" applyBorder="1" applyAlignment="1" applyProtection="1">
      <alignment horizontal="left"/>
    </xf>
    <xf numFmtId="2" fontId="3" fillId="0" borderId="16" xfId="0" applyNumberFormat="1" applyFont="1" applyFill="1" applyBorder="1" applyAlignment="1" applyProtection="1">
      <alignment horizontal="left"/>
    </xf>
    <xf numFmtId="0" fontId="3" fillId="0" borderId="22" xfId="0" applyFont="1" applyFill="1" applyBorder="1" applyAlignment="1" applyProtection="1">
      <alignment horizontal="left" wrapText="1"/>
    </xf>
    <xf numFmtId="0" fontId="3" fillId="0" borderId="3" xfId="0" applyFont="1" applyFill="1" applyBorder="1" applyAlignment="1" applyProtection="1">
      <alignment horizontal="left" wrapText="1"/>
    </xf>
    <xf numFmtId="0" fontId="3" fillId="0" borderId="11" xfId="0" applyFont="1" applyFill="1" applyBorder="1" applyAlignment="1" applyProtection="1">
      <alignment horizontal="left" wrapText="1"/>
    </xf>
    <xf numFmtId="2" fontId="3" fillId="0" borderId="11" xfId="0" applyNumberFormat="1" applyFont="1" applyFill="1" applyBorder="1" applyAlignment="1" applyProtection="1">
      <alignment horizontal="left"/>
    </xf>
    <xf numFmtId="2" fontId="3" fillId="0" borderId="14" xfId="0" applyNumberFormat="1" applyFont="1" applyFill="1" applyBorder="1" applyAlignment="1" applyProtection="1">
      <alignment horizontal="left"/>
    </xf>
    <xf numFmtId="0" fontId="3" fillId="0" borderId="10" xfId="0" applyFont="1" applyFill="1" applyBorder="1" applyAlignment="1" applyProtection="1">
      <alignment horizontal="left" wrapText="1"/>
    </xf>
    <xf numFmtId="0" fontId="3" fillId="0" borderId="9" xfId="0" applyFont="1" applyFill="1" applyBorder="1" applyAlignment="1" applyProtection="1">
      <alignment horizontal="left" wrapText="1"/>
    </xf>
    <xf numFmtId="0" fontId="3" fillId="0" borderId="16" xfId="0" applyFont="1" applyFill="1" applyBorder="1" applyAlignment="1" applyProtection="1">
      <alignment horizontal="left" wrapText="1"/>
    </xf>
    <xf numFmtId="2" fontId="3" fillId="0" borderId="24" xfId="0" applyNumberFormat="1" applyFont="1" applyFill="1" applyBorder="1" applyAlignment="1" applyProtection="1">
      <alignment horizontal="left"/>
    </xf>
    <xf numFmtId="2" fontId="3" fillId="0" borderId="22" xfId="0" applyNumberFormat="1" applyFont="1" applyFill="1" applyBorder="1" applyAlignment="1" applyProtection="1">
      <alignment horizontal="left"/>
    </xf>
    <xf numFmtId="2" fontId="3" fillId="0" borderId="13" xfId="0" applyNumberFormat="1" applyFont="1" applyFill="1" applyBorder="1" applyAlignment="1" applyProtection="1">
      <alignment horizontal="left"/>
    </xf>
    <xf numFmtId="2" fontId="3" fillId="0" borderId="23" xfId="0" applyNumberFormat="1" applyFont="1" applyFill="1" applyBorder="1" applyAlignment="1" applyProtection="1">
      <alignment horizontal="left"/>
    </xf>
    <xf numFmtId="0" fontId="3" fillId="0" borderId="13" xfId="0" applyFont="1" applyFill="1" applyBorder="1" applyAlignment="1" applyProtection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left" wrapText="1"/>
    </xf>
    <xf numFmtId="2" fontId="3" fillId="0" borderId="11" xfId="0" applyNumberFormat="1" applyFont="1" applyFill="1" applyBorder="1" applyAlignment="1">
      <alignment horizontal="left"/>
    </xf>
    <xf numFmtId="2" fontId="3" fillId="0" borderId="14" xfId="0" applyNumberFormat="1" applyFont="1" applyFill="1" applyBorder="1" applyAlignment="1">
      <alignment horizontal="left"/>
    </xf>
    <xf numFmtId="0" fontId="3" fillId="0" borderId="14" xfId="0" applyFont="1" applyFill="1" applyBorder="1" applyAlignment="1">
      <alignment horizontal="left" wrapText="1"/>
    </xf>
    <xf numFmtId="2" fontId="3" fillId="0" borderId="12" xfId="0" applyNumberFormat="1" applyFont="1" applyFill="1" applyBorder="1" applyAlignment="1">
      <alignment horizontal="left"/>
    </xf>
    <xf numFmtId="0" fontId="3" fillId="0" borderId="13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2" fontId="3" fillId="0" borderId="3" xfId="0" applyNumberFormat="1" applyFont="1" applyFill="1" applyBorder="1" applyAlignment="1">
      <alignment horizontal="left"/>
    </xf>
    <xf numFmtId="2" fontId="3" fillId="0" borderId="4" xfId="0" applyNumberFormat="1" applyFont="1" applyFill="1" applyBorder="1" applyAlignment="1">
      <alignment horizontal="left"/>
    </xf>
    <xf numFmtId="0" fontId="3" fillId="0" borderId="3" xfId="0" applyFont="1" applyFill="1" applyBorder="1" applyAlignment="1">
      <alignment horizontal="left" wrapText="1"/>
    </xf>
    <xf numFmtId="2" fontId="3" fillId="0" borderId="16" xfId="0" applyNumberFormat="1" applyFont="1" applyFill="1" applyBorder="1" applyAlignment="1">
      <alignment horizontal="left"/>
    </xf>
    <xf numFmtId="0" fontId="3" fillId="0" borderId="10" xfId="0" applyFont="1" applyFill="1" applyBorder="1" applyAlignment="1">
      <alignment horizontal="left" wrapText="1"/>
    </xf>
    <xf numFmtId="0" fontId="3" fillId="0" borderId="24" xfId="0" applyFont="1" applyFill="1" applyBorder="1" applyAlignment="1">
      <alignment horizontal="left" wrapText="1"/>
    </xf>
    <xf numFmtId="2" fontId="3" fillId="0" borderId="8" xfId="0" applyNumberFormat="1" applyFont="1" applyFill="1" applyBorder="1" applyAlignment="1">
      <alignment horizontal="left"/>
    </xf>
    <xf numFmtId="2" fontId="3" fillId="0" borderId="32" xfId="0" applyNumberFormat="1" applyFont="1" applyFill="1" applyBorder="1" applyAlignment="1">
      <alignment horizontal="left"/>
    </xf>
    <xf numFmtId="0" fontId="3" fillId="0" borderId="8" xfId="0" applyFont="1" applyFill="1" applyBorder="1" applyAlignment="1">
      <alignment horizontal="left" wrapText="1"/>
    </xf>
    <xf numFmtId="2" fontId="3" fillId="0" borderId="10" xfId="0" applyNumberFormat="1" applyFont="1" applyFill="1" applyBorder="1" applyAlignment="1">
      <alignment horizontal="left"/>
    </xf>
    <xf numFmtId="0" fontId="3" fillId="0" borderId="9" xfId="0" applyFont="1" applyFill="1" applyBorder="1" applyAlignment="1">
      <alignment horizontal="left" wrapText="1"/>
    </xf>
    <xf numFmtId="0" fontId="3" fillId="0" borderId="18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3" fillId="0" borderId="21" xfId="0" applyFont="1" applyFill="1" applyBorder="1" applyAlignment="1" applyProtection="1">
      <alignment horizontal="center"/>
    </xf>
    <xf numFmtId="0" fontId="3" fillId="0" borderId="10" xfId="0" applyFont="1" applyFill="1" applyBorder="1" applyAlignment="1" applyProtection="1">
      <alignment horizontal="center" textRotation="90"/>
    </xf>
    <xf numFmtId="0" fontId="3" fillId="0" borderId="16" xfId="0" applyFont="1" applyFill="1" applyBorder="1" applyAlignment="1" applyProtection="1">
      <alignment horizontal="center" textRotation="90"/>
    </xf>
    <xf numFmtId="0" fontId="3" fillId="0" borderId="3" xfId="0" applyFont="1" applyFill="1" applyBorder="1" applyAlignment="1" applyProtection="1">
      <alignment horizontal="center" textRotation="90"/>
    </xf>
    <xf numFmtId="0" fontId="3" fillId="0" borderId="8" xfId="0" applyFont="1" applyFill="1" applyBorder="1" applyAlignment="1" applyProtection="1">
      <alignment horizontal="right" vertical="center" wrapText="1"/>
    </xf>
    <xf numFmtId="0" fontId="3" fillId="0" borderId="3" xfId="0" applyFont="1" applyFill="1" applyBorder="1" applyAlignment="1" applyProtection="1">
      <alignment horizontal="right" vertical="center" wrapText="1"/>
    </xf>
    <xf numFmtId="0" fontId="3" fillId="0" borderId="10" xfId="0" applyFont="1" applyFill="1" applyBorder="1" applyAlignment="1" applyProtection="1">
      <alignment horizontal="right" vertical="center" wrapText="1"/>
    </xf>
    <xf numFmtId="0" fontId="0" fillId="0" borderId="16" xfId="0" applyFont="1" applyFill="1" applyBorder="1" applyAlignment="1" applyProtection="1">
      <alignment horizontal="right" vertical="center"/>
    </xf>
    <xf numFmtId="0" fontId="3" fillId="0" borderId="8" xfId="0" applyFont="1" applyFill="1" applyBorder="1" applyAlignment="1" applyProtection="1">
      <alignment horizontal="center" textRotation="90"/>
    </xf>
    <xf numFmtId="0" fontId="3" fillId="0" borderId="11" xfId="0" applyFont="1" applyFill="1" applyBorder="1" applyAlignment="1" applyProtection="1">
      <alignment horizontal="center" textRotation="90"/>
    </xf>
    <xf numFmtId="0" fontId="3" fillId="0" borderId="9" xfId="0" applyFont="1" applyFill="1" applyBorder="1" applyAlignment="1" applyProtection="1">
      <alignment horizontal="center"/>
    </xf>
    <xf numFmtId="0" fontId="3" fillId="0" borderId="24" xfId="0" applyFont="1" applyFill="1" applyBorder="1" applyAlignment="1" applyProtection="1">
      <alignment horizontal="center"/>
    </xf>
    <xf numFmtId="0" fontId="3" fillId="0" borderId="31" xfId="0" applyFont="1" applyFill="1" applyBorder="1" applyAlignment="1" applyProtection="1">
      <alignment horizontal="right" vertical="center" wrapText="1"/>
    </xf>
    <xf numFmtId="0" fontId="0" fillId="0" borderId="31" xfId="0" applyFont="1" applyFill="1" applyBorder="1" applyAlignment="1" applyProtection="1">
      <alignment horizontal="right" vertical="center"/>
    </xf>
    <xf numFmtId="0" fontId="0" fillId="0" borderId="14" xfId="0" applyFont="1" applyFill="1" applyBorder="1" applyAlignment="1" applyProtection="1">
      <alignment horizontal="right" vertical="center"/>
    </xf>
    <xf numFmtId="0" fontId="3" fillId="0" borderId="5" xfId="0" applyFont="1" applyFill="1" applyBorder="1" applyAlignment="1" applyProtection="1">
      <alignment horizontal="center" textRotation="90"/>
    </xf>
    <xf numFmtId="0" fontId="3" fillId="0" borderId="24" xfId="0" applyFont="1" applyFill="1" applyBorder="1" applyAlignment="1" applyProtection="1">
      <alignment horizontal="center" vertical="center" wrapText="1"/>
    </xf>
    <xf numFmtId="0" fontId="3" fillId="0" borderId="22" xfId="0" applyFont="1" applyFill="1" applyBorder="1" applyAlignment="1" applyProtection="1">
      <alignment horizontal="center" vertical="center" wrapText="1"/>
    </xf>
    <xf numFmtId="0" fontId="3" fillId="0" borderId="2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24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/>
    </xf>
    <xf numFmtId="0" fontId="14" fillId="0" borderId="18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4" fillId="0" borderId="21" xfId="0" applyFont="1" applyBorder="1" applyAlignment="1">
      <alignment horizontal="left"/>
    </xf>
    <xf numFmtId="0" fontId="4" fillId="0" borderId="18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2" fillId="0" borderId="18" xfId="0" applyFont="1" applyFill="1" applyBorder="1" applyAlignment="1">
      <alignment horizontal="left" vertical="center"/>
    </xf>
    <xf numFmtId="0" fontId="2" fillId="0" borderId="21" xfId="0" applyFont="1" applyFill="1" applyBorder="1" applyAlignment="1">
      <alignment horizontal="left" vertical="center"/>
    </xf>
    <xf numFmtId="0" fontId="18" fillId="0" borderId="18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FF99"/>
      <color rgb="FFA8F6F2"/>
      <color rgb="FF00CC00"/>
      <color rgb="FFF60A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Price </a:t>
            </a:r>
          </a:p>
        </c:rich>
      </c:tx>
      <c:layout>
        <c:manualLayout>
          <c:xMode val="edge"/>
          <c:yMode val="edge"/>
          <c:x val="0.30861072574739057"/>
          <c:y val="1.81972408970809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68192508529272"/>
          <c:y val="0.16873391621818348"/>
          <c:w val="0.80562568844484395"/>
          <c:h val="0.6843204571727703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-10950.623442369517</c:v>
                </c:pt>
                <c:pt idx="1">
                  <c:v>-5036.6822079668964</c:v>
                </c:pt>
                <c:pt idx="2">
                  <c:v>877.25902643572226</c:v>
                </c:pt>
                <c:pt idx="3">
                  <c:v>6791.2002608383373</c:v>
                </c:pt>
                <c:pt idx="4">
                  <c:v>12705.141495240961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1-4F7E-8B11-490996966599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8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-2214.6673655728328</c:v>
                </c:pt>
                <c:pt idx="1">
                  <c:v>40.08250277170464</c:v>
                </c:pt>
                <c:pt idx="2">
                  <c:v>3664.9350055322457</c:v>
                </c:pt>
                <c:pt idx="3">
                  <c:v>7289.7875082927849</c:v>
                </c:pt>
                <c:pt idx="4">
                  <c:v>10914.640011053325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F0-4A82-B9D1-9C6E1C658B02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-3381.4700818946094</c:v>
                </c:pt>
                <c:pt idx="1">
                  <c:v>-306.27623357018456</c:v>
                </c:pt>
                <c:pt idx="2">
                  <c:v>2768.9176147542403</c:v>
                </c:pt>
                <c:pt idx="3">
                  <c:v>5844.1114630786633</c:v>
                </c:pt>
                <c:pt idx="4">
                  <c:v>8919.3053114030863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F0-4A82-B9D1-9C6E1C658B02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-12008.746639441326</c:v>
                </c:pt>
                <c:pt idx="1">
                  <c:v>-6275.3931195585556</c:v>
                </c:pt>
                <c:pt idx="2">
                  <c:v>-542.03959967578339</c:v>
                </c:pt>
                <c:pt idx="3">
                  <c:v>5191.3139202069924</c:v>
                </c:pt>
                <c:pt idx="4">
                  <c:v>10924.667440089759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F0-4A82-B9D1-9C6E1C658B02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-5758.5536074019965</c:v>
                </c:pt>
                <c:pt idx="1">
                  <c:v>-3182.0330168480341</c:v>
                </c:pt>
                <c:pt idx="2">
                  <c:v>-605.5124262940717</c:v>
                </c:pt>
                <c:pt idx="3">
                  <c:v>1971.0081642598943</c:v>
                </c:pt>
                <c:pt idx="4">
                  <c:v>4547.5287548138549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BB-4DED-B44A-DF9385A0AFF1}"/>
            </c:ext>
          </c:extLst>
        </c:ser>
        <c:ser>
          <c:idx val="1"/>
          <c:order val="5"/>
          <c:tx>
            <c:v>Silphium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-3968.0830071025139</c:v>
                </c:pt>
                <c:pt idx="1">
                  <c:v>-216.1773833797979</c:v>
                </c:pt>
                <c:pt idx="2">
                  <c:v>3535.7282403429181</c:v>
                </c:pt>
                <c:pt idx="3">
                  <c:v>7287.6338640656322</c:v>
                </c:pt>
                <c:pt idx="4">
                  <c:v>11039.539487788354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BB-4DED-B44A-DF9385A0AF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5448"/>
        <c:axId val="373474272"/>
      </c:scatterChart>
      <c:valAx>
        <c:axId val="37347544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4272"/>
        <c:crosses val="autoZero"/>
        <c:crossBetween val="midCat"/>
      </c:valAx>
      <c:valAx>
        <c:axId val="373474272"/>
        <c:scaling>
          <c:orientation val="minMax"/>
          <c:max val="20000"/>
          <c:min val="-2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(€ ha-1)</a:t>
                </a:r>
              </a:p>
            </c:rich>
          </c:tx>
          <c:layout>
            <c:manualLayout>
              <c:xMode val="edge"/>
              <c:yMode val="edge"/>
              <c:x val="3.0246917255628128E-2"/>
              <c:y val="0.47163451343156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4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Forage</a:t>
            </a:r>
            <a:r>
              <a:rPr lang="en-US" i="0" baseline="0"/>
              <a:t> maize</a:t>
            </a:r>
            <a:r>
              <a:rPr lang="en-US" i="0"/>
              <a:t>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SA'!$D$19:$H$19</c:f>
              <c:numCache>
                <c:formatCode>0</c:formatCode>
                <c:ptCount val="5"/>
                <c:pt idx="0">
                  <c:v>-12008.746639441326</c:v>
                </c:pt>
                <c:pt idx="1">
                  <c:v>-6275.3931195585556</c:v>
                </c:pt>
                <c:pt idx="2">
                  <c:v>-542.03959967578339</c:v>
                </c:pt>
                <c:pt idx="3">
                  <c:v>5191.3139202069924</c:v>
                </c:pt>
                <c:pt idx="4">
                  <c:v>10924.667440089759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0E-4C26-8D98-CCEC06F65476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-12008.746639441326</c:v>
                </c:pt>
                <c:pt idx="1">
                  <c:v>-6275.3931195585556</c:v>
                </c:pt>
                <c:pt idx="2">
                  <c:v>-542.03959967578339</c:v>
                </c:pt>
                <c:pt idx="3">
                  <c:v>5191.3139202069924</c:v>
                </c:pt>
                <c:pt idx="4">
                  <c:v>10924.667440089759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0E-4C26-8D98-CCEC06F65476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15736.22561840165</c:v>
                </c:pt>
                <c:pt idx="1">
                  <c:v>7597.0930093629331</c:v>
                </c:pt>
                <c:pt idx="2">
                  <c:v>-542.03959967578339</c:v>
                </c:pt>
                <c:pt idx="3">
                  <c:v>-8681.1722087144972</c:v>
                </c:pt>
                <c:pt idx="4">
                  <c:v>-16820.304817753218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80E-4C26-8D98-CCEC06F65476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-670.32594742857327</c:v>
                </c:pt>
                <c:pt idx="1">
                  <c:v>-600.91507837151221</c:v>
                </c:pt>
                <c:pt idx="2">
                  <c:v>-542.03959967578339</c:v>
                </c:pt>
                <c:pt idx="3">
                  <c:v>-491.83263196087682</c:v>
                </c:pt>
                <c:pt idx="4">
                  <c:v>-448.79365323738602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80E-4C26-8D98-CCEC06F65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7456"/>
        <c:axId val="478132360"/>
      </c:scatterChart>
      <c:valAx>
        <c:axId val="47813745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360"/>
        <c:crosses val="autoZero"/>
        <c:crossBetween val="midCat"/>
      </c:valAx>
      <c:valAx>
        <c:axId val="47813236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74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Yield </a:t>
            </a:r>
          </a:p>
        </c:rich>
      </c:tx>
      <c:layout>
        <c:manualLayout>
          <c:xMode val="edge"/>
          <c:yMode val="edge"/>
          <c:x val="0.32806248504200691"/>
          <c:y val="1.817283226945616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826243982645308"/>
          <c:y val="0.16918699957904659"/>
          <c:w val="0.80746745995162361"/>
          <c:h val="0.66445782353961325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-10950.623442369517</c:v>
                </c:pt>
                <c:pt idx="1">
                  <c:v>-5036.6822079668964</c:v>
                </c:pt>
                <c:pt idx="2">
                  <c:v>877.25902643572226</c:v>
                </c:pt>
                <c:pt idx="3">
                  <c:v>6791.2002608383409</c:v>
                </c:pt>
                <c:pt idx="4">
                  <c:v>12705.141495240961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6-4AC5-99C5-AD22B66A40CA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-3584.769999988835</c:v>
                </c:pt>
                <c:pt idx="1">
                  <c:v>40.08250277170464</c:v>
                </c:pt>
                <c:pt idx="2">
                  <c:v>3664.9350055322457</c:v>
                </c:pt>
                <c:pt idx="3">
                  <c:v>7289.7875082927849</c:v>
                </c:pt>
                <c:pt idx="4">
                  <c:v>10914.640011053325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7D-449C-BC7C-6CF74DF7B9A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-3381.4700818946094</c:v>
                </c:pt>
                <c:pt idx="1">
                  <c:v>-306.27623357018456</c:v>
                </c:pt>
                <c:pt idx="2">
                  <c:v>2768.9176147542403</c:v>
                </c:pt>
                <c:pt idx="3">
                  <c:v>5844.1114630786633</c:v>
                </c:pt>
                <c:pt idx="4">
                  <c:v>8919.3053114030863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7D-449C-BC7C-6CF74DF7B9A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8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SA'!$D$26:$H$26</c:f>
              <c:numCache>
                <c:formatCode>0</c:formatCode>
                <c:ptCount val="5"/>
                <c:pt idx="0">
                  <c:v>-12008.746639441326</c:v>
                </c:pt>
                <c:pt idx="1">
                  <c:v>-6275.3931195585556</c:v>
                </c:pt>
                <c:pt idx="2">
                  <c:v>-542.03959967578339</c:v>
                </c:pt>
                <c:pt idx="3">
                  <c:v>5191.3139202069924</c:v>
                </c:pt>
                <c:pt idx="4">
                  <c:v>10924.667440089759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07D-449C-BC7C-6CF74DF7B9A0}"/>
            </c:ext>
          </c:extLst>
        </c:ser>
        <c:ser>
          <c:idx val="1"/>
          <c:order val="4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-3968.0830071025139</c:v>
                </c:pt>
                <c:pt idx="1">
                  <c:v>-216.1773833797979</c:v>
                </c:pt>
                <c:pt idx="2">
                  <c:v>3535.7282403429181</c:v>
                </c:pt>
                <c:pt idx="3">
                  <c:v>7287.6338640656322</c:v>
                </c:pt>
                <c:pt idx="4">
                  <c:v>11039.539487788354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B8-4CCF-8B18-0479101CA241}"/>
            </c:ext>
          </c:extLst>
        </c:ser>
        <c:ser>
          <c:idx val="0"/>
          <c:order val="5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-5758.5536074019965</c:v>
                </c:pt>
                <c:pt idx="1">
                  <c:v>-3182.0330168480341</c:v>
                </c:pt>
                <c:pt idx="2">
                  <c:v>-605.5124262940717</c:v>
                </c:pt>
                <c:pt idx="3">
                  <c:v>1971.0081642598943</c:v>
                </c:pt>
                <c:pt idx="4">
                  <c:v>4547.5287548138549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B8-4CCF-8B18-0479101CA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4664"/>
        <c:axId val="373471528"/>
      </c:scatterChart>
      <c:valAx>
        <c:axId val="373474664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1528"/>
        <c:crosses val="autoZero"/>
        <c:crossBetween val="midCat"/>
      </c:valAx>
      <c:valAx>
        <c:axId val="373471528"/>
        <c:scaling>
          <c:orientation val="minMax"/>
          <c:max val="20000"/>
          <c:min val="-2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(€ ha-1)</a:t>
                </a:r>
              </a:p>
            </c:rich>
          </c:tx>
          <c:layout>
            <c:manualLayout>
              <c:xMode val="edge"/>
              <c:yMode val="edge"/>
              <c:x val="3.1080914115181556E-2"/>
              <c:y val="0.473839468765399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4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Discount Rate</a:t>
            </a:r>
          </a:p>
        </c:rich>
      </c:tx>
      <c:layout>
        <c:manualLayout>
          <c:xMode val="edge"/>
          <c:yMode val="edge"/>
          <c:x val="0.25077378244091103"/>
          <c:y val="7.404213094418875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749928666399628"/>
          <c:y val="0.16528984490139659"/>
          <c:w val="0.79184333735099899"/>
          <c:h val="0.65700856200435132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1166.5296120660387</c:v>
                </c:pt>
                <c:pt idx="1">
                  <c:v>1008.0272977574823</c:v>
                </c:pt>
                <c:pt idx="2">
                  <c:v>877.25902643572226</c:v>
                </c:pt>
                <c:pt idx="3">
                  <c:v>768.76823101427544</c:v>
                </c:pt>
                <c:pt idx="4">
                  <c:v>678.26524605690611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00-4D33-B0F3-AF9C472D20D1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4689.8219939999981</c:v>
                </c:pt>
                <c:pt idx="1">
                  <c:v>4143.0641962378559</c:v>
                </c:pt>
                <c:pt idx="2">
                  <c:v>3664.9350055322457</c:v>
                </c:pt>
                <c:pt idx="3">
                  <c:v>3245.0695870346808</c:v>
                </c:pt>
                <c:pt idx="4">
                  <c:v>2874.8782631777958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D6-4D78-919A-874B48CDAAB0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4069.2688460000008</c:v>
                </c:pt>
                <c:pt idx="1">
                  <c:v>3366.1382852602328</c:v>
                </c:pt>
                <c:pt idx="2">
                  <c:v>2768.9176147542403</c:v>
                </c:pt>
                <c:pt idx="3">
                  <c:v>2259.1377633224165</c:v>
                </c:pt>
                <c:pt idx="4">
                  <c:v>1821.8951057592521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D6-4D78-919A-874B48CDAAB0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SA'!$D$40:$H$40</c:f>
              <c:numCache>
                <c:formatCode>0</c:formatCode>
                <c:ptCount val="5"/>
                <c:pt idx="0">
                  <c:v>-670.32594742857327</c:v>
                </c:pt>
                <c:pt idx="1">
                  <c:v>-600.91507837151221</c:v>
                </c:pt>
                <c:pt idx="2">
                  <c:v>-542.03959967578339</c:v>
                </c:pt>
                <c:pt idx="3">
                  <c:v>-491.83263196087682</c:v>
                </c:pt>
                <c:pt idx="4">
                  <c:v>-448.79365323738602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D6-4D78-919A-874B48CDAAB0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727.76534159983566</c:v>
                </c:pt>
                <c:pt idx="1">
                  <c:v>6.223663204767945</c:v>
                </c:pt>
                <c:pt idx="2">
                  <c:v>-605.5124262940717</c:v>
                </c:pt>
                <c:pt idx="3">
                  <c:v>-1126.8045791066215</c:v>
                </c:pt>
                <c:pt idx="4">
                  <c:v>-1573.2376624950621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3F5-4051-9D53-76E43EF92EDA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prstDash val="sysDash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5176.4547137914124</c:v>
                </c:pt>
                <c:pt idx="1">
                  <c:v>4289.039660266224</c:v>
                </c:pt>
                <c:pt idx="2">
                  <c:v>3535.7282403429181</c:v>
                </c:pt>
                <c:pt idx="3">
                  <c:v>2893.0416333596795</c:v>
                </c:pt>
                <c:pt idx="4">
                  <c:v>2342.0505411266922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3F5-4051-9D53-76E43EF92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8192"/>
        <c:axId val="373470744"/>
      </c:scatterChart>
      <c:valAx>
        <c:axId val="37347819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0744"/>
        <c:crosses val="autoZero"/>
        <c:crossBetween val="midCat"/>
      </c:valAx>
      <c:valAx>
        <c:axId val="373470744"/>
        <c:scaling>
          <c:orientation val="minMax"/>
          <c:max val="20000"/>
          <c:min val="-2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(€ ha-1)</a:t>
                </a:r>
              </a:p>
            </c:rich>
          </c:tx>
          <c:layout>
            <c:manualLayout>
              <c:xMode val="edge"/>
              <c:yMode val="edge"/>
              <c:x val="3.744730499616454E-2"/>
              <c:y val="0.487811425363183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8192"/>
        <c:crosses val="autoZero"/>
        <c:crossBetween val="midCat"/>
        <c:majorUnit val="5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r>
              <a:rPr lang="en-US"/>
              <a:t>NPV - change in Costs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54522590162532"/>
          <c:y val="0.16528984490139659"/>
          <c:w val="0.8072683454963846"/>
          <c:h val="0.62135693732893549"/>
        </c:manualLayout>
      </c:layout>
      <c:scatterChart>
        <c:scatterStyle val="smoothMarker"/>
        <c:varyColors val="0"/>
        <c:ser>
          <c:idx val="2"/>
          <c:order val="0"/>
          <c:tx>
            <c:v>Rotation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16097.401047441346</c:v>
                </c:pt>
                <c:pt idx="1">
                  <c:v>8487.3300369385342</c:v>
                </c:pt>
                <c:pt idx="2">
                  <c:v>877.25902643572226</c:v>
                </c:pt>
                <c:pt idx="3">
                  <c:v>-6732.8119840670861</c:v>
                </c:pt>
                <c:pt idx="4">
                  <c:v>-14342.882994569902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B7-47B0-B89C-86F7889D596F}"/>
            </c:ext>
          </c:extLst>
        </c:ser>
        <c:ser>
          <c:idx val="3"/>
          <c:order val="1"/>
          <c:tx>
            <c:v>SRC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  <a:alpha val="99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10149.120949741186</c:v>
                </c:pt>
                <c:pt idx="1">
                  <c:v>6907.0279776367151</c:v>
                </c:pt>
                <c:pt idx="2">
                  <c:v>3664.9350055322457</c:v>
                </c:pt>
                <c:pt idx="3">
                  <c:v>422.84203342777437</c:v>
                </c:pt>
                <c:pt idx="4">
                  <c:v>-2819.2509386766942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DF-4B27-B496-EB7DC1997928}"/>
            </c:ext>
          </c:extLst>
        </c:ser>
        <c:ser>
          <c:idx val="4"/>
          <c:order val="2"/>
          <c:tx>
            <c:v>Miscanthus</c:v>
          </c:tx>
          <c:spPr>
            <a:ln w="1905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10419.906275284957</c:v>
                </c:pt>
                <c:pt idx="1">
                  <c:v>6594.4119450195985</c:v>
                </c:pt>
                <c:pt idx="2">
                  <c:v>2768.9176147542403</c:v>
                </c:pt>
                <c:pt idx="3">
                  <c:v>-1056.5767155111171</c:v>
                </c:pt>
                <c:pt idx="4">
                  <c:v>-4882.0710457764762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DF-4B27-B496-EB7DC1997928}"/>
            </c:ext>
          </c:extLst>
        </c:ser>
        <c:ser>
          <c:idx val="5"/>
          <c:order val="3"/>
          <c:tx>
            <c:v>Forage maize</c:v>
          </c:tx>
          <c:spPr>
            <a:ln w="19050" cap="rnd">
              <a:solidFill>
                <a:schemeClr val="bg2">
                  <a:lumMod val="90000"/>
                  <a:alpha val="99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2">
                  <a:lumMod val="90000"/>
                </a:schemeClr>
              </a:solidFill>
              <a:ln w="9525">
                <a:solidFill>
                  <a:schemeClr val="bg2">
                    <a:lumMod val="9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SA'!$D$33:$H$33</c:f>
              <c:numCache>
                <c:formatCode>0</c:formatCode>
                <c:ptCount val="5"/>
                <c:pt idx="0">
                  <c:v>15736.22561840165</c:v>
                </c:pt>
                <c:pt idx="1">
                  <c:v>7597.0930093629331</c:v>
                </c:pt>
                <c:pt idx="2">
                  <c:v>-542.03959967578339</c:v>
                </c:pt>
                <c:pt idx="3">
                  <c:v>-8681.1722087144972</c:v>
                </c:pt>
                <c:pt idx="4">
                  <c:v>-16820.304817753218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DF-4B27-B496-EB7DC1997928}"/>
            </c:ext>
          </c:extLst>
        </c:ser>
        <c:ser>
          <c:idx val="0"/>
          <c:order val="4"/>
          <c:tx>
            <c:v>Sida</c:v>
          </c:tx>
          <c:spPr>
            <a:ln w="19050" cap="rnd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9422.5597597440319</c:v>
                </c:pt>
                <c:pt idx="1">
                  <c:v>4408.5236667249801</c:v>
                </c:pt>
                <c:pt idx="2">
                  <c:v>-605.5124262940717</c:v>
                </c:pt>
                <c:pt idx="3">
                  <c:v>-5619.5485193131208</c:v>
                </c:pt>
                <c:pt idx="4">
                  <c:v>-10633.584612332175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0B3-4B56-8BE8-FB2A39CADDFC}"/>
            </c:ext>
          </c:extLst>
        </c:ser>
        <c:ser>
          <c:idx val="1"/>
          <c:order val="5"/>
          <c:tx>
            <c:v>Silphie</c:v>
          </c:tx>
          <c:spPr>
            <a:ln w="19050" cap="rnd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11773.329826081539</c:v>
                </c:pt>
                <c:pt idx="1">
                  <c:v>7654.5290332122286</c:v>
                </c:pt>
                <c:pt idx="2">
                  <c:v>3535.7282403429181</c:v>
                </c:pt>
                <c:pt idx="3">
                  <c:v>-583.07255252639516</c:v>
                </c:pt>
                <c:pt idx="4">
                  <c:v>-4701.8733453957029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0B3-4B56-8BE8-FB2A39CA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6232"/>
        <c:axId val="373475840"/>
      </c:scatterChart>
      <c:valAx>
        <c:axId val="373476232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5840"/>
        <c:crosses val="autoZero"/>
        <c:crossBetween val="midCat"/>
      </c:valAx>
      <c:valAx>
        <c:axId val="373475840"/>
        <c:scaling>
          <c:orientation val="minMax"/>
          <c:max val="20000"/>
          <c:min val="-2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NPV (€ ha-1)</a:t>
                </a:r>
              </a:p>
            </c:rich>
          </c:tx>
          <c:layout>
            <c:manualLayout>
              <c:xMode val="edge"/>
              <c:yMode val="edge"/>
              <c:x val="1.7799507773129178E-2"/>
              <c:y val="0.43441645027721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3734762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800">
          <a:latin typeface="+mn-lt"/>
          <a:cs typeface="Times New Roman" panose="02020603050405020304" pitchFamily="18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Sida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2843190233563039"/>
          <c:y val="7.05012202183984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1276999479992567E-2"/>
          <c:y val="0.137904413153182"/>
          <c:w val="0.87144722267198149"/>
          <c:h val="0.60601085393098564"/>
        </c:manualLayout>
      </c:layout>
      <c:scatterChart>
        <c:scatterStyle val="smoothMarker"/>
        <c:varyColors val="0"/>
        <c:ser>
          <c:idx val="4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SA'!$D$20:$H$20</c:f>
              <c:numCache>
                <c:formatCode>0</c:formatCode>
                <c:ptCount val="5"/>
                <c:pt idx="0">
                  <c:v>-5758.5536074019965</c:v>
                </c:pt>
                <c:pt idx="1">
                  <c:v>-3182.0330168480341</c:v>
                </c:pt>
                <c:pt idx="2">
                  <c:v>-605.5124262940717</c:v>
                </c:pt>
                <c:pt idx="3">
                  <c:v>1971.0081642598943</c:v>
                </c:pt>
                <c:pt idx="4">
                  <c:v>4547.5287548138549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0AA-4D6E-8E29-53D4F3764966}"/>
            </c:ext>
          </c:extLst>
        </c:ser>
        <c:ser>
          <c:idx val="2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SA'!$D$27:$H$27</c:f>
              <c:numCache>
                <c:formatCode>0</c:formatCode>
                <c:ptCount val="5"/>
                <c:pt idx="0">
                  <c:v>-5758.5536074019965</c:v>
                </c:pt>
                <c:pt idx="1">
                  <c:v>-3182.0330168480341</c:v>
                </c:pt>
                <c:pt idx="2">
                  <c:v>-605.5124262940717</c:v>
                </c:pt>
                <c:pt idx="3">
                  <c:v>1971.0081642598943</c:v>
                </c:pt>
                <c:pt idx="4">
                  <c:v>4547.5287548138549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2F-45EC-A8C5-FF6AE2BBC09A}"/>
            </c:ext>
          </c:extLst>
        </c:ser>
        <c:ser>
          <c:idx val="0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SA'!$D$34:$H$34</c:f>
              <c:numCache>
                <c:formatCode>0</c:formatCode>
                <c:ptCount val="5"/>
                <c:pt idx="0">
                  <c:v>9422.5597597440319</c:v>
                </c:pt>
                <c:pt idx="1">
                  <c:v>4408.5236667249801</c:v>
                </c:pt>
                <c:pt idx="2">
                  <c:v>-605.5124262940717</c:v>
                </c:pt>
                <c:pt idx="3">
                  <c:v>-5619.5485193131208</c:v>
                </c:pt>
                <c:pt idx="4">
                  <c:v>-10633.584612332175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0AA-4D6E-8E29-53D4F3764966}"/>
            </c:ext>
          </c:extLst>
        </c:ser>
        <c:ser>
          <c:idx val="1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SA'!$D$41:$H$41</c:f>
              <c:numCache>
                <c:formatCode>0</c:formatCode>
                <c:ptCount val="5"/>
                <c:pt idx="0">
                  <c:v>727.76534159983566</c:v>
                </c:pt>
                <c:pt idx="1">
                  <c:v>6.223663204767945</c:v>
                </c:pt>
                <c:pt idx="2">
                  <c:v>-605.5124262940717</c:v>
                </c:pt>
                <c:pt idx="3">
                  <c:v>-1126.8045791066215</c:v>
                </c:pt>
                <c:pt idx="4">
                  <c:v>-1573.2376624950621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0AA-4D6E-8E29-53D4F3764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7016"/>
        <c:axId val="373477800"/>
      </c:scatterChart>
      <c:valAx>
        <c:axId val="37347701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800"/>
        <c:crosses val="autoZero"/>
        <c:crossBetween val="midCat"/>
        <c:majorUnit val="0.5"/>
      </c:valAx>
      <c:valAx>
        <c:axId val="37347780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701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3741937528859547"/>
          <c:y val="0.68705933534969643"/>
          <c:w val="0.2595537445247158"/>
          <c:h val="0.310977940408269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2">
          <a:lumMod val="90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1"/>
              <a:t>Silphium</a:t>
            </a:r>
            <a:r>
              <a:rPr lang="en-US"/>
              <a:t> 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SA'!$D$21:$H$21</c:f>
              <c:numCache>
                <c:formatCode>0</c:formatCode>
                <c:ptCount val="5"/>
                <c:pt idx="0">
                  <c:v>-3968.0830071025139</c:v>
                </c:pt>
                <c:pt idx="1">
                  <c:v>-216.1773833797979</c:v>
                </c:pt>
                <c:pt idx="2">
                  <c:v>3535.7282403429181</c:v>
                </c:pt>
                <c:pt idx="3">
                  <c:v>7287.6338640656322</c:v>
                </c:pt>
                <c:pt idx="4">
                  <c:v>11039.539487788354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6A-47B7-9069-161FFCE46771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SA'!$D$28:$H$28</c:f>
              <c:numCache>
                <c:formatCode>0</c:formatCode>
                <c:ptCount val="5"/>
                <c:pt idx="0">
                  <c:v>-3968.0830071025139</c:v>
                </c:pt>
                <c:pt idx="1">
                  <c:v>-216.1773833797979</c:v>
                </c:pt>
                <c:pt idx="2">
                  <c:v>3535.7282403429181</c:v>
                </c:pt>
                <c:pt idx="3">
                  <c:v>7287.6338640656322</c:v>
                </c:pt>
                <c:pt idx="4">
                  <c:v>11039.539487788354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3A-4BEB-907D-03B7ED0D823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SA'!$D$35:$H$35</c:f>
              <c:numCache>
                <c:formatCode>0</c:formatCode>
                <c:ptCount val="5"/>
                <c:pt idx="0">
                  <c:v>11773.329826081539</c:v>
                </c:pt>
                <c:pt idx="1">
                  <c:v>7654.5290332122286</c:v>
                </c:pt>
                <c:pt idx="2">
                  <c:v>3535.7282403429181</c:v>
                </c:pt>
                <c:pt idx="3">
                  <c:v>-583.07255252639516</c:v>
                </c:pt>
                <c:pt idx="4">
                  <c:v>-4701.8733453957029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86A-47B7-9069-161FFCE46771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SA'!$D$42:$H$42</c:f>
              <c:numCache>
                <c:formatCode>0</c:formatCode>
                <c:ptCount val="5"/>
                <c:pt idx="0">
                  <c:v>5176.4547137914124</c:v>
                </c:pt>
                <c:pt idx="1">
                  <c:v>4289.039660266224</c:v>
                </c:pt>
                <c:pt idx="2">
                  <c:v>3535.7282403429181</c:v>
                </c:pt>
                <c:pt idx="3">
                  <c:v>2893.0416333596795</c:v>
                </c:pt>
                <c:pt idx="4">
                  <c:v>2342.0505411266922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86A-47B7-9069-161FFCE46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1136"/>
        <c:axId val="373472312"/>
      </c:scatterChart>
      <c:valAx>
        <c:axId val="373471136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2312"/>
        <c:crosses val="autoZero"/>
        <c:crossBetween val="midCat"/>
      </c:valAx>
      <c:valAx>
        <c:axId val="37347231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11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286220777997394"/>
          <c:y val="0.71472378139021309"/>
          <c:w val="0.22242213231941191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Rotation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SA'!$D$22:$H$22</c:f>
              <c:numCache>
                <c:formatCode>0</c:formatCode>
                <c:ptCount val="5"/>
                <c:pt idx="0">
                  <c:v>-10950.623442369517</c:v>
                </c:pt>
                <c:pt idx="1">
                  <c:v>-5036.6822079668964</c:v>
                </c:pt>
                <c:pt idx="2">
                  <c:v>877.25902643572226</c:v>
                </c:pt>
                <c:pt idx="3">
                  <c:v>6791.2002608383373</c:v>
                </c:pt>
                <c:pt idx="4">
                  <c:v>12705.141495240961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63-4BFF-B9DA-99CF59EC2199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SA'!$D$29:$H$29</c:f>
              <c:numCache>
                <c:formatCode>0</c:formatCode>
                <c:ptCount val="5"/>
                <c:pt idx="0">
                  <c:v>-10950.623442369517</c:v>
                </c:pt>
                <c:pt idx="1">
                  <c:v>-5036.6822079668964</c:v>
                </c:pt>
                <c:pt idx="2">
                  <c:v>877.25902643572226</c:v>
                </c:pt>
                <c:pt idx="3">
                  <c:v>6791.2002608383409</c:v>
                </c:pt>
                <c:pt idx="4">
                  <c:v>12705.141495240961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63-4BFF-B9DA-99CF59EC2199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SA'!$D$36:$H$36</c:f>
              <c:numCache>
                <c:formatCode>0</c:formatCode>
                <c:ptCount val="5"/>
                <c:pt idx="0">
                  <c:v>16097.401047441346</c:v>
                </c:pt>
                <c:pt idx="1">
                  <c:v>8487.3300369385342</c:v>
                </c:pt>
                <c:pt idx="2">
                  <c:v>877.25902643572226</c:v>
                </c:pt>
                <c:pt idx="3">
                  <c:v>-6732.8119840670861</c:v>
                </c:pt>
                <c:pt idx="4">
                  <c:v>-14342.882994569902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63-4BFF-B9DA-99CF59EC2199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SA'!$D$43:$H$43</c:f>
              <c:numCache>
                <c:formatCode>0</c:formatCode>
                <c:ptCount val="5"/>
                <c:pt idx="0">
                  <c:v>1166.5296120660387</c:v>
                </c:pt>
                <c:pt idx="1">
                  <c:v>1008.0272977574823</c:v>
                </c:pt>
                <c:pt idx="2">
                  <c:v>877.25902643572226</c:v>
                </c:pt>
                <c:pt idx="3">
                  <c:v>768.76823101427544</c:v>
                </c:pt>
                <c:pt idx="4">
                  <c:v>678.26524605690611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0C63-4BFF-B9DA-99CF59EC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473488"/>
        <c:axId val="478138632"/>
      </c:scatterChart>
      <c:valAx>
        <c:axId val="37347348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8632"/>
        <c:crosses val="autoZero"/>
        <c:crossBetween val="midCat"/>
      </c:valAx>
      <c:valAx>
        <c:axId val="47813863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3473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SRC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SA'!$D$17:$H$17</c:f>
              <c:numCache>
                <c:formatCode>0</c:formatCode>
                <c:ptCount val="5"/>
                <c:pt idx="0">
                  <c:v>-2214.6673655728328</c:v>
                </c:pt>
                <c:pt idx="1">
                  <c:v>40.08250277170464</c:v>
                </c:pt>
                <c:pt idx="2">
                  <c:v>3664.9350055322457</c:v>
                </c:pt>
                <c:pt idx="3">
                  <c:v>7289.7875082927849</c:v>
                </c:pt>
                <c:pt idx="4">
                  <c:v>10914.640011053325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00-47B4-AA36-4CBDAB0047C5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SA'!$D$24:$H$24</c:f>
              <c:numCache>
                <c:formatCode>0</c:formatCode>
                <c:ptCount val="5"/>
                <c:pt idx="0">
                  <c:v>-3584.769999988835</c:v>
                </c:pt>
                <c:pt idx="1">
                  <c:v>40.08250277170464</c:v>
                </c:pt>
                <c:pt idx="2">
                  <c:v>3664.9350055322457</c:v>
                </c:pt>
                <c:pt idx="3">
                  <c:v>7289.7875082927849</c:v>
                </c:pt>
                <c:pt idx="4">
                  <c:v>10914.640011053325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00-47B4-AA36-4CBDAB0047C5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SA'!$D$31:$H$31</c:f>
              <c:numCache>
                <c:formatCode>0</c:formatCode>
                <c:ptCount val="5"/>
                <c:pt idx="0">
                  <c:v>10149.120949741186</c:v>
                </c:pt>
                <c:pt idx="1">
                  <c:v>6907.0279776367151</c:v>
                </c:pt>
                <c:pt idx="2">
                  <c:v>3664.9350055322457</c:v>
                </c:pt>
                <c:pt idx="3">
                  <c:v>422.84203342777437</c:v>
                </c:pt>
                <c:pt idx="4">
                  <c:v>-2819.2509386766942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000-47B4-AA36-4CBDAB0047C5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SA'!$D$38:$H$38</c:f>
              <c:numCache>
                <c:formatCode>0</c:formatCode>
                <c:ptCount val="5"/>
                <c:pt idx="0">
                  <c:v>4689.8219939999981</c:v>
                </c:pt>
                <c:pt idx="1">
                  <c:v>4143.0641962378559</c:v>
                </c:pt>
                <c:pt idx="2">
                  <c:v>3664.9350055322457</c:v>
                </c:pt>
                <c:pt idx="3">
                  <c:v>3245.0695870346808</c:v>
                </c:pt>
                <c:pt idx="4">
                  <c:v>2874.8782631777958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000-47B4-AA36-4CBDAB00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1968"/>
        <c:axId val="478136280"/>
      </c:scatterChart>
      <c:valAx>
        <c:axId val="47813196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6280"/>
        <c:crosses val="autoZero"/>
        <c:crossBetween val="midCat"/>
      </c:valAx>
      <c:valAx>
        <c:axId val="478136280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19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i="0"/>
              <a:t>Miscanthus </a:t>
            </a:r>
            <a:r>
              <a:rPr lang="en-US"/>
              <a:t>NPV</a:t>
            </a:r>
          </a:p>
        </c:rich>
      </c:tx>
      <c:layout>
        <c:manualLayout>
          <c:xMode val="edge"/>
          <c:yMode val="edge"/>
          <c:x val="0.41442340447939852"/>
          <c:y val="1.31652739465448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9359193775754086E-2"/>
          <c:y val="0.13829000495273761"/>
          <c:w val="0.87490611195539725"/>
          <c:h val="0.6794791963001553"/>
        </c:manualLayout>
      </c:layout>
      <c:scatterChart>
        <c:scatterStyle val="smoothMarker"/>
        <c:varyColors val="0"/>
        <c:ser>
          <c:idx val="2"/>
          <c:order val="0"/>
          <c:tx>
            <c:v>Price</c:v>
          </c:tx>
          <c:spPr>
            <a:ln w="1905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SA'!$D$18:$H$18</c:f>
              <c:numCache>
                <c:formatCode>0</c:formatCode>
                <c:ptCount val="5"/>
                <c:pt idx="0">
                  <c:v>-3381.4700818946094</c:v>
                </c:pt>
                <c:pt idx="1">
                  <c:v>-306.27623357018456</c:v>
                </c:pt>
                <c:pt idx="2">
                  <c:v>2768.9176147542403</c:v>
                </c:pt>
                <c:pt idx="3">
                  <c:v>5844.1114630786633</c:v>
                </c:pt>
                <c:pt idx="4">
                  <c:v>8919.3053114030863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2D-45AC-9859-EEDF3F583B5C}"/>
            </c:ext>
          </c:extLst>
        </c:ser>
        <c:ser>
          <c:idx val="1"/>
          <c:order val="1"/>
          <c:tx>
            <c:v>Yield</c:v>
          </c:tx>
          <c:spPr>
            <a:ln w="19050" cap="rnd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SA'!$D$25:$H$25</c:f>
              <c:numCache>
                <c:formatCode>0</c:formatCode>
                <c:ptCount val="5"/>
                <c:pt idx="0">
                  <c:v>-3381.4700818946094</c:v>
                </c:pt>
                <c:pt idx="1">
                  <c:v>-306.27623357018456</c:v>
                </c:pt>
                <c:pt idx="2">
                  <c:v>2768.9176147542403</c:v>
                </c:pt>
                <c:pt idx="3">
                  <c:v>5844.1114630786633</c:v>
                </c:pt>
                <c:pt idx="4">
                  <c:v>8919.3053114030863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2D-45AC-9859-EEDF3F583B5C}"/>
            </c:ext>
          </c:extLst>
        </c:ser>
        <c:ser>
          <c:idx val="6"/>
          <c:order val="2"/>
          <c:tx>
            <c:v>Costs</c:v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>
                    <a:alpha val="99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SA'!$D$32:$H$32</c:f>
              <c:numCache>
                <c:formatCode>0</c:formatCode>
                <c:ptCount val="5"/>
                <c:pt idx="0">
                  <c:v>10419.906275284957</c:v>
                </c:pt>
                <c:pt idx="1">
                  <c:v>6594.4119450195985</c:v>
                </c:pt>
                <c:pt idx="2">
                  <c:v>2768.9176147542403</c:v>
                </c:pt>
                <c:pt idx="3">
                  <c:v>-1056.5767155111171</c:v>
                </c:pt>
                <c:pt idx="4">
                  <c:v>-4882.0710457764762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62D-45AC-9859-EEDF3F583B5C}"/>
            </c:ext>
          </c:extLst>
        </c:ser>
        <c:ser>
          <c:idx val="0"/>
          <c:order val="3"/>
          <c:tx>
            <c:v>Dis. Rate</c:v>
          </c:tx>
          <c:spPr>
            <a:ln w="19050" cap="rnd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lumMod val="50000"/>
                  <a:lumOff val="50000"/>
                </a:schemeClr>
              </a:solidFill>
              <a:ln w="9525">
                <a:solidFill>
                  <a:schemeClr val="tx1">
                    <a:lumMod val="50000"/>
                    <a:lumOff val="50000"/>
                  </a:schemeClr>
                </a:solidFill>
              </a:ln>
              <a:effectLst/>
            </c:spPr>
          </c:marker>
          <c:xVal>
            <c:numRef>
              <c:f>'Summary SA'!$D$15:$H$15</c:f>
              <c:numCache>
                <c:formatCode>0%</c:formatCode>
                <c:ptCount val="5"/>
                <c:pt idx="0">
                  <c:v>-1</c:v>
                </c:pt>
                <c:pt idx="1">
                  <c:v>-0.5</c:v>
                </c:pt>
                <c:pt idx="2">
                  <c:v>0</c:v>
                </c:pt>
                <c:pt idx="3">
                  <c:v>0.5</c:v>
                </c:pt>
                <c:pt idx="4">
                  <c:v>1</c:v>
                </c:pt>
              </c:numCache>
            </c:numRef>
          </c:xVal>
          <c:yVal>
            <c:numRef>
              <c:f>'Summary SA'!$D$39:$H$39</c:f>
              <c:numCache>
                <c:formatCode>0</c:formatCode>
                <c:ptCount val="5"/>
                <c:pt idx="0">
                  <c:v>4069.2688460000008</c:v>
                </c:pt>
                <c:pt idx="1">
                  <c:v>3366.1382852602328</c:v>
                </c:pt>
                <c:pt idx="2">
                  <c:v>2768.9176147542403</c:v>
                </c:pt>
                <c:pt idx="3">
                  <c:v>2259.1377633224165</c:v>
                </c:pt>
                <c:pt idx="4">
                  <c:v>1821.8951057592521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62D-45AC-9859-EEDF3F583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8133928"/>
        <c:axId val="478132752"/>
      </c:scatterChart>
      <c:valAx>
        <c:axId val="478133928"/>
        <c:scaling>
          <c:orientation val="minMax"/>
          <c:max val="1"/>
          <c:min val="-1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2752"/>
        <c:crosses val="autoZero"/>
        <c:crossBetween val="midCat"/>
      </c:valAx>
      <c:valAx>
        <c:axId val="478132752"/>
        <c:scaling>
          <c:orientation val="minMax"/>
          <c:max val="20000"/>
          <c:min val="-15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NPV (£)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813392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521082190490401"/>
          <c:y val="0.71472378139021309"/>
          <c:w val="0.18007351819448184"/>
          <c:h val="0.28527632701573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20450175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114800" y="4981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76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102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</xdr:col>
      <xdr:colOff>0</xdr:colOff>
      <xdr:row>128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4114800" y="103727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</xdr:col>
      <xdr:colOff>0</xdr:colOff>
      <xdr:row>154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0678000" y="5314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24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44767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44767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44767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44767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/>
      </xdr:nvSpPr>
      <xdr:spPr>
        <a:xfrm>
          <a:off x="44767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22</xdr:col>
      <xdr:colOff>0</xdr:colOff>
      <xdr:row>128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5162550" y="320802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50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SpPr txBox="1"/>
      </xdr:nvSpPr>
      <xdr:spPr>
        <a:xfrm>
          <a:off x="6534150" y="51720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60</xdr:row>
      <xdr:rowOff>0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6534150" y="105537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76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 txBox="1"/>
      </xdr:nvSpPr>
      <xdr:spPr>
        <a:xfrm>
          <a:off x="6534150" y="15935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21</xdr:col>
      <xdr:colOff>0</xdr:colOff>
      <xdr:row>102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6534150" y="213169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6534150" y="266985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SpPr txBox="1"/>
      </xdr:nvSpPr>
      <xdr:spPr>
        <a:xfrm>
          <a:off x="4800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SpPr txBox="1"/>
      </xdr:nvSpPr>
      <xdr:spPr>
        <a:xfrm>
          <a:off x="6156614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SpPr txBox="1"/>
      </xdr:nvSpPr>
      <xdr:spPr>
        <a:xfrm>
          <a:off x="21890182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SpPr txBox="1"/>
      </xdr:nvSpPr>
      <xdr:spPr>
        <a:xfrm>
          <a:off x="37623750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SpPr txBox="1"/>
      </xdr:nvSpPr>
      <xdr:spPr>
        <a:xfrm>
          <a:off x="53357318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SpPr txBox="1"/>
      </xdr:nvSpPr>
      <xdr:spPr>
        <a:xfrm>
          <a:off x="69090886" y="1038484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SpPr txBox="1"/>
      </xdr:nvSpPr>
      <xdr:spPr>
        <a:xfrm>
          <a:off x="6156614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2" name="TextBox 116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43" name="TextBox 117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SpPr txBox="1"/>
      </xdr:nvSpPr>
      <xdr:spPr>
        <a:xfrm>
          <a:off x="21890182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4" name="TextBox 118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5" name="TextBox 119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SpPr txBox="1"/>
      </xdr:nvSpPr>
      <xdr:spPr>
        <a:xfrm>
          <a:off x="37623750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SpPr txBox="1"/>
      </xdr:nvSpPr>
      <xdr:spPr>
        <a:xfrm>
          <a:off x="53357318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SpPr txBox="1"/>
      </xdr:nvSpPr>
      <xdr:spPr>
        <a:xfrm>
          <a:off x="69090886" y="2859491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6" name="TextBox 108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7" name="TextBox 109">
          <a:extLst>
            <a:ext uri="{FF2B5EF4-FFF2-40B4-BE49-F238E27FC236}">
              <a16:creationId xmlns:a16="http://schemas.microsoft.com/office/drawing/2014/main" id="{00000000-0008-0000-0E00-0000C5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8" name="TextBox 110">
          <a:extLst>
            <a:ext uri="{FF2B5EF4-FFF2-40B4-BE49-F238E27FC236}">
              <a16:creationId xmlns:a16="http://schemas.microsoft.com/office/drawing/2014/main" id="{00000000-0008-0000-0E00-0000C6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99" name="TextBox 111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00" name="TextBox 112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5" name="TextBox 113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6" name="TextBox 114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7" name="TextBox 115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8" name="TextBox 116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09" name="TextBox 117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0" name="TextBox 108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1" name="TextBox 109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2" name="TextBox 110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3" name="TextBox 111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14" name="TextBox 112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E00-0000DA00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19" name="TextBox 118">
          <a:extLst>
            <a:ext uri="{FF2B5EF4-FFF2-40B4-BE49-F238E27FC236}">
              <a16:creationId xmlns:a16="http://schemas.microsoft.com/office/drawing/2014/main" id="{00000000-0008-0000-0E00-0000DB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0" name="TextBox 119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1" name="TextBox 120">
          <a:extLst>
            <a:ext uri="{FF2B5EF4-FFF2-40B4-BE49-F238E27FC236}">
              <a16:creationId xmlns:a16="http://schemas.microsoft.com/office/drawing/2014/main" id="{00000000-0008-0000-0E00-0000DD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2" name="TextBox 121"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3" name="TextBox 122">
          <a:extLst>
            <a:ext uri="{FF2B5EF4-FFF2-40B4-BE49-F238E27FC236}">
              <a16:creationId xmlns:a16="http://schemas.microsoft.com/office/drawing/2014/main" id="{00000000-0008-0000-0E00-0000DF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4" name="TextBox 113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5" name="TextBox 114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6" name="TextBox 115">
          <a:extLst>
            <a:ext uri="{FF2B5EF4-FFF2-40B4-BE49-F238E27FC236}">
              <a16:creationId xmlns:a16="http://schemas.microsoft.com/office/drawing/2014/main" id="{00000000-0008-0000-0E00-0000E2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7" name="TextBox 116">
          <a:extLst>
            <a:ext uri="{FF2B5EF4-FFF2-40B4-BE49-F238E27FC236}">
              <a16:creationId xmlns:a16="http://schemas.microsoft.com/office/drawing/2014/main" id="{00000000-0008-0000-0E00-0000E3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8" name="TextBox 117">
          <a:extLst>
            <a:ext uri="{FF2B5EF4-FFF2-40B4-BE49-F238E27FC236}">
              <a16:creationId xmlns:a16="http://schemas.microsoft.com/office/drawing/2014/main" id="{00000000-0008-0000-0E00-0000E4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29" name="TextBox 108">
          <a:extLst>
            <a:ext uri="{FF2B5EF4-FFF2-40B4-BE49-F238E27FC236}">
              <a16:creationId xmlns:a16="http://schemas.microsoft.com/office/drawing/2014/main" id="{00000000-0008-0000-0E00-0000E5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0" name="TextBox 109">
          <a:extLst>
            <a:ext uri="{FF2B5EF4-FFF2-40B4-BE49-F238E27FC236}">
              <a16:creationId xmlns:a16="http://schemas.microsoft.com/office/drawing/2014/main" id="{00000000-0008-0000-0E00-0000E6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1" name="TextBox 110">
          <a:extLst>
            <a:ext uri="{FF2B5EF4-FFF2-40B4-BE49-F238E27FC236}">
              <a16:creationId xmlns:a16="http://schemas.microsoft.com/office/drawing/2014/main" id="{00000000-0008-0000-0E00-0000E7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2" name="TextBox 111">
          <a:extLst>
            <a:ext uri="{FF2B5EF4-FFF2-40B4-BE49-F238E27FC236}">
              <a16:creationId xmlns:a16="http://schemas.microsoft.com/office/drawing/2014/main" id="{00000000-0008-0000-0E00-0000E8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33" name="TextBox 112">
          <a:extLst>
            <a:ext uri="{FF2B5EF4-FFF2-40B4-BE49-F238E27FC236}">
              <a16:creationId xmlns:a16="http://schemas.microsoft.com/office/drawing/2014/main" id="{00000000-0008-0000-0E00-0000E900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E00-0000EA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E00-0000EB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00000000-0008-0000-0E00-0000EC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00000000-0008-0000-0E00-0000ED00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38" name="TextBox 123">
          <a:extLst>
            <a:ext uri="{FF2B5EF4-FFF2-40B4-BE49-F238E27FC236}">
              <a16:creationId xmlns:a16="http://schemas.microsoft.com/office/drawing/2014/main" id="{00000000-0008-0000-0E00-0000EE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39" name="TextBox 124">
          <a:extLst>
            <a:ext uri="{FF2B5EF4-FFF2-40B4-BE49-F238E27FC236}">
              <a16:creationId xmlns:a16="http://schemas.microsoft.com/office/drawing/2014/main" id="{00000000-0008-0000-0E00-0000EF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0" name="TextBox 125">
          <a:extLst>
            <a:ext uri="{FF2B5EF4-FFF2-40B4-BE49-F238E27FC236}">
              <a16:creationId xmlns:a16="http://schemas.microsoft.com/office/drawing/2014/main" id="{00000000-0008-0000-0E00-0000F0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1" name="TextBox 126">
          <a:extLst>
            <a:ext uri="{FF2B5EF4-FFF2-40B4-BE49-F238E27FC236}">
              <a16:creationId xmlns:a16="http://schemas.microsoft.com/office/drawing/2014/main" id="{00000000-0008-0000-0E00-0000F1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2" name="TextBox 127">
          <a:extLst>
            <a:ext uri="{FF2B5EF4-FFF2-40B4-BE49-F238E27FC236}">
              <a16:creationId xmlns:a16="http://schemas.microsoft.com/office/drawing/2014/main" id="{00000000-0008-0000-0E00-0000F2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3" name="TextBox 118">
          <a:extLst>
            <a:ext uri="{FF2B5EF4-FFF2-40B4-BE49-F238E27FC236}">
              <a16:creationId xmlns:a16="http://schemas.microsoft.com/office/drawing/2014/main" id="{00000000-0008-0000-0E00-0000F3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4" name="TextBox 119">
          <a:extLst>
            <a:ext uri="{FF2B5EF4-FFF2-40B4-BE49-F238E27FC236}">
              <a16:creationId xmlns:a16="http://schemas.microsoft.com/office/drawing/2014/main" id="{00000000-0008-0000-0E00-0000F4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5" name="TextBox 120">
          <a:extLst>
            <a:ext uri="{FF2B5EF4-FFF2-40B4-BE49-F238E27FC236}">
              <a16:creationId xmlns:a16="http://schemas.microsoft.com/office/drawing/2014/main" id="{00000000-0008-0000-0E00-0000F5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6" name="TextBox 121">
          <a:extLst>
            <a:ext uri="{FF2B5EF4-FFF2-40B4-BE49-F238E27FC236}">
              <a16:creationId xmlns:a16="http://schemas.microsoft.com/office/drawing/2014/main" id="{00000000-0008-0000-0E00-0000F6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7" name="TextBox 122">
          <a:extLst>
            <a:ext uri="{FF2B5EF4-FFF2-40B4-BE49-F238E27FC236}">
              <a16:creationId xmlns:a16="http://schemas.microsoft.com/office/drawing/2014/main" id="{00000000-0008-0000-0E00-0000F7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8" name="TextBox 113">
          <a:extLst>
            <a:ext uri="{FF2B5EF4-FFF2-40B4-BE49-F238E27FC236}">
              <a16:creationId xmlns:a16="http://schemas.microsoft.com/office/drawing/2014/main" id="{00000000-0008-0000-0E00-0000F8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49" name="TextBox 114">
          <a:extLst>
            <a:ext uri="{FF2B5EF4-FFF2-40B4-BE49-F238E27FC236}">
              <a16:creationId xmlns:a16="http://schemas.microsoft.com/office/drawing/2014/main" id="{00000000-0008-0000-0E00-0000F9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0" name="TextBox 115">
          <a:extLst>
            <a:ext uri="{FF2B5EF4-FFF2-40B4-BE49-F238E27FC236}">
              <a16:creationId xmlns:a16="http://schemas.microsoft.com/office/drawing/2014/main" id="{00000000-0008-0000-0E00-0000FA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1" name="TextBox 116">
          <a:extLst>
            <a:ext uri="{FF2B5EF4-FFF2-40B4-BE49-F238E27FC236}">
              <a16:creationId xmlns:a16="http://schemas.microsoft.com/office/drawing/2014/main" id="{00000000-0008-0000-0E00-0000FB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2" name="TextBox 117">
          <a:extLst>
            <a:ext uri="{FF2B5EF4-FFF2-40B4-BE49-F238E27FC236}">
              <a16:creationId xmlns:a16="http://schemas.microsoft.com/office/drawing/2014/main" id="{00000000-0008-0000-0E00-0000FC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3" name="TextBox 108">
          <a:extLst>
            <a:ext uri="{FF2B5EF4-FFF2-40B4-BE49-F238E27FC236}">
              <a16:creationId xmlns:a16="http://schemas.microsoft.com/office/drawing/2014/main" id="{00000000-0008-0000-0E00-0000FD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4" name="TextBox 109">
          <a:extLst>
            <a:ext uri="{FF2B5EF4-FFF2-40B4-BE49-F238E27FC236}">
              <a16:creationId xmlns:a16="http://schemas.microsoft.com/office/drawing/2014/main" id="{00000000-0008-0000-0E00-0000FE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5" name="TextBox 110">
          <a:extLst>
            <a:ext uri="{FF2B5EF4-FFF2-40B4-BE49-F238E27FC236}">
              <a16:creationId xmlns:a16="http://schemas.microsoft.com/office/drawing/2014/main" id="{00000000-0008-0000-0E00-0000FF00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6" name="TextBox 111">
          <a:extLst>
            <a:ext uri="{FF2B5EF4-FFF2-40B4-BE49-F238E27FC236}">
              <a16:creationId xmlns:a16="http://schemas.microsoft.com/office/drawing/2014/main" id="{00000000-0008-0000-0E00-000000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57" name="TextBox 112">
          <a:extLst>
            <a:ext uri="{FF2B5EF4-FFF2-40B4-BE49-F238E27FC236}">
              <a16:creationId xmlns:a16="http://schemas.microsoft.com/office/drawing/2014/main" id="{00000000-0008-0000-0E00-000001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00000000-0008-0000-0E00-000002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00000000-0008-0000-0E00-000003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00000000-0008-0000-0E00-000004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0000000-0008-0000-0E00-000005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F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F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F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F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F00-00001E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F00-000037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F00-000039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F00-00003D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F00-00003F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F00-000040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0F00-000041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F00-000060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F00-000061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F00-000062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F00-00006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F00-00006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F00-000065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F00-000066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F00-000067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0F00-00006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0F00-00006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0F00-00006A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0F00-00006B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0F00-00006C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F00-00006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F00-00006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0F00-00006F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0F00-000070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0F00-000071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0F00-00007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0F00-00007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0F00-000074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0000000-0008-0000-0F00-000075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0000000-0008-0000-0F00-000076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0000000-0008-0000-0F00-00007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00000000-0008-0000-0F00-00007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00000000-0008-0000-0F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00000000-0008-0000-0F00-00007A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00000000-0008-0000-0F00-00007B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00000000-0008-0000-0F00-00007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00000000-0008-0000-0F00-00007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00000000-0008-0000-0F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00000000-0008-0000-0F00-00007F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00000000-0008-0000-0F00-000080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00000000-0008-0000-0F00-00008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0000000-0008-0000-0F00-00008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0000000-0008-0000-0F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00000000-0008-0000-0F00-000084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00000000-0008-0000-0F00-000085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0000000-0008-0000-0F00-00008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00000000-0008-0000-0F00-00008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0000000-0008-0000-0F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00000000-0008-0000-0F00-000089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00000000-0008-0000-0F00-00008A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0000000-0008-0000-0F00-00008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00000000-0008-0000-0F00-00008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00000000-0008-0000-0F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0F00-00008E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0F00-00008F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0F00-00009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0F00-00009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6" name="TextBox 120">
          <a:extLst>
            <a:ext uri="{FF2B5EF4-FFF2-40B4-BE49-F238E27FC236}">
              <a16:creationId xmlns:a16="http://schemas.microsoft.com/office/drawing/2014/main" id="{00000000-0008-0000-0F00-000092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7" name="TextBox 121">
          <a:extLst>
            <a:ext uri="{FF2B5EF4-FFF2-40B4-BE49-F238E27FC236}">
              <a16:creationId xmlns:a16="http://schemas.microsoft.com/office/drawing/2014/main" id="{00000000-0008-0000-0F00-000093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8" name="TextBox 122">
          <a:extLst>
            <a:ext uri="{FF2B5EF4-FFF2-40B4-BE49-F238E27FC236}">
              <a16:creationId xmlns:a16="http://schemas.microsoft.com/office/drawing/2014/main" id="{00000000-0008-0000-0F00-000094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49" name="TextBox 123">
          <a:extLst>
            <a:ext uri="{FF2B5EF4-FFF2-40B4-BE49-F238E27FC236}">
              <a16:creationId xmlns:a16="http://schemas.microsoft.com/office/drawing/2014/main" id="{00000000-0008-0000-0F00-000095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50" name="TextBox 124">
          <a:extLst>
            <a:ext uri="{FF2B5EF4-FFF2-40B4-BE49-F238E27FC236}">
              <a16:creationId xmlns:a16="http://schemas.microsoft.com/office/drawing/2014/main" id="{00000000-0008-0000-0F00-000096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1" name="TextBox 125">
          <a:extLst>
            <a:ext uri="{FF2B5EF4-FFF2-40B4-BE49-F238E27FC236}">
              <a16:creationId xmlns:a16="http://schemas.microsoft.com/office/drawing/2014/main" id="{00000000-0008-0000-0F00-000097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2" name="TextBox 126">
          <a:extLst>
            <a:ext uri="{FF2B5EF4-FFF2-40B4-BE49-F238E27FC236}">
              <a16:creationId xmlns:a16="http://schemas.microsoft.com/office/drawing/2014/main" id="{00000000-0008-0000-0F00-000098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3" name="TextBox 127">
          <a:extLst>
            <a:ext uri="{FF2B5EF4-FFF2-40B4-BE49-F238E27FC236}">
              <a16:creationId xmlns:a16="http://schemas.microsoft.com/office/drawing/2014/main" id="{00000000-0008-0000-0F00-000099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4" name="TextBox 128">
          <a:extLst>
            <a:ext uri="{FF2B5EF4-FFF2-40B4-BE49-F238E27FC236}">
              <a16:creationId xmlns:a16="http://schemas.microsoft.com/office/drawing/2014/main" id="{00000000-0008-0000-0F00-00009A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55" name="TextBox 129">
          <a:extLst>
            <a:ext uri="{FF2B5EF4-FFF2-40B4-BE49-F238E27FC236}">
              <a16:creationId xmlns:a16="http://schemas.microsoft.com/office/drawing/2014/main" id="{00000000-0008-0000-0F00-00009B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6" name="TextBox 130">
          <a:extLst>
            <a:ext uri="{FF2B5EF4-FFF2-40B4-BE49-F238E27FC236}">
              <a16:creationId xmlns:a16="http://schemas.microsoft.com/office/drawing/2014/main" id="{00000000-0008-0000-0F00-00009C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7" name="TextBox 131">
          <a:extLst>
            <a:ext uri="{FF2B5EF4-FFF2-40B4-BE49-F238E27FC236}">
              <a16:creationId xmlns:a16="http://schemas.microsoft.com/office/drawing/2014/main" id="{00000000-0008-0000-0F00-00009D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8" name="TextBox 132">
          <a:extLst>
            <a:ext uri="{FF2B5EF4-FFF2-40B4-BE49-F238E27FC236}">
              <a16:creationId xmlns:a16="http://schemas.microsoft.com/office/drawing/2014/main" id="{00000000-0008-0000-0F00-00009E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59" name="TextBox 133">
          <a:extLst>
            <a:ext uri="{FF2B5EF4-FFF2-40B4-BE49-F238E27FC236}">
              <a16:creationId xmlns:a16="http://schemas.microsoft.com/office/drawing/2014/main" id="{00000000-0008-0000-0F00-00009F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60" name="TextBox 134">
          <a:extLst>
            <a:ext uri="{FF2B5EF4-FFF2-40B4-BE49-F238E27FC236}">
              <a16:creationId xmlns:a16="http://schemas.microsoft.com/office/drawing/2014/main" id="{00000000-0008-0000-0F00-0000A0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1" name="TextBox 135">
          <a:extLst>
            <a:ext uri="{FF2B5EF4-FFF2-40B4-BE49-F238E27FC236}">
              <a16:creationId xmlns:a16="http://schemas.microsoft.com/office/drawing/2014/main" id="{00000000-0008-0000-0F00-0000A1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2" name="TextBox 136">
          <a:extLst>
            <a:ext uri="{FF2B5EF4-FFF2-40B4-BE49-F238E27FC236}">
              <a16:creationId xmlns:a16="http://schemas.microsoft.com/office/drawing/2014/main" id="{00000000-0008-0000-0F00-0000A2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3" name="TextBox 137">
          <a:extLst>
            <a:ext uri="{FF2B5EF4-FFF2-40B4-BE49-F238E27FC236}">
              <a16:creationId xmlns:a16="http://schemas.microsoft.com/office/drawing/2014/main" id="{00000000-0008-0000-0F00-0000A3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4" name="TextBox 138">
          <a:extLst>
            <a:ext uri="{FF2B5EF4-FFF2-40B4-BE49-F238E27FC236}">
              <a16:creationId xmlns:a16="http://schemas.microsoft.com/office/drawing/2014/main" id="{00000000-0008-0000-0F00-0000A4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65" name="TextBox 139">
          <a:extLst>
            <a:ext uri="{FF2B5EF4-FFF2-40B4-BE49-F238E27FC236}">
              <a16:creationId xmlns:a16="http://schemas.microsoft.com/office/drawing/2014/main" id="{00000000-0008-0000-0F00-0000A5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6" name="TextBox 140">
          <a:extLst>
            <a:ext uri="{FF2B5EF4-FFF2-40B4-BE49-F238E27FC236}">
              <a16:creationId xmlns:a16="http://schemas.microsoft.com/office/drawing/2014/main" id="{00000000-0008-0000-0F00-0000A6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7" name="TextBox 141">
          <a:extLst>
            <a:ext uri="{FF2B5EF4-FFF2-40B4-BE49-F238E27FC236}">
              <a16:creationId xmlns:a16="http://schemas.microsoft.com/office/drawing/2014/main" id="{00000000-0008-0000-0F00-0000A7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8" name="TextBox 142">
          <a:extLst>
            <a:ext uri="{FF2B5EF4-FFF2-40B4-BE49-F238E27FC236}">
              <a16:creationId xmlns:a16="http://schemas.microsoft.com/office/drawing/2014/main" id="{00000000-0008-0000-0F00-0000A8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69" name="TextBox 143">
          <a:extLst>
            <a:ext uri="{FF2B5EF4-FFF2-40B4-BE49-F238E27FC236}">
              <a16:creationId xmlns:a16="http://schemas.microsoft.com/office/drawing/2014/main" id="{00000000-0008-0000-0F00-0000A9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70" name="TextBox 144">
          <a:extLst>
            <a:ext uri="{FF2B5EF4-FFF2-40B4-BE49-F238E27FC236}">
              <a16:creationId xmlns:a16="http://schemas.microsoft.com/office/drawing/2014/main" id="{00000000-0008-0000-0F00-0000AA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0F00-0000AF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0F00-0000B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0F00-0000B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0F00-0000B2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0F00-0000B3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0F00-0000B4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0F00-0000B5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0F00-0000B6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0F00-0000B7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0F00-0000B8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0F00-0000B9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0F00-0000BA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0F00-0000BB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0F00-0000BC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0F00-0000BD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0F00-0000BE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0F00-0000BF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0F00-0000C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0F00-0000C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0F00-0000C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0F00-0000C3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0F00-0000C4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0F00-0000C5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0F00-0000C6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0F00-0000C7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0F00-0000C8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0F00-0000C9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0F00-0000CA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0F00-0000CB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0F00-0000CC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0F00-0000CD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0F00-0000CE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0F00-0000CF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0F00-0000D0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0F00-0000D1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0000000-0008-0000-0F00-0000D2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00000000-0008-0000-0F00-0000D3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0000000-0008-0000-0F00-0000D4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00000000-0008-0000-0F00-0000D5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00000000-0008-0000-0F00-0000D6000000}"/>
            </a:ext>
          </a:extLst>
        </xdr:cNvPr>
        <xdr:cNvSpPr txBox="1"/>
      </xdr:nvSpPr>
      <xdr:spPr>
        <a:xfrm>
          <a:off x="397764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00000000-0008-0000-0F00-0000D7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00000000-0008-0000-0F00-0000D8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0F00-0000D9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0F00-0000DA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0F00-0000DB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0F00-0000DC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0F00-0000DD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0F00-0000DE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0F00-0000DF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00000000-0008-0000-0F00-0000E0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00000000-0008-0000-0F00-0000E1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00000000-0008-0000-0F00-0000E2000000}"/>
            </a:ext>
          </a:extLst>
        </xdr:cNvPr>
        <xdr:cNvSpPr txBox="1"/>
      </xdr:nvSpPr>
      <xdr:spPr>
        <a:xfrm>
          <a:off x="233172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7" name="TextBox 108">
          <a:extLst>
            <a:ext uri="{FF2B5EF4-FFF2-40B4-BE49-F238E27FC236}">
              <a16:creationId xmlns:a16="http://schemas.microsoft.com/office/drawing/2014/main" id="{00000000-0008-0000-0F00-0000E3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8" name="TextBox 109">
          <a:extLst>
            <a:ext uri="{FF2B5EF4-FFF2-40B4-BE49-F238E27FC236}">
              <a16:creationId xmlns:a16="http://schemas.microsoft.com/office/drawing/2014/main" id="{00000000-0008-0000-0F00-0000E4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29" name="TextBox 110">
          <a:extLst>
            <a:ext uri="{FF2B5EF4-FFF2-40B4-BE49-F238E27FC236}">
              <a16:creationId xmlns:a16="http://schemas.microsoft.com/office/drawing/2014/main" id="{00000000-0008-0000-0F00-0000E5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30" name="TextBox 111">
          <a:extLst>
            <a:ext uri="{FF2B5EF4-FFF2-40B4-BE49-F238E27FC236}">
              <a16:creationId xmlns:a16="http://schemas.microsoft.com/office/drawing/2014/main" id="{00000000-0008-0000-0F00-0000E6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31" name="TextBox 112">
          <a:extLst>
            <a:ext uri="{FF2B5EF4-FFF2-40B4-BE49-F238E27FC236}">
              <a16:creationId xmlns:a16="http://schemas.microsoft.com/office/drawing/2014/main" id="{00000000-0008-0000-0F00-0000E7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00000000-0008-0000-0F00-0000E8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00000000-0008-0000-0F00-0000E9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0000000-0008-0000-0F00-0000EA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00000000-0008-0000-0F00-0000EB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6" name="TextBox 120">
          <a:extLst>
            <a:ext uri="{FF2B5EF4-FFF2-40B4-BE49-F238E27FC236}">
              <a16:creationId xmlns:a16="http://schemas.microsoft.com/office/drawing/2014/main" id="{00000000-0008-0000-0F00-0000EC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7" name="TextBox 121">
          <a:extLst>
            <a:ext uri="{FF2B5EF4-FFF2-40B4-BE49-F238E27FC236}">
              <a16:creationId xmlns:a16="http://schemas.microsoft.com/office/drawing/2014/main" id="{00000000-0008-0000-0F00-0000ED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8" name="TextBox 122">
          <a:extLst>
            <a:ext uri="{FF2B5EF4-FFF2-40B4-BE49-F238E27FC236}">
              <a16:creationId xmlns:a16="http://schemas.microsoft.com/office/drawing/2014/main" id="{00000000-0008-0000-0F00-0000EE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9" name="TextBox 123">
          <a:extLst>
            <a:ext uri="{FF2B5EF4-FFF2-40B4-BE49-F238E27FC236}">
              <a16:creationId xmlns:a16="http://schemas.microsoft.com/office/drawing/2014/main" id="{00000000-0008-0000-0F00-0000EF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0" name="TextBox 124">
          <a:extLst>
            <a:ext uri="{FF2B5EF4-FFF2-40B4-BE49-F238E27FC236}">
              <a16:creationId xmlns:a16="http://schemas.microsoft.com/office/drawing/2014/main" id="{00000000-0008-0000-0F00-0000F0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1" name="TextBox 108">
          <a:extLst>
            <a:ext uri="{FF2B5EF4-FFF2-40B4-BE49-F238E27FC236}">
              <a16:creationId xmlns:a16="http://schemas.microsoft.com/office/drawing/2014/main" id="{00000000-0008-0000-0F00-0000F1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2" name="TextBox 109">
          <a:extLst>
            <a:ext uri="{FF2B5EF4-FFF2-40B4-BE49-F238E27FC236}">
              <a16:creationId xmlns:a16="http://schemas.microsoft.com/office/drawing/2014/main" id="{00000000-0008-0000-0F00-0000F2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3" name="TextBox 110">
          <a:extLst>
            <a:ext uri="{FF2B5EF4-FFF2-40B4-BE49-F238E27FC236}">
              <a16:creationId xmlns:a16="http://schemas.microsoft.com/office/drawing/2014/main" id="{00000000-0008-0000-0F00-0000F3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4" name="TextBox 111">
          <a:extLst>
            <a:ext uri="{FF2B5EF4-FFF2-40B4-BE49-F238E27FC236}">
              <a16:creationId xmlns:a16="http://schemas.microsoft.com/office/drawing/2014/main" id="{00000000-0008-0000-0F00-0000F4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45" name="TextBox 112">
          <a:extLst>
            <a:ext uri="{FF2B5EF4-FFF2-40B4-BE49-F238E27FC236}">
              <a16:creationId xmlns:a16="http://schemas.microsoft.com/office/drawing/2014/main" id="{00000000-0008-0000-0F00-0000F5000000}"/>
            </a:ext>
          </a:extLst>
        </xdr:cNvPr>
        <xdr:cNvSpPr txBox="1"/>
      </xdr:nvSpPr>
      <xdr:spPr>
        <a:xfrm>
          <a:off x="6159500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00000000-0008-0000-0F00-0000F6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00000000-0008-0000-0F00-0000F7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00000000-0008-0000-0F00-0000F8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00000000-0008-0000-0F00-0000F9000000}"/>
            </a:ext>
          </a:extLst>
        </xdr:cNvPr>
        <xdr:cNvSpPr txBox="1"/>
      </xdr:nvSpPr>
      <xdr:spPr>
        <a:xfrm>
          <a:off x="6159500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0" name="TextBox 125">
          <a:extLst>
            <a:ext uri="{FF2B5EF4-FFF2-40B4-BE49-F238E27FC236}">
              <a16:creationId xmlns:a16="http://schemas.microsoft.com/office/drawing/2014/main" id="{00000000-0008-0000-0F00-0000FA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1" name="TextBox 126">
          <a:extLst>
            <a:ext uri="{FF2B5EF4-FFF2-40B4-BE49-F238E27FC236}">
              <a16:creationId xmlns:a16="http://schemas.microsoft.com/office/drawing/2014/main" id="{00000000-0008-0000-0F00-0000FB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2" name="TextBox 127">
          <a:extLst>
            <a:ext uri="{FF2B5EF4-FFF2-40B4-BE49-F238E27FC236}">
              <a16:creationId xmlns:a16="http://schemas.microsoft.com/office/drawing/2014/main" id="{00000000-0008-0000-0F00-0000FC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3" name="TextBox 128">
          <a:extLst>
            <a:ext uri="{FF2B5EF4-FFF2-40B4-BE49-F238E27FC236}">
              <a16:creationId xmlns:a16="http://schemas.microsoft.com/office/drawing/2014/main" id="{00000000-0008-0000-0F00-0000FD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4" name="TextBox 129">
          <a:extLst>
            <a:ext uri="{FF2B5EF4-FFF2-40B4-BE49-F238E27FC236}">
              <a16:creationId xmlns:a16="http://schemas.microsoft.com/office/drawing/2014/main" id="{00000000-0008-0000-0F00-0000FE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00000000-0008-0000-0F00-0000FF00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00000000-0008-0000-0F00-000000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00000000-0008-0000-0F00-000001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00000000-0008-0000-0F00-000002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00000000-0008-0000-0F00-000003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00000000-0008-0000-0F00-000004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00000000-0008-0000-0F00-000005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000000-0008-0000-0F00-000006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00000000-0008-0000-0F00-000007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00000000-0008-0000-0F00-000008010000}"/>
            </a:ext>
          </a:extLst>
        </xdr:cNvPr>
        <xdr:cNvSpPr txBox="1"/>
      </xdr:nvSpPr>
      <xdr:spPr>
        <a:xfrm>
          <a:off x="21900444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0F00-00000901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0F00-00000A01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0F00-00000B01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0F00-00000C010000}"/>
            </a:ext>
          </a:extLst>
        </xdr:cNvPr>
        <xdr:cNvSpPr txBox="1"/>
      </xdr:nvSpPr>
      <xdr:spPr>
        <a:xfrm>
          <a:off x="21900444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9" name="TextBox 130">
          <a:extLst>
            <a:ext uri="{FF2B5EF4-FFF2-40B4-BE49-F238E27FC236}">
              <a16:creationId xmlns:a16="http://schemas.microsoft.com/office/drawing/2014/main" id="{00000000-0008-0000-0F00-00000D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0" name="TextBox 131">
          <a:extLst>
            <a:ext uri="{FF2B5EF4-FFF2-40B4-BE49-F238E27FC236}">
              <a16:creationId xmlns:a16="http://schemas.microsoft.com/office/drawing/2014/main" id="{00000000-0008-0000-0F00-00000E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1" name="TextBox 132">
          <a:extLst>
            <a:ext uri="{FF2B5EF4-FFF2-40B4-BE49-F238E27FC236}">
              <a16:creationId xmlns:a16="http://schemas.microsoft.com/office/drawing/2014/main" id="{00000000-0008-0000-0F00-00000F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2" name="TextBox 133">
          <a:extLst>
            <a:ext uri="{FF2B5EF4-FFF2-40B4-BE49-F238E27FC236}">
              <a16:creationId xmlns:a16="http://schemas.microsoft.com/office/drawing/2014/main" id="{00000000-0008-0000-0F00-000010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3" name="TextBox 134">
          <a:extLst>
            <a:ext uri="{FF2B5EF4-FFF2-40B4-BE49-F238E27FC236}">
              <a16:creationId xmlns:a16="http://schemas.microsoft.com/office/drawing/2014/main" id="{00000000-0008-0000-0F00-000011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4" name="TextBox 125">
          <a:extLst>
            <a:ext uri="{FF2B5EF4-FFF2-40B4-BE49-F238E27FC236}">
              <a16:creationId xmlns:a16="http://schemas.microsoft.com/office/drawing/2014/main" id="{00000000-0008-0000-0F00-000012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5" name="TextBox 126">
          <a:extLst>
            <a:ext uri="{FF2B5EF4-FFF2-40B4-BE49-F238E27FC236}">
              <a16:creationId xmlns:a16="http://schemas.microsoft.com/office/drawing/2014/main" id="{00000000-0008-0000-0F00-000013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6" name="TextBox 127">
          <a:extLst>
            <a:ext uri="{FF2B5EF4-FFF2-40B4-BE49-F238E27FC236}">
              <a16:creationId xmlns:a16="http://schemas.microsoft.com/office/drawing/2014/main" id="{00000000-0008-0000-0F00-000014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7" name="TextBox 128">
          <a:extLst>
            <a:ext uri="{FF2B5EF4-FFF2-40B4-BE49-F238E27FC236}">
              <a16:creationId xmlns:a16="http://schemas.microsoft.com/office/drawing/2014/main" id="{00000000-0008-0000-0F00-000015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8" name="TextBox 129">
          <a:extLst>
            <a:ext uri="{FF2B5EF4-FFF2-40B4-BE49-F238E27FC236}">
              <a16:creationId xmlns:a16="http://schemas.microsoft.com/office/drawing/2014/main" id="{00000000-0008-0000-0F00-000016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00000000-0008-0000-0F00-000017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00000000-0008-0000-0F00-000018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00000000-0008-0000-0F00-000019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00000000-0008-0000-0F00-00001A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00000000-0008-0000-0F00-00001B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00000000-0008-0000-0F00-00001C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00000000-0008-0000-0F00-00001D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000000-0008-0000-0F00-00001E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00000000-0008-0000-0F00-00001F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00000000-0008-0000-0F00-000020010000}"/>
            </a:ext>
          </a:extLst>
        </xdr:cNvPr>
        <xdr:cNvSpPr txBox="1"/>
      </xdr:nvSpPr>
      <xdr:spPr>
        <a:xfrm>
          <a:off x="37641389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0F00-00002101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0F00-00002201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0F00-00002301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0F00-000024010000}"/>
            </a:ext>
          </a:extLst>
        </xdr:cNvPr>
        <xdr:cNvSpPr txBox="1"/>
      </xdr:nvSpPr>
      <xdr:spPr>
        <a:xfrm>
          <a:off x="37641389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3" name="TextBox 135">
          <a:extLst>
            <a:ext uri="{FF2B5EF4-FFF2-40B4-BE49-F238E27FC236}">
              <a16:creationId xmlns:a16="http://schemas.microsoft.com/office/drawing/2014/main" id="{00000000-0008-0000-0F00-000025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4" name="TextBox 136">
          <a:extLst>
            <a:ext uri="{FF2B5EF4-FFF2-40B4-BE49-F238E27FC236}">
              <a16:creationId xmlns:a16="http://schemas.microsoft.com/office/drawing/2014/main" id="{00000000-0008-0000-0F00-000026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5" name="TextBox 137">
          <a:extLst>
            <a:ext uri="{FF2B5EF4-FFF2-40B4-BE49-F238E27FC236}">
              <a16:creationId xmlns:a16="http://schemas.microsoft.com/office/drawing/2014/main" id="{00000000-0008-0000-0F00-000027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6" name="TextBox 138">
          <a:extLst>
            <a:ext uri="{FF2B5EF4-FFF2-40B4-BE49-F238E27FC236}">
              <a16:creationId xmlns:a16="http://schemas.microsoft.com/office/drawing/2014/main" id="{00000000-0008-0000-0F00-000028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7" name="TextBox 139">
          <a:extLst>
            <a:ext uri="{FF2B5EF4-FFF2-40B4-BE49-F238E27FC236}">
              <a16:creationId xmlns:a16="http://schemas.microsoft.com/office/drawing/2014/main" id="{00000000-0008-0000-0F00-000029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8" name="TextBox 130">
          <a:extLst>
            <a:ext uri="{FF2B5EF4-FFF2-40B4-BE49-F238E27FC236}">
              <a16:creationId xmlns:a16="http://schemas.microsoft.com/office/drawing/2014/main" id="{00000000-0008-0000-0F00-00002A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9" name="TextBox 131">
          <a:extLst>
            <a:ext uri="{FF2B5EF4-FFF2-40B4-BE49-F238E27FC236}">
              <a16:creationId xmlns:a16="http://schemas.microsoft.com/office/drawing/2014/main" id="{00000000-0008-0000-0F00-00002B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0" name="TextBox 132">
          <a:extLst>
            <a:ext uri="{FF2B5EF4-FFF2-40B4-BE49-F238E27FC236}">
              <a16:creationId xmlns:a16="http://schemas.microsoft.com/office/drawing/2014/main" id="{00000000-0008-0000-0F00-00002C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1" name="TextBox 133">
          <a:extLst>
            <a:ext uri="{FF2B5EF4-FFF2-40B4-BE49-F238E27FC236}">
              <a16:creationId xmlns:a16="http://schemas.microsoft.com/office/drawing/2014/main" id="{00000000-0008-0000-0F00-00002D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2" name="TextBox 134">
          <a:extLst>
            <a:ext uri="{FF2B5EF4-FFF2-40B4-BE49-F238E27FC236}">
              <a16:creationId xmlns:a16="http://schemas.microsoft.com/office/drawing/2014/main" id="{00000000-0008-0000-0F00-00002E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3" name="TextBox 125">
          <a:extLst>
            <a:ext uri="{FF2B5EF4-FFF2-40B4-BE49-F238E27FC236}">
              <a16:creationId xmlns:a16="http://schemas.microsoft.com/office/drawing/2014/main" id="{00000000-0008-0000-0F00-00002F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4" name="TextBox 126">
          <a:extLst>
            <a:ext uri="{FF2B5EF4-FFF2-40B4-BE49-F238E27FC236}">
              <a16:creationId xmlns:a16="http://schemas.microsoft.com/office/drawing/2014/main" id="{00000000-0008-0000-0F00-000030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5" name="TextBox 127">
          <a:extLst>
            <a:ext uri="{FF2B5EF4-FFF2-40B4-BE49-F238E27FC236}">
              <a16:creationId xmlns:a16="http://schemas.microsoft.com/office/drawing/2014/main" id="{00000000-0008-0000-0F00-000031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6" name="TextBox 128">
          <a:extLst>
            <a:ext uri="{FF2B5EF4-FFF2-40B4-BE49-F238E27FC236}">
              <a16:creationId xmlns:a16="http://schemas.microsoft.com/office/drawing/2014/main" id="{00000000-0008-0000-0F00-000032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7" name="TextBox 129">
          <a:extLst>
            <a:ext uri="{FF2B5EF4-FFF2-40B4-BE49-F238E27FC236}">
              <a16:creationId xmlns:a16="http://schemas.microsoft.com/office/drawing/2014/main" id="{00000000-0008-0000-0F00-000033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8" name="TextBox 120">
          <a:extLst>
            <a:ext uri="{FF2B5EF4-FFF2-40B4-BE49-F238E27FC236}">
              <a16:creationId xmlns:a16="http://schemas.microsoft.com/office/drawing/2014/main" id="{00000000-0008-0000-0F00-000034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9" name="TextBox 121">
          <a:extLst>
            <a:ext uri="{FF2B5EF4-FFF2-40B4-BE49-F238E27FC236}">
              <a16:creationId xmlns:a16="http://schemas.microsoft.com/office/drawing/2014/main" id="{00000000-0008-0000-0F00-000035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0" name="TextBox 122">
          <a:extLst>
            <a:ext uri="{FF2B5EF4-FFF2-40B4-BE49-F238E27FC236}">
              <a16:creationId xmlns:a16="http://schemas.microsoft.com/office/drawing/2014/main" id="{00000000-0008-0000-0F00-000036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1" name="TextBox 123">
          <a:extLst>
            <a:ext uri="{FF2B5EF4-FFF2-40B4-BE49-F238E27FC236}">
              <a16:creationId xmlns:a16="http://schemas.microsoft.com/office/drawing/2014/main" id="{00000000-0008-0000-0F00-000037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2" name="TextBox 124">
          <a:extLst>
            <a:ext uri="{FF2B5EF4-FFF2-40B4-BE49-F238E27FC236}">
              <a16:creationId xmlns:a16="http://schemas.microsoft.com/office/drawing/2014/main" id="{00000000-0008-0000-0F00-000038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3" name="TextBox 108">
          <a:extLst>
            <a:ext uri="{FF2B5EF4-FFF2-40B4-BE49-F238E27FC236}">
              <a16:creationId xmlns:a16="http://schemas.microsoft.com/office/drawing/2014/main" id="{00000000-0008-0000-0F00-000039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4" name="TextBox 109">
          <a:extLst>
            <a:ext uri="{FF2B5EF4-FFF2-40B4-BE49-F238E27FC236}">
              <a16:creationId xmlns:a16="http://schemas.microsoft.com/office/drawing/2014/main" id="{00000000-0008-0000-0F00-00003A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5" name="TextBox 110">
          <a:extLst>
            <a:ext uri="{FF2B5EF4-FFF2-40B4-BE49-F238E27FC236}">
              <a16:creationId xmlns:a16="http://schemas.microsoft.com/office/drawing/2014/main" id="{00000000-0008-0000-0F00-00003B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6" name="TextBox 111">
          <a:extLst>
            <a:ext uri="{FF2B5EF4-FFF2-40B4-BE49-F238E27FC236}">
              <a16:creationId xmlns:a16="http://schemas.microsoft.com/office/drawing/2014/main" id="{00000000-0008-0000-0F00-00003C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7" name="TextBox 112">
          <a:extLst>
            <a:ext uri="{FF2B5EF4-FFF2-40B4-BE49-F238E27FC236}">
              <a16:creationId xmlns:a16="http://schemas.microsoft.com/office/drawing/2014/main" id="{00000000-0008-0000-0F00-00003D010000}"/>
            </a:ext>
          </a:extLst>
        </xdr:cNvPr>
        <xdr:cNvSpPr txBox="1"/>
      </xdr:nvSpPr>
      <xdr:spPr>
        <a:xfrm>
          <a:off x="53382333" y="2830688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0F00-00003E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0F00-00003F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0F00-000040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0F00-000041010000}"/>
            </a:ext>
          </a:extLst>
        </xdr:cNvPr>
        <xdr:cNvSpPr txBox="1"/>
      </xdr:nvSpPr>
      <xdr:spPr>
        <a:xfrm>
          <a:off x="53382333" y="3172565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49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000-00002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000-00002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000-00002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23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000-00002B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000-00002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000-00002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23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000-00002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0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0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0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0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0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0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0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0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0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0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0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0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0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0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0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0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0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0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0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0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0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0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0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0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0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0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0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0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0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0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0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0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0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0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000-00005F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/>
      </xdr:nvSpPr>
      <xdr:spPr>
        <a:xfrm>
          <a:off x="61722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000-000062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000-000063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000-000064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000-000065000000}"/>
            </a:ext>
          </a:extLst>
        </xdr:cNvPr>
        <xdr:cNvSpPr txBox="1"/>
      </xdr:nvSpPr>
      <xdr:spPr>
        <a:xfrm>
          <a:off x="219456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000-000066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000-000067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000-000068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 txBox="1"/>
      </xdr:nvSpPr>
      <xdr:spPr>
        <a:xfrm>
          <a:off x="377190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000-00006F000000}"/>
            </a:ext>
          </a:extLst>
        </xdr:cNvPr>
        <xdr:cNvSpPr txBox="1"/>
      </xdr:nvSpPr>
      <xdr:spPr>
        <a:xfrm>
          <a:off x="534924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000-000070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000-000071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000-000072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000-000073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000-000074000000}"/>
            </a:ext>
          </a:extLst>
        </xdr:cNvPr>
        <xdr:cNvSpPr txBox="1"/>
      </xdr:nvSpPr>
      <xdr:spPr>
        <a:xfrm>
          <a:off x="69265800" y="232791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00000000-0008-0000-1000-000075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00000000-0008-0000-1000-000076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00000000-0008-0000-1000-000077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00000000-0008-0000-1000-000078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00000000-0008-0000-10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00000000-0008-0000-1000-00007A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00000000-0008-0000-1000-00007B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00000000-0008-0000-1000-00007C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00000000-0008-0000-1000-00007D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00000000-0008-0000-10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00000000-0008-0000-1000-00007F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00000000-0008-0000-1000-000080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00000000-0008-0000-1000-000081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00000000-0008-0000-1000-000082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00000000-0008-0000-10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00000000-0008-0000-1000-000084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00000000-0008-0000-1000-000085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00000000-0008-0000-1000-000086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00000000-0008-0000-1000-000087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000000-0008-0000-10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0000000-0008-0000-1000-000089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00000000-0008-0000-1000-00008A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00000000-0008-0000-1000-00008B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0000000-0008-0000-1000-00008C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00000000-0008-0000-10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000-00008E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000-00008F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000-00009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000-00009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000-00009A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000-00009B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000-00009C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000-00009D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1000-00009E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1000-00009F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1000-0000A0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1000-0000A1000000}"/>
            </a:ext>
          </a:extLst>
        </xdr:cNvPr>
        <xdr:cNvSpPr txBox="1"/>
      </xdr:nvSpPr>
      <xdr:spPr>
        <a:xfrm>
          <a:off x="6843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000-0000A2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000-0000A3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000-0000A4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000-0000A5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1000-0000A6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1000-0000A7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000-0000A8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1000-0000A9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1000-0000AA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1000-0000AB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1000-0000AC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1000-0000AD000000}"/>
            </a:ext>
          </a:extLst>
        </xdr:cNvPr>
        <xdr:cNvSpPr txBox="1"/>
      </xdr:nvSpPr>
      <xdr:spPr>
        <a:xfrm>
          <a:off x="23269222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1000-0000AE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000-0000AF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000-0000B0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000-0000B1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00000000-0008-0000-1000-0000B2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00000000-0008-0000-1000-0000B3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00000000-0008-0000-1000-0000B4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0000000-0008-0000-1000-0000B5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00000000-0008-0000-1000-0000B6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0000000-0008-0000-1000-0000B7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0000000-0008-0000-1000-0000B8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00000000-0008-0000-1000-0000B9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00000000-0008-0000-1000-0000BA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00000000-0008-0000-1000-0000BB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00000000-0008-0000-1000-0000BC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00000000-0008-0000-1000-0000BD000000}"/>
            </a:ext>
          </a:extLst>
        </xdr:cNvPr>
        <xdr:cNvSpPr txBox="1"/>
      </xdr:nvSpPr>
      <xdr:spPr>
        <a:xfrm>
          <a:off x="39694556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00000000-0008-0000-1000-0000B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00000000-0008-0000-1000-0000BF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00000000-0008-0000-1000-0000C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000-0000C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000-0000C2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000-0000C3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000-0000C4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00000000-0008-0000-1000-0000C5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00000000-0008-0000-1000-0000C6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00000000-0008-0000-1000-0000C7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00000000-0008-0000-1000-0000C8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00000000-0008-0000-1000-0000C9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00000000-0008-0000-1000-0000CA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0000000-0008-0000-1000-0000CB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0000000-0008-0000-1000-0000CC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00000000-0008-0000-1000-0000CD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0000000-0008-0000-1000-0000CE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0000000-0008-0000-1000-0000CF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0000000-0008-0000-1000-0000D0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00000000-0008-0000-1000-0000D1000000}"/>
            </a:ext>
          </a:extLst>
        </xdr:cNvPr>
        <xdr:cNvSpPr txBox="1"/>
      </xdr:nvSpPr>
      <xdr:spPr>
        <a:xfrm>
          <a:off x="56119889" y="17078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0" name="TextBox 120">
          <a:extLst>
            <a:ext uri="{FF2B5EF4-FFF2-40B4-BE49-F238E27FC236}">
              <a16:creationId xmlns:a16="http://schemas.microsoft.com/office/drawing/2014/main" id="{00000000-0008-0000-1000-0000D2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1" name="TextBox 121">
          <a:extLst>
            <a:ext uri="{FF2B5EF4-FFF2-40B4-BE49-F238E27FC236}">
              <a16:creationId xmlns:a16="http://schemas.microsoft.com/office/drawing/2014/main" id="{00000000-0008-0000-1000-0000D3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2" name="TextBox 122">
          <a:extLst>
            <a:ext uri="{FF2B5EF4-FFF2-40B4-BE49-F238E27FC236}">
              <a16:creationId xmlns:a16="http://schemas.microsoft.com/office/drawing/2014/main" id="{00000000-0008-0000-1000-0000D4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3" name="TextBox 123">
          <a:extLst>
            <a:ext uri="{FF2B5EF4-FFF2-40B4-BE49-F238E27FC236}">
              <a16:creationId xmlns:a16="http://schemas.microsoft.com/office/drawing/2014/main" id="{00000000-0008-0000-1000-0000D5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4" name="TextBox 124">
          <a:extLst>
            <a:ext uri="{FF2B5EF4-FFF2-40B4-BE49-F238E27FC236}">
              <a16:creationId xmlns:a16="http://schemas.microsoft.com/office/drawing/2014/main" id="{00000000-0008-0000-1000-0000D6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5" name="TextBox 108">
          <a:extLst>
            <a:ext uri="{FF2B5EF4-FFF2-40B4-BE49-F238E27FC236}">
              <a16:creationId xmlns:a16="http://schemas.microsoft.com/office/drawing/2014/main" id="{00000000-0008-0000-1000-0000D7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6" name="TextBox 109">
          <a:extLst>
            <a:ext uri="{FF2B5EF4-FFF2-40B4-BE49-F238E27FC236}">
              <a16:creationId xmlns:a16="http://schemas.microsoft.com/office/drawing/2014/main" id="{00000000-0008-0000-1000-0000D8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7" name="TextBox 110">
          <a:extLst>
            <a:ext uri="{FF2B5EF4-FFF2-40B4-BE49-F238E27FC236}">
              <a16:creationId xmlns:a16="http://schemas.microsoft.com/office/drawing/2014/main" id="{00000000-0008-0000-1000-0000D9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8" name="TextBox 111">
          <a:extLst>
            <a:ext uri="{FF2B5EF4-FFF2-40B4-BE49-F238E27FC236}">
              <a16:creationId xmlns:a16="http://schemas.microsoft.com/office/drawing/2014/main" id="{00000000-0008-0000-1000-0000DA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219" name="TextBox 112">
          <a:extLst>
            <a:ext uri="{FF2B5EF4-FFF2-40B4-BE49-F238E27FC236}">
              <a16:creationId xmlns:a16="http://schemas.microsoft.com/office/drawing/2014/main" id="{00000000-0008-0000-1000-0000DB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000-0000DC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0000000-0008-0000-1000-0000DD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00000000-0008-0000-1000-0000DE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0000000-0008-0000-1000-0000DF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4" name="TextBox 91">
          <a:extLst>
            <a:ext uri="{FF2B5EF4-FFF2-40B4-BE49-F238E27FC236}">
              <a16:creationId xmlns:a16="http://schemas.microsoft.com/office/drawing/2014/main" id="{00000000-0008-0000-1000-0000E0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5" name="TextBox 92">
          <a:extLst>
            <a:ext uri="{FF2B5EF4-FFF2-40B4-BE49-F238E27FC236}">
              <a16:creationId xmlns:a16="http://schemas.microsoft.com/office/drawing/2014/main" id="{00000000-0008-0000-1000-0000E1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6" name="TextBox 93">
          <a:extLst>
            <a:ext uri="{FF2B5EF4-FFF2-40B4-BE49-F238E27FC236}">
              <a16:creationId xmlns:a16="http://schemas.microsoft.com/office/drawing/2014/main" id="{00000000-0008-0000-1000-0000E2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7" name="TextBox 94">
          <a:extLst>
            <a:ext uri="{FF2B5EF4-FFF2-40B4-BE49-F238E27FC236}">
              <a16:creationId xmlns:a16="http://schemas.microsoft.com/office/drawing/2014/main" id="{00000000-0008-0000-1000-0000E3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8" name="TextBox 95">
          <a:extLst>
            <a:ext uri="{FF2B5EF4-FFF2-40B4-BE49-F238E27FC236}">
              <a16:creationId xmlns:a16="http://schemas.microsoft.com/office/drawing/2014/main" id="{00000000-0008-0000-1000-0000E4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29" name="TextBox 120">
          <a:extLst>
            <a:ext uri="{FF2B5EF4-FFF2-40B4-BE49-F238E27FC236}">
              <a16:creationId xmlns:a16="http://schemas.microsoft.com/office/drawing/2014/main" id="{00000000-0008-0000-1000-0000E5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0" name="TextBox 121">
          <a:extLst>
            <a:ext uri="{FF2B5EF4-FFF2-40B4-BE49-F238E27FC236}">
              <a16:creationId xmlns:a16="http://schemas.microsoft.com/office/drawing/2014/main" id="{00000000-0008-0000-1000-0000E6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1" name="TextBox 122">
          <a:extLst>
            <a:ext uri="{FF2B5EF4-FFF2-40B4-BE49-F238E27FC236}">
              <a16:creationId xmlns:a16="http://schemas.microsoft.com/office/drawing/2014/main" id="{00000000-0008-0000-1000-0000E7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2" name="TextBox 123">
          <a:extLst>
            <a:ext uri="{FF2B5EF4-FFF2-40B4-BE49-F238E27FC236}">
              <a16:creationId xmlns:a16="http://schemas.microsoft.com/office/drawing/2014/main" id="{00000000-0008-0000-1000-0000E8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3" name="TextBox 124">
          <a:extLst>
            <a:ext uri="{FF2B5EF4-FFF2-40B4-BE49-F238E27FC236}">
              <a16:creationId xmlns:a16="http://schemas.microsoft.com/office/drawing/2014/main" id="{00000000-0008-0000-1000-0000E9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4" name="TextBox 108">
          <a:extLst>
            <a:ext uri="{FF2B5EF4-FFF2-40B4-BE49-F238E27FC236}">
              <a16:creationId xmlns:a16="http://schemas.microsoft.com/office/drawing/2014/main" id="{00000000-0008-0000-1000-0000EA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5" name="TextBox 109">
          <a:extLst>
            <a:ext uri="{FF2B5EF4-FFF2-40B4-BE49-F238E27FC236}">
              <a16:creationId xmlns:a16="http://schemas.microsoft.com/office/drawing/2014/main" id="{00000000-0008-0000-1000-0000EB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6" name="TextBox 110">
          <a:extLst>
            <a:ext uri="{FF2B5EF4-FFF2-40B4-BE49-F238E27FC236}">
              <a16:creationId xmlns:a16="http://schemas.microsoft.com/office/drawing/2014/main" id="{00000000-0008-0000-1000-0000EC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7" name="TextBox 111">
          <a:extLst>
            <a:ext uri="{FF2B5EF4-FFF2-40B4-BE49-F238E27FC236}">
              <a16:creationId xmlns:a16="http://schemas.microsoft.com/office/drawing/2014/main" id="{00000000-0008-0000-1000-0000ED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133</xdr:row>
      <xdr:rowOff>0</xdr:rowOff>
    </xdr:from>
    <xdr:ext cx="65" cy="172227"/>
    <xdr:sp macro="" textlink="">
      <xdr:nvSpPr>
        <xdr:cNvPr id="238" name="TextBox 112">
          <a:extLst>
            <a:ext uri="{FF2B5EF4-FFF2-40B4-BE49-F238E27FC236}">
              <a16:creationId xmlns:a16="http://schemas.microsoft.com/office/drawing/2014/main" id="{00000000-0008-0000-1000-0000EE000000}"/>
            </a:ext>
          </a:extLst>
        </xdr:cNvPr>
        <xdr:cNvSpPr txBox="1"/>
      </xdr:nvSpPr>
      <xdr:spPr>
        <a:xfrm>
          <a:off x="6182591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0000000-0008-0000-1000-0000EF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00000000-0008-0000-1000-0000F0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1000-0000F1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33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1000-0000F2000000}"/>
            </a:ext>
          </a:extLst>
        </xdr:cNvPr>
        <xdr:cNvSpPr txBox="1"/>
      </xdr:nvSpPr>
      <xdr:spPr>
        <a:xfrm>
          <a:off x="6182591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3" name="TextBox 96">
          <a:extLst>
            <a:ext uri="{FF2B5EF4-FFF2-40B4-BE49-F238E27FC236}">
              <a16:creationId xmlns:a16="http://schemas.microsoft.com/office/drawing/2014/main" id="{00000000-0008-0000-1000-0000F3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4" name="TextBox 97">
          <a:extLst>
            <a:ext uri="{FF2B5EF4-FFF2-40B4-BE49-F238E27FC236}">
              <a16:creationId xmlns:a16="http://schemas.microsoft.com/office/drawing/2014/main" id="{00000000-0008-0000-1000-0000F4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5" name="TextBox 98">
          <a:extLst>
            <a:ext uri="{FF2B5EF4-FFF2-40B4-BE49-F238E27FC236}">
              <a16:creationId xmlns:a16="http://schemas.microsoft.com/office/drawing/2014/main" id="{00000000-0008-0000-1000-0000F5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6" name="TextBox 99">
          <a:extLst>
            <a:ext uri="{FF2B5EF4-FFF2-40B4-BE49-F238E27FC236}">
              <a16:creationId xmlns:a16="http://schemas.microsoft.com/office/drawing/2014/main" id="{00000000-0008-0000-1000-0000F6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7" name="TextBox 100">
          <a:extLst>
            <a:ext uri="{FF2B5EF4-FFF2-40B4-BE49-F238E27FC236}">
              <a16:creationId xmlns:a16="http://schemas.microsoft.com/office/drawing/2014/main" id="{00000000-0008-0000-1000-0000F7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8" name="TextBox 91">
          <a:extLst>
            <a:ext uri="{FF2B5EF4-FFF2-40B4-BE49-F238E27FC236}">
              <a16:creationId xmlns:a16="http://schemas.microsoft.com/office/drawing/2014/main" id="{00000000-0008-0000-1000-0000F8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49" name="TextBox 92">
          <a:extLst>
            <a:ext uri="{FF2B5EF4-FFF2-40B4-BE49-F238E27FC236}">
              <a16:creationId xmlns:a16="http://schemas.microsoft.com/office/drawing/2014/main" id="{00000000-0008-0000-1000-0000F9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0" name="TextBox 93">
          <a:extLst>
            <a:ext uri="{FF2B5EF4-FFF2-40B4-BE49-F238E27FC236}">
              <a16:creationId xmlns:a16="http://schemas.microsoft.com/office/drawing/2014/main" id="{00000000-0008-0000-1000-0000FA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1" name="TextBox 94">
          <a:extLst>
            <a:ext uri="{FF2B5EF4-FFF2-40B4-BE49-F238E27FC236}">
              <a16:creationId xmlns:a16="http://schemas.microsoft.com/office/drawing/2014/main" id="{00000000-0008-0000-1000-0000FB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2" name="TextBox 95">
          <a:extLst>
            <a:ext uri="{FF2B5EF4-FFF2-40B4-BE49-F238E27FC236}">
              <a16:creationId xmlns:a16="http://schemas.microsoft.com/office/drawing/2014/main" id="{00000000-0008-0000-1000-0000FC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3" name="TextBox 120">
          <a:extLst>
            <a:ext uri="{FF2B5EF4-FFF2-40B4-BE49-F238E27FC236}">
              <a16:creationId xmlns:a16="http://schemas.microsoft.com/office/drawing/2014/main" id="{00000000-0008-0000-1000-0000FD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4" name="TextBox 121">
          <a:extLst>
            <a:ext uri="{FF2B5EF4-FFF2-40B4-BE49-F238E27FC236}">
              <a16:creationId xmlns:a16="http://schemas.microsoft.com/office/drawing/2014/main" id="{00000000-0008-0000-1000-0000FE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5" name="TextBox 122">
          <a:extLst>
            <a:ext uri="{FF2B5EF4-FFF2-40B4-BE49-F238E27FC236}">
              <a16:creationId xmlns:a16="http://schemas.microsoft.com/office/drawing/2014/main" id="{00000000-0008-0000-1000-0000FF00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6" name="TextBox 123">
          <a:extLst>
            <a:ext uri="{FF2B5EF4-FFF2-40B4-BE49-F238E27FC236}">
              <a16:creationId xmlns:a16="http://schemas.microsoft.com/office/drawing/2014/main" id="{00000000-0008-0000-1000-000000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7" name="TextBox 124">
          <a:extLst>
            <a:ext uri="{FF2B5EF4-FFF2-40B4-BE49-F238E27FC236}">
              <a16:creationId xmlns:a16="http://schemas.microsoft.com/office/drawing/2014/main" id="{00000000-0008-0000-1000-000001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8" name="TextBox 108">
          <a:extLst>
            <a:ext uri="{FF2B5EF4-FFF2-40B4-BE49-F238E27FC236}">
              <a16:creationId xmlns:a16="http://schemas.microsoft.com/office/drawing/2014/main" id="{00000000-0008-0000-1000-000002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59" name="TextBox 109">
          <a:extLst>
            <a:ext uri="{FF2B5EF4-FFF2-40B4-BE49-F238E27FC236}">
              <a16:creationId xmlns:a16="http://schemas.microsoft.com/office/drawing/2014/main" id="{00000000-0008-0000-1000-000003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0" name="TextBox 110">
          <a:extLst>
            <a:ext uri="{FF2B5EF4-FFF2-40B4-BE49-F238E27FC236}">
              <a16:creationId xmlns:a16="http://schemas.microsoft.com/office/drawing/2014/main" id="{00000000-0008-0000-1000-000004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1" name="TextBox 111">
          <a:extLst>
            <a:ext uri="{FF2B5EF4-FFF2-40B4-BE49-F238E27FC236}">
              <a16:creationId xmlns:a16="http://schemas.microsoft.com/office/drawing/2014/main" id="{00000000-0008-0000-1000-000005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133</xdr:row>
      <xdr:rowOff>0</xdr:rowOff>
    </xdr:from>
    <xdr:ext cx="65" cy="172227"/>
    <xdr:sp macro="" textlink="">
      <xdr:nvSpPr>
        <xdr:cNvPr id="262" name="TextBox 112">
          <a:extLst>
            <a:ext uri="{FF2B5EF4-FFF2-40B4-BE49-F238E27FC236}">
              <a16:creationId xmlns:a16="http://schemas.microsoft.com/office/drawing/2014/main" id="{00000000-0008-0000-1000-000006010000}"/>
            </a:ext>
          </a:extLst>
        </xdr:cNvPr>
        <xdr:cNvSpPr txBox="1"/>
      </xdr:nvSpPr>
      <xdr:spPr>
        <a:xfrm>
          <a:off x="2198254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00000000-0008-0000-1000-00000701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00000000-0008-0000-1000-00000801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1000-00000901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57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1000-00000A010000}"/>
            </a:ext>
          </a:extLst>
        </xdr:cNvPr>
        <xdr:cNvSpPr txBox="1"/>
      </xdr:nvSpPr>
      <xdr:spPr>
        <a:xfrm>
          <a:off x="2198254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7" name="TextBox 101">
          <a:extLst>
            <a:ext uri="{FF2B5EF4-FFF2-40B4-BE49-F238E27FC236}">
              <a16:creationId xmlns:a16="http://schemas.microsoft.com/office/drawing/2014/main" id="{00000000-0008-0000-1000-00000B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8" name="TextBox 102">
          <a:extLst>
            <a:ext uri="{FF2B5EF4-FFF2-40B4-BE49-F238E27FC236}">
              <a16:creationId xmlns:a16="http://schemas.microsoft.com/office/drawing/2014/main" id="{00000000-0008-0000-1000-00000C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69" name="TextBox 103">
          <a:extLst>
            <a:ext uri="{FF2B5EF4-FFF2-40B4-BE49-F238E27FC236}">
              <a16:creationId xmlns:a16="http://schemas.microsoft.com/office/drawing/2014/main" id="{00000000-0008-0000-1000-00000D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0" name="TextBox 104">
          <a:extLst>
            <a:ext uri="{FF2B5EF4-FFF2-40B4-BE49-F238E27FC236}">
              <a16:creationId xmlns:a16="http://schemas.microsoft.com/office/drawing/2014/main" id="{00000000-0008-0000-1000-00000E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1" name="TextBox 105">
          <a:extLst>
            <a:ext uri="{FF2B5EF4-FFF2-40B4-BE49-F238E27FC236}">
              <a16:creationId xmlns:a16="http://schemas.microsoft.com/office/drawing/2014/main" id="{00000000-0008-0000-1000-00000F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2" name="TextBox 96">
          <a:extLst>
            <a:ext uri="{FF2B5EF4-FFF2-40B4-BE49-F238E27FC236}">
              <a16:creationId xmlns:a16="http://schemas.microsoft.com/office/drawing/2014/main" id="{00000000-0008-0000-1000-000010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3" name="TextBox 97">
          <a:extLst>
            <a:ext uri="{FF2B5EF4-FFF2-40B4-BE49-F238E27FC236}">
              <a16:creationId xmlns:a16="http://schemas.microsoft.com/office/drawing/2014/main" id="{00000000-0008-0000-1000-000011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4" name="TextBox 98">
          <a:extLst>
            <a:ext uri="{FF2B5EF4-FFF2-40B4-BE49-F238E27FC236}">
              <a16:creationId xmlns:a16="http://schemas.microsoft.com/office/drawing/2014/main" id="{00000000-0008-0000-1000-000012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5" name="TextBox 99">
          <a:extLst>
            <a:ext uri="{FF2B5EF4-FFF2-40B4-BE49-F238E27FC236}">
              <a16:creationId xmlns:a16="http://schemas.microsoft.com/office/drawing/2014/main" id="{00000000-0008-0000-1000-000013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6" name="TextBox 100">
          <a:extLst>
            <a:ext uri="{FF2B5EF4-FFF2-40B4-BE49-F238E27FC236}">
              <a16:creationId xmlns:a16="http://schemas.microsoft.com/office/drawing/2014/main" id="{00000000-0008-0000-1000-000014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7" name="TextBox 91">
          <a:extLst>
            <a:ext uri="{FF2B5EF4-FFF2-40B4-BE49-F238E27FC236}">
              <a16:creationId xmlns:a16="http://schemas.microsoft.com/office/drawing/2014/main" id="{00000000-0008-0000-1000-000015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8" name="TextBox 92">
          <a:extLst>
            <a:ext uri="{FF2B5EF4-FFF2-40B4-BE49-F238E27FC236}">
              <a16:creationId xmlns:a16="http://schemas.microsoft.com/office/drawing/2014/main" id="{00000000-0008-0000-1000-000016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79" name="TextBox 93">
          <a:extLst>
            <a:ext uri="{FF2B5EF4-FFF2-40B4-BE49-F238E27FC236}">
              <a16:creationId xmlns:a16="http://schemas.microsoft.com/office/drawing/2014/main" id="{00000000-0008-0000-1000-000017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0" name="TextBox 94">
          <a:extLst>
            <a:ext uri="{FF2B5EF4-FFF2-40B4-BE49-F238E27FC236}">
              <a16:creationId xmlns:a16="http://schemas.microsoft.com/office/drawing/2014/main" id="{00000000-0008-0000-1000-000018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1" name="TextBox 95">
          <a:extLst>
            <a:ext uri="{FF2B5EF4-FFF2-40B4-BE49-F238E27FC236}">
              <a16:creationId xmlns:a16="http://schemas.microsoft.com/office/drawing/2014/main" id="{00000000-0008-0000-1000-000019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2" name="TextBox 120">
          <a:extLst>
            <a:ext uri="{FF2B5EF4-FFF2-40B4-BE49-F238E27FC236}">
              <a16:creationId xmlns:a16="http://schemas.microsoft.com/office/drawing/2014/main" id="{00000000-0008-0000-1000-00001A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3" name="TextBox 121">
          <a:extLst>
            <a:ext uri="{FF2B5EF4-FFF2-40B4-BE49-F238E27FC236}">
              <a16:creationId xmlns:a16="http://schemas.microsoft.com/office/drawing/2014/main" id="{00000000-0008-0000-1000-00001B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4" name="TextBox 122">
          <a:extLst>
            <a:ext uri="{FF2B5EF4-FFF2-40B4-BE49-F238E27FC236}">
              <a16:creationId xmlns:a16="http://schemas.microsoft.com/office/drawing/2014/main" id="{00000000-0008-0000-1000-00001C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5" name="TextBox 123">
          <a:extLst>
            <a:ext uri="{FF2B5EF4-FFF2-40B4-BE49-F238E27FC236}">
              <a16:creationId xmlns:a16="http://schemas.microsoft.com/office/drawing/2014/main" id="{00000000-0008-0000-1000-00001D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6" name="TextBox 124">
          <a:extLst>
            <a:ext uri="{FF2B5EF4-FFF2-40B4-BE49-F238E27FC236}">
              <a16:creationId xmlns:a16="http://schemas.microsoft.com/office/drawing/2014/main" id="{00000000-0008-0000-1000-00001E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7" name="TextBox 108">
          <a:extLst>
            <a:ext uri="{FF2B5EF4-FFF2-40B4-BE49-F238E27FC236}">
              <a16:creationId xmlns:a16="http://schemas.microsoft.com/office/drawing/2014/main" id="{00000000-0008-0000-1000-00001F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8" name="TextBox 109">
          <a:extLst>
            <a:ext uri="{FF2B5EF4-FFF2-40B4-BE49-F238E27FC236}">
              <a16:creationId xmlns:a16="http://schemas.microsoft.com/office/drawing/2014/main" id="{00000000-0008-0000-1000-000020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89" name="TextBox 110">
          <a:extLst>
            <a:ext uri="{FF2B5EF4-FFF2-40B4-BE49-F238E27FC236}">
              <a16:creationId xmlns:a16="http://schemas.microsoft.com/office/drawing/2014/main" id="{00000000-0008-0000-1000-000021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90" name="TextBox 111">
          <a:extLst>
            <a:ext uri="{FF2B5EF4-FFF2-40B4-BE49-F238E27FC236}">
              <a16:creationId xmlns:a16="http://schemas.microsoft.com/office/drawing/2014/main" id="{00000000-0008-0000-1000-000022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133</xdr:row>
      <xdr:rowOff>0</xdr:rowOff>
    </xdr:from>
    <xdr:ext cx="65" cy="172227"/>
    <xdr:sp macro="" textlink="">
      <xdr:nvSpPr>
        <xdr:cNvPr id="291" name="TextBox 112">
          <a:extLst>
            <a:ext uri="{FF2B5EF4-FFF2-40B4-BE49-F238E27FC236}">
              <a16:creationId xmlns:a16="http://schemas.microsoft.com/office/drawing/2014/main" id="{00000000-0008-0000-1000-000023010000}"/>
            </a:ext>
          </a:extLst>
        </xdr:cNvPr>
        <xdr:cNvSpPr txBox="1"/>
      </xdr:nvSpPr>
      <xdr:spPr>
        <a:xfrm>
          <a:off x="37782500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1000-00002401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00000000-0008-0000-1000-00002501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00000000-0008-0000-1000-00002601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81</xdr:col>
      <xdr:colOff>0</xdr:colOff>
      <xdr:row>149</xdr:row>
      <xdr:rowOff>123825</xdr:rowOff>
    </xdr:from>
    <xdr:ext cx="65" cy="172227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0000000-0008-0000-1000-000027010000}"/>
            </a:ext>
          </a:extLst>
        </xdr:cNvPr>
        <xdr:cNvSpPr txBox="1"/>
      </xdr:nvSpPr>
      <xdr:spPr>
        <a:xfrm>
          <a:off x="37782500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6" name="TextBox 106">
          <a:extLst>
            <a:ext uri="{FF2B5EF4-FFF2-40B4-BE49-F238E27FC236}">
              <a16:creationId xmlns:a16="http://schemas.microsoft.com/office/drawing/2014/main" id="{00000000-0008-0000-1000-000028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7" name="TextBox 107">
          <a:extLst>
            <a:ext uri="{FF2B5EF4-FFF2-40B4-BE49-F238E27FC236}">
              <a16:creationId xmlns:a16="http://schemas.microsoft.com/office/drawing/2014/main" id="{00000000-0008-0000-1000-000029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8" name="TextBox 108">
          <a:extLst>
            <a:ext uri="{FF2B5EF4-FFF2-40B4-BE49-F238E27FC236}">
              <a16:creationId xmlns:a16="http://schemas.microsoft.com/office/drawing/2014/main" id="{00000000-0008-0000-1000-00002A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299" name="TextBox 109">
          <a:extLst>
            <a:ext uri="{FF2B5EF4-FFF2-40B4-BE49-F238E27FC236}">
              <a16:creationId xmlns:a16="http://schemas.microsoft.com/office/drawing/2014/main" id="{00000000-0008-0000-1000-00002B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0" name="TextBox 110">
          <a:extLst>
            <a:ext uri="{FF2B5EF4-FFF2-40B4-BE49-F238E27FC236}">
              <a16:creationId xmlns:a16="http://schemas.microsoft.com/office/drawing/2014/main" id="{00000000-0008-0000-1000-00002C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1" name="TextBox 101">
          <a:extLst>
            <a:ext uri="{FF2B5EF4-FFF2-40B4-BE49-F238E27FC236}">
              <a16:creationId xmlns:a16="http://schemas.microsoft.com/office/drawing/2014/main" id="{00000000-0008-0000-1000-00002D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2" name="TextBox 102">
          <a:extLst>
            <a:ext uri="{FF2B5EF4-FFF2-40B4-BE49-F238E27FC236}">
              <a16:creationId xmlns:a16="http://schemas.microsoft.com/office/drawing/2014/main" id="{00000000-0008-0000-1000-00002E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3" name="TextBox 103">
          <a:extLst>
            <a:ext uri="{FF2B5EF4-FFF2-40B4-BE49-F238E27FC236}">
              <a16:creationId xmlns:a16="http://schemas.microsoft.com/office/drawing/2014/main" id="{00000000-0008-0000-1000-00002F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4" name="TextBox 104">
          <a:extLst>
            <a:ext uri="{FF2B5EF4-FFF2-40B4-BE49-F238E27FC236}">
              <a16:creationId xmlns:a16="http://schemas.microsoft.com/office/drawing/2014/main" id="{00000000-0008-0000-1000-000030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5" name="TextBox 105">
          <a:extLst>
            <a:ext uri="{FF2B5EF4-FFF2-40B4-BE49-F238E27FC236}">
              <a16:creationId xmlns:a16="http://schemas.microsoft.com/office/drawing/2014/main" id="{00000000-0008-0000-1000-000031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6" name="TextBox 96">
          <a:extLst>
            <a:ext uri="{FF2B5EF4-FFF2-40B4-BE49-F238E27FC236}">
              <a16:creationId xmlns:a16="http://schemas.microsoft.com/office/drawing/2014/main" id="{00000000-0008-0000-1000-000032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7" name="TextBox 97">
          <a:extLst>
            <a:ext uri="{FF2B5EF4-FFF2-40B4-BE49-F238E27FC236}">
              <a16:creationId xmlns:a16="http://schemas.microsoft.com/office/drawing/2014/main" id="{00000000-0008-0000-1000-000033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8" name="TextBox 98">
          <a:extLst>
            <a:ext uri="{FF2B5EF4-FFF2-40B4-BE49-F238E27FC236}">
              <a16:creationId xmlns:a16="http://schemas.microsoft.com/office/drawing/2014/main" id="{00000000-0008-0000-1000-000034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09" name="TextBox 99">
          <a:extLst>
            <a:ext uri="{FF2B5EF4-FFF2-40B4-BE49-F238E27FC236}">
              <a16:creationId xmlns:a16="http://schemas.microsoft.com/office/drawing/2014/main" id="{00000000-0008-0000-1000-000035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0" name="TextBox 100">
          <a:extLst>
            <a:ext uri="{FF2B5EF4-FFF2-40B4-BE49-F238E27FC236}">
              <a16:creationId xmlns:a16="http://schemas.microsoft.com/office/drawing/2014/main" id="{00000000-0008-0000-1000-000036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1" name="TextBox 91">
          <a:extLst>
            <a:ext uri="{FF2B5EF4-FFF2-40B4-BE49-F238E27FC236}">
              <a16:creationId xmlns:a16="http://schemas.microsoft.com/office/drawing/2014/main" id="{00000000-0008-0000-1000-000037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2" name="TextBox 92">
          <a:extLst>
            <a:ext uri="{FF2B5EF4-FFF2-40B4-BE49-F238E27FC236}">
              <a16:creationId xmlns:a16="http://schemas.microsoft.com/office/drawing/2014/main" id="{00000000-0008-0000-1000-000038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3" name="TextBox 93">
          <a:extLst>
            <a:ext uri="{FF2B5EF4-FFF2-40B4-BE49-F238E27FC236}">
              <a16:creationId xmlns:a16="http://schemas.microsoft.com/office/drawing/2014/main" id="{00000000-0008-0000-1000-000039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4" name="TextBox 94">
          <a:extLst>
            <a:ext uri="{FF2B5EF4-FFF2-40B4-BE49-F238E27FC236}">
              <a16:creationId xmlns:a16="http://schemas.microsoft.com/office/drawing/2014/main" id="{00000000-0008-0000-1000-00003A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5" name="TextBox 95">
          <a:extLst>
            <a:ext uri="{FF2B5EF4-FFF2-40B4-BE49-F238E27FC236}">
              <a16:creationId xmlns:a16="http://schemas.microsoft.com/office/drawing/2014/main" id="{00000000-0008-0000-1000-00003B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6" name="TextBox 120">
          <a:extLst>
            <a:ext uri="{FF2B5EF4-FFF2-40B4-BE49-F238E27FC236}">
              <a16:creationId xmlns:a16="http://schemas.microsoft.com/office/drawing/2014/main" id="{00000000-0008-0000-1000-00003C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7" name="TextBox 121">
          <a:extLst>
            <a:ext uri="{FF2B5EF4-FFF2-40B4-BE49-F238E27FC236}">
              <a16:creationId xmlns:a16="http://schemas.microsoft.com/office/drawing/2014/main" id="{00000000-0008-0000-1000-00003D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8" name="TextBox 122">
          <a:extLst>
            <a:ext uri="{FF2B5EF4-FFF2-40B4-BE49-F238E27FC236}">
              <a16:creationId xmlns:a16="http://schemas.microsoft.com/office/drawing/2014/main" id="{00000000-0008-0000-1000-00003E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19" name="TextBox 123">
          <a:extLst>
            <a:ext uri="{FF2B5EF4-FFF2-40B4-BE49-F238E27FC236}">
              <a16:creationId xmlns:a16="http://schemas.microsoft.com/office/drawing/2014/main" id="{00000000-0008-0000-1000-00003F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0" name="TextBox 124">
          <a:extLst>
            <a:ext uri="{FF2B5EF4-FFF2-40B4-BE49-F238E27FC236}">
              <a16:creationId xmlns:a16="http://schemas.microsoft.com/office/drawing/2014/main" id="{00000000-0008-0000-1000-000040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1" name="TextBox 108">
          <a:extLst>
            <a:ext uri="{FF2B5EF4-FFF2-40B4-BE49-F238E27FC236}">
              <a16:creationId xmlns:a16="http://schemas.microsoft.com/office/drawing/2014/main" id="{00000000-0008-0000-1000-000041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2" name="TextBox 109">
          <a:extLst>
            <a:ext uri="{FF2B5EF4-FFF2-40B4-BE49-F238E27FC236}">
              <a16:creationId xmlns:a16="http://schemas.microsoft.com/office/drawing/2014/main" id="{00000000-0008-0000-1000-000042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3" name="TextBox 110">
          <a:extLst>
            <a:ext uri="{FF2B5EF4-FFF2-40B4-BE49-F238E27FC236}">
              <a16:creationId xmlns:a16="http://schemas.microsoft.com/office/drawing/2014/main" id="{00000000-0008-0000-1000-000043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4" name="TextBox 111">
          <a:extLst>
            <a:ext uri="{FF2B5EF4-FFF2-40B4-BE49-F238E27FC236}">
              <a16:creationId xmlns:a16="http://schemas.microsoft.com/office/drawing/2014/main" id="{00000000-0008-0000-1000-000044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133</xdr:row>
      <xdr:rowOff>0</xdr:rowOff>
    </xdr:from>
    <xdr:ext cx="65" cy="172227"/>
    <xdr:sp macro="" textlink="">
      <xdr:nvSpPr>
        <xdr:cNvPr id="325" name="TextBox 112">
          <a:extLst>
            <a:ext uri="{FF2B5EF4-FFF2-40B4-BE49-F238E27FC236}">
              <a16:creationId xmlns:a16="http://schemas.microsoft.com/office/drawing/2014/main" id="{00000000-0008-0000-1000-000045010000}"/>
            </a:ext>
          </a:extLst>
        </xdr:cNvPr>
        <xdr:cNvSpPr txBox="1"/>
      </xdr:nvSpPr>
      <xdr:spPr>
        <a:xfrm>
          <a:off x="53582455" y="28655818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1000-00004601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1000-00004701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1000-00004801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105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1000-000049010000}"/>
            </a:ext>
          </a:extLst>
        </xdr:cNvPr>
        <xdr:cNvSpPr txBox="1"/>
      </xdr:nvSpPr>
      <xdr:spPr>
        <a:xfrm>
          <a:off x="53582455" y="32110507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23</xdr:row>
      <xdr:rowOff>123825</xdr:rowOff>
    </xdr:from>
    <xdr:ext cx="65" cy="172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 txBox="1"/>
      </xdr:nvSpPr>
      <xdr:spPr>
        <a:xfrm>
          <a:off x="61722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49</xdr:row>
      <xdr:rowOff>123825</xdr:rowOff>
    </xdr:from>
    <xdr:ext cx="65" cy="172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23</xdr:row>
      <xdr:rowOff>123825</xdr:rowOff>
    </xdr:from>
    <xdr:ext cx="65" cy="1722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23</xdr:row>
      <xdr:rowOff>123825</xdr:rowOff>
    </xdr:from>
    <xdr:ext cx="65" cy="1722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23</xdr:row>
      <xdr:rowOff>123825</xdr:rowOff>
    </xdr:from>
    <xdr:ext cx="65" cy="172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23</xdr:row>
      <xdr:rowOff>123825</xdr:rowOff>
    </xdr:from>
    <xdr:ext cx="65" cy="172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 txBox="1"/>
      </xdr:nvSpPr>
      <xdr:spPr>
        <a:xfrm>
          <a:off x="219456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49</xdr:row>
      <xdr:rowOff>123825</xdr:rowOff>
    </xdr:from>
    <xdr:ext cx="65" cy="1722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23</xdr:row>
      <xdr:rowOff>123825</xdr:rowOff>
    </xdr:from>
    <xdr:ext cx="65" cy="1722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23</xdr:row>
      <xdr:rowOff>123825</xdr:rowOff>
    </xdr:from>
    <xdr:ext cx="65" cy="1722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23</xdr:row>
      <xdr:rowOff>123825</xdr:rowOff>
    </xdr:from>
    <xdr:ext cx="65" cy="1722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23</xdr:row>
      <xdr:rowOff>123825</xdr:rowOff>
    </xdr:from>
    <xdr:ext cx="65" cy="1722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23</xdr:row>
      <xdr:rowOff>123825</xdr:rowOff>
    </xdr:from>
    <xdr:ext cx="65" cy="1722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23</xdr:row>
      <xdr:rowOff>123825</xdr:rowOff>
    </xdr:from>
    <xdr:ext cx="65" cy="172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23</xdr:row>
      <xdr:rowOff>123825</xdr:rowOff>
    </xdr:from>
    <xdr:ext cx="65" cy="172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23</xdr:row>
      <xdr:rowOff>123825</xdr:rowOff>
    </xdr:from>
    <xdr:ext cx="65" cy="1722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SpPr txBox="1"/>
      </xdr:nvSpPr>
      <xdr:spPr>
        <a:xfrm>
          <a:off x="377190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23</xdr:row>
      <xdr:rowOff>123825</xdr:rowOff>
    </xdr:from>
    <xdr:ext cx="65" cy="172227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23</xdr:row>
      <xdr:rowOff>123825</xdr:rowOff>
    </xdr:from>
    <xdr:ext cx="65" cy="172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23</xdr:row>
      <xdr:rowOff>123825</xdr:rowOff>
    </xdr:from>
    <xdr:ext cx="65" cy="172227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23</xdr:row>
      <xdr:rowOff>123825</xdr:rowOff>
    </xdr:from>
    <xdr:ext cx="65" cy="172227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SpPr txBox="1"/>
      </xdr:nvSpPr>
      <xdr:spPr>
        <a:xfrm>
          <a:off x="53492400" y="4962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49</xdr:row>
      <xdr:rowOff>123825</xdr:rowOff>
    </xdr:from>
    <xdr:ext cx="65" cy="172227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49</xdr:row>
      <xdr:rowOff>123825</xdr:rowOff>
    </xdr:from>
    <xdr:ext cx="65" cy="172227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49</xdr:row>
      <xdr:rowOff>123825</xdr:rowOff>
    </xdr:from>
    <xdr:ext cx="65" cy="17222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49</xdr:row>
      <xdr:rowOff>123825</xdr:rowOff>
    </xdr:from>
    <xdr:ext cx="65" cy="172227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49</xdr:row>
      <xdr:rowOff>123825</xdr:rowOff>
    </xdr:from>
    <xdr:ext cx="65" cy="17222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49</xdr:row>
      <xdr:rowOff>123825</xdr:rowOff>
    </xdr:from>
    <xdr:ext cx="65" cy="172227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49</xdr:row>
      <xdr:rowOff>123825</xdr:rowOff>
    </xdr:from>
    <xdr:ext cx="65" cy="172227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49</xdr:row>
      <xdr:rowOff>123825</xdr:rowOff>
    </xdr:from>
    <xdr:ext cx="65" cy="172227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49</xdr:row>
      <xdr:rowOff>123825</xdr:rowOff>
    </xdr:from>
    <xdr:ext cx="65" cy="172227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100-000028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49</xdr:row>
      <xdr:rowOff>123825</xdr:rowOff>
    </xdr:from>
    <xdr:ext cx="65" cy="172227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49</xdr:row>
      <xdr:rowOff>123825</xdr:rowOff>
    </xdr:from>
    <xdr:ext cx="65" cy="172227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1100-00002A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49</xdr:row>
      <xdr:rowOff>123825</xdr:rowOff>
    </xdr:from>
    <xdr:ext cx="65" cy="172227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49</xdr:row>
      <xdr:rowOff>123825</xdr:rowOff>
    </xdr:from>
    <xdr:ext cx="65" cy="172227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49</xdr:row>
      <xdr:rowOff>123825</xdr:rowOff>
    </xdr:from>
    <xdr:ext cx="65" cy="172227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1100-00002D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49</xdr:row>
      <xdr:rowOff>123825</xdr:rowOff>
    </xdr:from>
    <xdr:ext cx="65" cy="172227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100-00002E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1100-00002F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1100-000030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100-000031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1100-000032000000}"/>
            </a:ext>
          </a:extLst>
        </xdr:cNvPr>
        <xdr:cNvSpPr txBox="1"/>
      </xdr:nvSpPr>
      <xdr:spPr>
        <a:xfrm>
          <a:off x="68580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1100-000033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1100-000034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1100-000035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1100-000036000000}"/>
            </a:ext>
          </a:extLst>
        </xdr:cNvPr>
        <xdr:cNvSpPr txBox="1"/>
      </xdr:nvSpPr>
      <xdr:spPr>
        <a:xfrm>
          <a:off x="233172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1100-000037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1100-000038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1100-000039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1100-00003A000000}"/>
            </a:ext>
          </a:extLst>
        </xdr:cNvPr>
        <xdr:cNvSpPr txBox="1"/>
      </xdr:nvSpPr>
      <xdr:spPr>
        <a:xfrm>
          <a:off x="397764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SpPr txBox="1"/>
      </xdr:nvSpPr>
      <xdr:spPr>
        <a:xfrm>
          <a:off x="562356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SpPr txBox="1"/>
      </xdr:nvSpPr>
      <xdr:spPr>
        <a:xfrm>
          <a:off x="72694800" y="180784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99</xdr:row>
      <xdr:rowOff>123825</xdr:rowOff>
    </xdr:from>
    <xdr:ext cx="65" cy="172227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SpPr txBox="1"/>
      </xdr:nvSpPr>
      <xdr:spPr>
        <a:xfrm>
          <a:off x="61722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99</xdr:row>
      <xdr:rowOff>123825</xdr:rowOff>
    </xdr:from>
    <xdr:ext cx="65" cy="172227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99</xdr:row>
      <xdr:rowOff>123825</xdr:rowOff>
    </xdr:from>
    <xdr:ext cx="65" cy="172227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99</xdr:row>
      <xdr:rowOff>123825</xdr:rowOff>
    </xdr:from>
    <xdr:ext cx="65" cy="172227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99</xdr:row>
      <xdr:rowOff>123825</xdr:rowOff>
    </xdr:from>
    <xdr:ext cx="65" cy="172227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1100-00004B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99</xdr:row>
      <xdr:rowOff>123825</xdr:rowOff>
    </xdr:from>
    <xdr:ext cx="65" cy="172227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SpPr txBox="1"/>
      </xdr:nvSpPr>
      <xdr:spPr>
        <a:xfrm>
          <a:off x="219456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99</xdr:row>
      <xdr:rowOff>123825</xdr:rowOff>
    </xdr:from>
    <xdr:ext cx="65" cy="172227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99</xdr:row>
      <xdr:rowOff>123825</xdr:rowOff>
    </xdr:from>
    <xdr:ext cx="65" cy="172227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99</xdr:row>
      <xdr:rowOff>123825</xdr:rowOff>
    </xdr:from>
    <xdr:ext cx="65" cy="172227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99</xdr:row>
      <xdr:rowOff>123825</xdr:rowOff>
    </xdr:from>
    <xdr:ext cx="65" cy="172227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1100-000050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99</xdr:row>
      <xdr:rowOff>123825</xdr:rowOff>
    </xdr:from>
    <xdr:ext cx="65" cy="172227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SpPr txBox="1"/>
      </xdr:nvSpPr>
      <xdr:spPr>
        <a:xfrm>
          <a:off x="377190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99</xdr:row>
      <xdr:rowOff>123825</xdr:rowOff>
    </xdr:from>
    <xdr:ext cx="65" cy="172227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1100-000052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99</xdr:row>
      <xdr:rowOff>123825</xdr:rowOff>
    </xdr:from>
    <xdr:ext cx="65" cy="172227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1100-000053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99</xdr:row>
      <xdr:rowOff>123825</xdr:rowOff>
    </xdr:from>
    <xdr:ext cx="65" cy="172227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1100-000054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99</xdr:row>
      <xdr:rowOff>123825</xdr:rowOff>
    </xdr:from>
    <xdr:ext cx="65" cy="172227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1100-000055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99</xdr:row>
      <xdr:rowOff>123825</xdr:rowOff>
    </xdr:from>
    <xdr:ext cx="65" cy="172227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1100-000056000000}"/>
            </a:ext>
          </a:extLst>
        </xdr:cNvPr>
        <xdr:cNvSpPr txBox="1"/>
      </xdr:nvSpPr>
      <xdr:spPr>
        <a:xfrm>
          <a:off x="534924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99</xdr:row>
      <xdr:rowOff>123825</xdr:rowOff>
    </xdr:from>
    <xdr:ext cx="65" cy="172227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1100-000057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99</xdr:row>
      <xdr:rowOff>123825</xdr:rowOff>
    </xdr:from>
    <xdr:ext cx="65" cy="172227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1100-000058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99</xdr:row>
      <xdr:rowOff>123825</xdr:rowOff>
    </xdr:from>
    <xdr:ext cx="65" cy="172227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1100-000059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99</xdr:row>
      <xdr:rowOff>123825</xdr:rowOff>
    </xdr:from>
    <xdr:ext cx="65" cy="172227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1100-00005A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99</xdr:row>
      <xdr:rowOff>123825</xdr:rowOff>
    </xdr:from>
    <xdr:ext cx="65" cy="172227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1100-00005B000000}"/>
            </a:ext>
          </a:extLst>
        </xdr:cNvPr>
        <xdr:cNvSpPr txBox="1"/>
      </xdr:nvSpPr>
      <xdr:spPr>
        <a:xfrm>
          <a:off x="69265800" y="103441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1100-00005C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1100-00005D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1100-00005E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1100-00005F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124</xdr:row>
      <xdr:rowOff>123825</xdr:rowOff>
    </xdr:from>
    <xdr:ext cx="65" cy="172227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1100-000060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1100-000061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1100-000062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1100-000063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1100-000064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124</xdr:row>
      <xdr:rowOff>123825</xdr:rowOff>
    </xdr:from>
    <xdr:ext cx="65" cy="172227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1100-000065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124</xdr:row>
      <xdr:rowOff>123825</xdr:rowOff>
    </xdr:from>
    <xdr:ext cx="65" cy="172227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1100-000066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124</xdr:row>
      <xdr:rowOff>123825</xdr:rowOff>
    </xdr:from>
    <xdr:ext cx="65" cy="172227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1100-000067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124</xdr:row>
      <xdr:rowOff>123825</xdr:rowOff>
    </xdr:from>
    <xdr:ext cx="65" cy="172227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00000000-0008-0000-1100-000068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124</xdr:row>
      <xdr:rowOff>123825</xdr:rowOff>
    </xdr:from>
    <xdr:ext cx="65" cy="172227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0000000-0008-0000-1100-000069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124</xdr:row>
      <xdr:rowOff>123825</xdr:rowOff>
    </xdr:from>
    <xdr:ext cx="65" cy="172227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0000000-0008-0000-1100-00006A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124</xdr:row>
      <xdr:rowOff>123825</xdr:rowOff>
    </xdr:from>
    <xdr:ext cx="65" cy="172227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00000000-0008-0000-1100-00006B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124</xdr:row>
      <xdr:rowOff>123825</xdr:rowOff>
    </xdr:from>
    <xdr:ext cx="65" cy="172227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00000000-0008-0000-1100-00006C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124</xdr:row>
      <xdr:rowOff>123825</xdr:rowOff>
    </xdr:from>
    <xdr:ext cx="65" cy="172227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1100-00006D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124</xdr:row>
      <xdr:rowOff>123825</xdr:rowOff>
    </xdr:from>
    <xdr:ext cx="65" cy="172227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1100-00006E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124</xdr:row>
      <xdr:rowOff>123825</xdr:rowOff>
    </xdr:from>
    <xdr:ext cx="65" cy="172227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00000000-0008-0000-1100-00006F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124</xdr:row>
      <xdr:rowOff>123825</xdr:rowOff>
    </xdr:from>
    <xdr:ext cx="65" cy="172227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00000000-0008-0000-1100-000070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124</xdr:row>
      <xdr:rowOff>123825</xdr:rowOff>
    </xdr:from>
    <xdr:ext cx="65" cy="172227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00000000-0008-0000-1100-000071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124</xdr:row>
      <xdr:rowOff>123825</xdr:rowOff>
    </xdr:from>
    <xdr:ext cx="65" cy="172227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00000000-0008-0000-1100-000072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124</xdr:row>
      <xdr:rowOff>123825</xdr:rowOff>
    </xdr:from>
    <xdr:ext cx="65" cy="172227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00000000-0008-0000-1100-000073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124</xdr:row>
      <xdr:rowOff>123825</xdr:rowOff>
    </xdr:from>
    <xdr:ext cx="65" cy="172227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0000000-0008-0000-1100-000074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7" name="TextBox 91">
          <a:extLst>
            <a:ext uri="{FF2B5EF4-FFF2-40B4-BE49-F238E27FC236}">
              <a16:creationId xmlns:a16="http://schemas.microsoft.com/office/drawing/2014/main" id="{00000000-0008-0000-1100-000075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8" name="TextBox 92">
          <a:extLst>
            <a:ext uri="{FF2B5EF4-FFF2-40B4-BE49-F238E27FC236}">
              <a16:creationId xmlns:a16="http://schemas.microsoft.com/office/drawing/2014/main" id="{00000000-0008-0000-1100-000076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19" name="TextBox 93">
          <a:extLst>
            <a:ext uri="{FF2B5EF4-FFF2-40B4-BE49-F238E27FC236}">
              <a16:creationId xmlns:a16="http://schemas.microsoft.com/office/drawing/2014/main" id="{00000000-0008-0000-1100-000077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0" name="TextBox 94">
          <a:extLst>
            <a:ext uri="{FF2B5EF4-FFF2-40B4-BE49-F238E27FC236}">
              <a16:creationId xmlns:a16="http://schemas.microsoft.com/office/drawing/2014/main" id="{00000000-0008-0000-1100-000078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21" name="TextBox 95">
          <a:extLst>
            <a:ext uri="{FF2B5EF4-FFF2-40B4-BE49-F238E27FC236}">
              <a16:creationId xmlns:a16="http://schemas.microsoft.com/office/drawing/2014/main" id="{00000000-0008-0000-1100-000079000000}"/>
            </a:ext>
          </a:extLst>
        </xdr:cNvPr>
        <xdr:cNvSpPr txBox="1"/>
      </xdr:nvSpPr>
      <xdr:spPr>
        <a:xfrm>
          <a:off x="61722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122" name="TextBox 96">
          <a:extLst>
            <a:ext uri="{FF2B5EF4-FFF2-40B4-BE49-F238E27FC236}">
              <a16:creationId xmlns:a16="http://schemas.microsoft.com/office/drawing/2014/main" id="{00000000-0008-0000-1100-00007A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123" name="TextBox 97">
          <a:extLst>
            <a:ext uri="{FF2B5EF4-FFF2-40B4-BE49-F238E27FC236}">
              <a16:creationId xmlns:a16="http://schemas.microsoft.com/office/drawing/2014/main" id="{00000000-0008-0000-1100-00007B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124" name="TextBox 98">
          <a:extLst>
            <a:ext uri="{FF2B5EF4-FFF2-40B4-BE49-F238E27FC236}">
              <a16:creationId xmlns:a16="http://schemas.microsoft.com/office/drawing/2014/main" id="{00000000-0008-0000-1100-00007C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125" name="TextBox 99">
          <a:extLst>
            <a:ext uri="{FF2B5EF4-FFF2-40B4-BE49-F238E27FC236}">
              <a16:creationId xmlns:a16="http://schemas.microsoft.com/office/drawing/2014/main" id="{00000000-0008-0000-1100-00007D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126" name="TextBox 100">
          <a:extLst>
            <a:ext uri="{FF2B5EF4-FFF2-40B4-BE49-F238E27FC236}">
              <a16:creationId xmlns:a16="http://schemas.microsoft.com/office/drawing/2014/main" id="{00000000-0008-0000-1100-00007E000000}"/>
            </a:ext>
          </a:extLst>
        </xdr:cNvPr>
        <xdr:cNvSpPr txBox="1"/>
      </xdr:nvSpPr>
      <xdr:spPr>
        <a:xfrm>
          <a:off x="219456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127" name="TextBox 101">
          <a:extLst>
            <a:ext uri="{FF2B5EF4-FFF2-40B4-BE49-F238E27FC236}">
              <a16:creationId xmlns:a16="http://schemas.microsoft.com/office/drawing/2014/main" id="{00000000-0008-0000-1100-00007F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128" name="TextBox 102">
          <a:extLst>
            <a:ext uri="{FF2B5EF4-FFF2-40B4-BE49-F238E27FC236}">
              <a16:creationId xmlns:a16="http://schemas.microsoft.com/office/drawing/2014/main" id="{00000000-0008-0000-1100-000080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129" name="TextBox 103">
          <a:extLst>
            <a:ext uri="{FF2B5EF4-FFF2-40B4-BE49-F238E27FC236}">
              <a16:creationId xmlns:a16="http://schemas.microsoft.com/office/drawing/2014/main" id="{00000000-0008-0000-1100-000081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130" name="TextBox 104">
          <a:extLst>
            <a:ext uri="{FF2B5EF4-FFF2-40B4-BE49-F238E27FC236}">
              <a16:creationId xmlns:a16="http://schemas.microsoft.com/office/drawing/2014/main" id="{00000000-0008-0000-1100-000082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131" name="TextBox 105">
          <a:extLst>
            <a:ext uri="{FF2B5EF4-FFF2-40B4-BE49-F238E27FC236}">
              <a16:creationId xmlns:a16="http://schemas.microsoft.com/office/drawing/2014/main" id="{00000000-0008-0000-1100-000083000000}"/>
            </a:ext>
          </a:extLst>
        </xdr:cNvPr>
        <xdr:cNvSpPr txBox="1"/>
      </xdr:nvSpPr>
      <xdr:spPr>
        <a:xfrm>
          <a:off x="377190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132" name="TextBox 106">
          <a:extLst>
            <a:ext uri="{FF2B5EF4-FFF2-40B4-BE49-F238E27FC236}">
              <a16:creationId xmlns:a16="http://schemas.microsoft.com/office/drawing/2014/main" id="{00000000-0008-0000-1100-000084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133" name="TextBox 107">
          <a:extLst>
            <a:ext uri="{FF2B5EF4-FFF2-40B4-BE49-F238E27FC236}">
              <a16:creationId xmlns:a16="http://schemas.microsoft.com/office/drawing/2014/main" id="{00000000-0008-0000-1100-000085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134" name="TextBox 108">
          <a:extLst>
            <a:ext uri="{FF2B5EF4-FFF2-40B4-BE49-F238E27FC236}">
              <a16:creationId xmlns:a16="http://schemas.microsoft.com/office/drawing/2014/main" id="{00000000-0008-0000-1100-000086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135" name="TextBox 109">
          <a:extLst>
            <a:ext uri="{FF2B5EF4-FFF2-40B4-BE49-F238E27FC236}">
              <a16:creationId xmlns:a16="http://schemas.microsoft.com/office/drawing/2014/main" id="{00000000-0008-0000-1100-000087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136" name="TextBox 110">
          <a:extLst>
            <a:ext uri="{FF2B5EF4-FFF2-40B4-BE49-F238E27FC236}">
              <a16:creationId xmlns:a16="http://schemas.microsoft.com/office/drawing/2014/main" id="{00000000-0008-0000-1100-000088000000}"/>
            </a:ext>
          </a:extLst>
        </xdr:cNvPr>
        <xdr:cNvSpPr txBox="1"/>
      </xdr:nvSpPr>
      <xdr:spPr>
        <a:xfrm>
          <a:off x="534924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137" name="TextBox 111">
          <a:extLst>
            <a:ext uri="{FF2B5EF4-FFF2-40B4-BE49-F238E27FC236}">
              <a16:creationId xmlns:a16="http://schemas.microsoft.com/office/drawing/2014/main" id="{00000000-0008-0000-1100-000089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138" name="TextBox 112">
          <a:extLst>
            <a:ext uri="{FF2B5EF4-FFF2-40B4-BE49-F238E27FC236}">
              <a16:creationId xmlns:a16="http://schemas.microsoft.com/office/drawing/2014/main" id="{00000000-0008-0000-1100-00008A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139" name="TextBox 113">
          <a:extLst>
            <a:ext uri="{FF2B5EF4-FFF2-40B4-BE49-F238E27FC236}">
              <a16:creationId xmlns:a16="http://schemas.microsoft.com/office/drawing/2014/main" id="{00000000-0008-0000-1100-00008B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140" name="TextBox 114">
          <a:extLst>
            <a:ext uri="{FF2B5EF4-FFF2-40B4-BE49-F238E27FC236}">
              <a16:creationId xmlns:a16="http://schemas.microsoft.com/office/drawing/2014/main" id="{00000000-0008-0000-1100-00008C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141" name="TextBox 115">
          <a:extLst>
            <a:ext uri="{FF2B5EF4-FFF2-40B4-BE49-F238E27FC236}">
              <a16:creationId xmlns:a16="http://schemas.microsoft.com/office/drawing/2014/main" id="{00000000-0008-0000-1100-00008D000000}"/>
            </a:ext>
          </a:extLst>
        </xdr:cNvPr>
        <xdr:cNvSpPr txBox="1"/>
      </xdr:nvSpPr>
      <xdr:spPr>
        <a:xfrm>
          <a:off x="69265800" y="284797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00000000-0008-0000-1100-00008E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00000000-0008-0000-1100-00008F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00000000-0008-0000-1100-000090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12</xdr:col>
      <xdr:colOff>0</xdr:colOff>
      <xdr:row>74</xdr:row>
      <xdr:rowOff>123825</xdr:rowOff>
    </xdr:from>
    <xdr:ext cx="65" cy="172227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00000000-0008-0000-1100-000091000000}"/>
            </a:ext>
          </a:extLst>
        </xdr:cNvPr>
        <xdr:cNvSpPr txBox="1"/>
      </xdr:nvSpPr>
      <xdr:spPr>
        <a:xfrm>
          <a:off x="6858000" y="171926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00000000-0008-0000-1100-00009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0000000-0008-0000-1100-00009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00000000-0008-0000-1100-000094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00000000-0008-0000-1100-000095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00000000-0008-0000-1100-000096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0000000-0008-0000-1100-000097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00000000-0008-0000-1100-000098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38</xdr:col>
      <xdr:colOff>0</xdr:colOff>
      <xdr:row>74</xdr:row>
      <xdr:rowOff>123825</xdr:rowOff>
    </xdr:from>
    <xdr:ext cx="65" cy="172227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00000000-0008-0000-1100-000099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00000000-0008-0000-1100-00009A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0000000-0008-0000-1100-00009B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0000000-0008-0000-1100-00009C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0000000-0008-0000-1100-00009D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0000000-0008-0000-1100-00009E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00000000-0008-0000-1100-00009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00000000-0008-0000-1100-0000A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64</xdr:col>
      <xdr:colOff>0</xdr:colOff>
      <xdr:row>74</xdr:row>
      <xdr:rowOff>123825</xdr:rowOff>
    </xdr:from>
    <xdr:ext cx="65" cy="172227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00000000-0008-0000-1100-0000A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00000000-0008-0000-1100-0000A2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00000000-0008-0000-1100-0000A3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00000000-0008-0000-1100-0000A4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00000000-0008-0000-1100-0000A5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0000000-0008-0000-1100-0000A6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00000000-0008-0000-1100-0000A7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00000000-0008-0000-1100-0000A8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90</xdr:col>
      <xdr:colOff>0</xdr:colOff>
      <xdr:row>74</xdr:row>
      <xdr:rowOff>123825</xdr:rowOff>
    </xdr:from>
    <xdr:ext cx="65" cy="172227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00000000-0008-0000-1100-0000A9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00000000-0008-0000-1100-0000AA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00000000-0008-0000-1100-0000AB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00000000-0008-0000-1100-0000AC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00000000-0008-0000-1100-0000AD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00000000-0008-0000-1100-0000AE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0000000-0008-0000-1100-0000AF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00000000-0008-0000-1100-0000B0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116</xdr:col>
      <xdr:colOff>0</xdr:colOff>
      <xdr:row>74</xdr:row>
      <xdr:rowOff>123825</xdr:rowOff>
    </xdr:from>
    <xdr:ext cx="65" cy="172227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00000000-0008-0000-1100-0000B1000000}"/>
            </a:ext>
          </a:extLst>
        </xdr:cNvPr>
        <xdr:cNvSpPr txBox="1"/>
      </xdr:nvSpPr>
      <xdr:spPr>
        <a:xfrm>
          <a:off x="6843889" y="17155936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8" name="TextBox 91">
          <a:extLst>
            <a:ext uri="{FF2B5EF4-FFF2-40B4-BE49-F238E27FC236}">
              <a16:creationId xmlns:a16="http://schemas.microsoft.com/office/drawing/2014/main" id="{00000000-0008-0000-1100-0000B2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79" name="TextBox 92">
          <a:extLst>
            <a:ext uri="{FF2B5EF4-FFF2-40B4-BE49-F238E27FC236}">
              <a16:creationId xmlns:a16="http://schemas.microsoft.com/office/drawing/2014/main" id="{00000000-0008-0000-1100-0000B3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0" name="TextBox 93">
          <a:extLst>
            <a:ext uri="{FF2B5EF4-FFF2-40B4-BE49-F238E27FC236}">
              <a16:creationId xmlns:a16="http://schemas.microsoft.com/office/drawing/2014/main" id="{00000000-0008-0000-1100-0000B4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1" name="TextBox 94">
          <a:extLst>
            <a:ext uri="{FF2B5EF4-FFF2-40B4-BE49-F238E27FC236}">
              <a16:creationId xmlns:a16="http://schemas.microsoft.com/office/drawing/2014/main" id="{00000000-0008-0000-1100-0000B5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2" name="TextBox 95">
          <a:extLst>
            <a:ext uri="{FF2B5EF4-FFF2-40B4-BE49-F238E27FC236}">
              <a16:creationId xmlns:a16="http://schemas.microsoft.com/office/drawing/2014/main" id="{00000000-0008-0000-1100-0000B6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3" name="TextBox 120">
          <a:extLst>
            <a:ext uri="{FF2B5EF4-FFF2-40B4-BE49-F238E27FC236}">
              <a16:creationId xmlns:a16="http://schemas.microsoft.com/office/drawing/2014/main" id="{00000000-0008-0000-1100-0000B7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4" name="TextBox 121">
          <a:extLst>
            <a:ext uri="{FF2B5EF4-FFF2-40B4-BE49-F238E27FC236}">
              <a16:creationId xmlns:a16="http://schemas.microsoft.com/office/drawing/2014/main" id="{00000000-0008-0000-1100-0000B8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5" name="TextBox 122">
          <a:extLst>
            <a:ext uri="{FF2B5EF4-FFF2-40B4-BE49-F238E27FC236}">
              <a16:creationId xmlns:a16="http://schemas.microsoft.com/office/drawing/2014/main" id="{00000000-0008-0000-1100-0000B9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6" name="TextBox 123">
          <a:extLst>
            <a:ext uri="{FF2B5EF4-FFF2-40B4-BE49-F238E27FC236}">
              <a16:creationId xmlns:a16="http://schemas.microsoft.com/office/drawing/2014/main" id="{00000000-0008-0000-1100-0000BA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7" name="TextBox 124">
          <a:extLst>
            <a:ext uri="{FF2B5EF4-FFF2-40B4-BE49-F238E27FC236}">
              <a16:creationId xmlns:a16="http://schemas.microsoft.com/office/drawing/2014/main" id="{00000000-0008-0000-1100-0000BB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8" name="TextBox 108">
          <a:extLst>
            <a:ext uri="{FF2B5EF4-FFF2-40B4-BE49-F238E27FC236}">
              <a16:creationId xmlns:a16="http://schemas.microsoft.com/office/drawing/2014/main" id="{00000000-0008-0000-1100-0000BC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89" name="TextBox 109">
          <a:extLst>
            <a:ext uri="{FF2B5EF4-FFF2-40B4-BE49-F238E27FC236}">
              <a16:creationId xmlns:a16="http://schemas.microsoft.com/office/drawing/2014/main" id="{00000000-0008-0000-1100-0000BD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0" name="TextBox 110">
          <a:extLst>
            <a:ext uri="{FF2B5EF4-FFF2-40B4-BE49-F238E27FC236}">
              <a16:creationId xmlns:a16="http://schemas.microsoft.com/office/drawing/2014/main" id="{00000000-0008-0000-1100-0000BE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1" name="TextBox 111">
          <a:extLst>
            <a:ext uri="{FF2B5EF4-FFF2-40B4-BE49-F238E27FC236}">
              <a16:creationId xmlns:a16="http://schemas.microsoft.com/office/drawing/2014/main" id="{00000000-0008-0000-1100-0000BF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133</xdr:row>
      <xdr:rowOff>0</xdr:rowOff>
    </xdr:from>
    <xdr:ext cx="65" cy="172227"/>
    <xdr:sp macro="" textlink="">
      <xdr:nvSpPr>
        <xdr:cNvPr id="192" name="TextBox 112">
          <a:extLst>
            <a:ext uri="{FF2B5EF4-FFF2-40B4-BE49-F238E27FC236}">
              <a16:creationId xmlns:a16="http://schemas.microsoft.com/office/drawing/2014/main" id="{00000000-0008-0000-1100-0000C0000000}"/>
            </a:ext>
          </a:extLst>
        </xdr:cNvPr>
        <xdr:cNvSpPr txBox="1"/>
      </xdr:nvSpPr>
      <xdr:spPr>
        <a:xfrm>
          <a:off x="6172200" y="284988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00000000-0008-0000-1100-0000C1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00000000-0008-0000-1100-0000C2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0000000-0008-0000-1100-0000C3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9</xdr:col>
      <xdr:colOff>0</xdr:colOff>
      <xdr:row>149</xdr:row>
      <xdr:rowOff>123825</xdr:rowOff>
    </xdr:from>
    <xdr:ext cx="65" cy="172227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00000000-0008-0000-1100-0000C4000000}"/>
            </a:ext>
          </a:extLst>
        </xdr:cNvPr>
        <xdr:cNvSpPr txBox="1"/>
      </xdr:nvSpPr>
      <xdr:spPr>
        <a:xfrm>
          <a:off x="6172200" y="319373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197" name="TextBox 91">
          <a:extLst>
            <a:ext uri="{FF2B5EF4-FFF2-40B4-BE49-F238E27FC236}">
              <a16:creationId xmlns:a16="http://schemas.microsoft.com/office/drawing/2014/main" id="{00000000-0008-0000-1100-0000C5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198" name="TextBox 92">
          <a:extLst>
            <a:ext uri="{FF2B5EF4-FFF2-40B4-BE49-F238E27FC236}">
              <a16:creationId xmlns:a16="http://schemas.microsoft.com/office/drawing/2014/main" id="{00000000-0008-0000-1100-0000C6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199" name="TextBox 93">
          <a:extLst>
            <a:ext uri="{FF2B5EF4-FFF2-40B4-BE49-F238E27FC236}">
              <a16:creationId xmlns:a16="http://schemas.microsoft.com/office/drawing/2014/main" id="{00000000-0008-0000-1100-0000C7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0" name="TextBox 94">
          <a:extLst>
            <a:ext uri="{FF2B5EF4-FFF2-40B4-BE49-F238E27FC236}">
              <a16:creationId xmlns:a16="http://schemas.microsoft.com/office/drawing/2014/main" id="{00000000-0008-0000-1100-0000C8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1" name="TextBox 95">
          <a:extLst>
            <a:ext uri="{FF2B5EF4-FFF2-40B4-BE49-F238E27FC236}">
              <a16:creationId xmlns:a16="http://schemas.microsoft.com/office/drawing/2014/main" id="{00000000-0008-0000-1100-0000C9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2" name="TextBox 91">
          <a:extLst>
            <a:ext uri="{FF2B5EF4-FFF2-40B4-BE49-F238E27FC236}">
              <a16:creationId xmlns:a16="http://schemas.microsoft.com/office/drawing/2014/main" id="{00000000-0008-0000-1100-0000CA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3" name="TextBox 92">
          <a:extLst>
            <a:ext uri="{FF2B5EF4-FFF2-40B4-BE49-F238E27FC236}">
              <a16:creationId xmlns:a16="http://schemas.microsoft.com/office/drawing/2014/main" id="{00000000-0008-0000-1100-0000CB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4" name="TextBox 93">
          <a:extLst>
            <a:ext uri="{FF2B5EF4-FFF2-40B4-BE49-F238E27FC236}">
              <a16:creationId xmlns:a16="http://schemas.microsoft.com/office/drawing/2014/main" id="{00000000-0008-0000-1100-0000CC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5" name="TextBox 94">
          <a:extLst>
            <a:ext uri="{FF2B5EF4-FFF2-40B4-BE49-F238E27FC236}">
              <a16:creationId xmlns:a16="http://schemas.microsoft.com/office/drawing/2014/main" id="{00000000-0008-0000-1100-0000CD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6" name="TextBox 95">
          <a:extLst>
            <a:ext uri="{FF2B5EF4-FFF2-40B4-BE49-F238E27FC236}">
              <a16:creationId xmlns:a16="http://schemas.microsoft.com/office/drawing/2014/main" id="{00000000-0008-0000-1100-0000CE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7" name="TextBox 120">
          <a:extLst>
            <a:ext uri="{FF2B5EF4-FFF2-40B4-BE49-F238E27FC236}">
              <a16:creationId xmlns:a16="http://schemas.microsoft.com/office/drawing/2014/main" id="{00000000-0008-0000-1100-0000CF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8" name="TextBox 121">
          <a:extLst>
            <a:ext uri="{FF2B5EF4-FFF2-40B4-BE49-F238E27FC236}">
              <a16:creationId xmlns:a16="http://schemas.microsoft.com/office/drawing/2014/main" id="{00000000-0008-0000-1100-0000D0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09" name="TextBox 122">
          <a:extLst>
            <a:ext uri="{FF2B5EF4-FFF2-40B4-BE49-F238E27FC236}">
              <a16:creationId xmlns:a16="http://schemas.microsoft.com/office/drawing/2014/main" id="{00000000-0008-0000-1100-0000D1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10" name="TextBox 123">
          <a:extLst>
            <a:ext uri="{FF2B5EF4-FFF2-40B4-BE49-F238E27FC236}">
              <a16:creationId xmlns:a16="http://schemas.microsoft.com/office/drawing/2014/main" id="{00000000-0008-0000-1100-0000D2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11" name="TextBox 124">
          <a:extLst>
            <a:ext uri="{FF2B5EF4-FFF2-40B4-BE49-F238E27FC236}">
              <a16:creationId xmlns:a16="http://schemas.microsoft.com/office/drawing/2014/main" id="{00000000-0008-0000-1100-0000D3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12" name="TextBox 108">
          <a:extLst>
            <a:ext uri="{FF2B5EF4-FFF2-40B4-BE49-F238E27FC236}">
              <a16:creationId xmlns:a16="http://schemas.microsoft.com/office/drawing/2014/main" id="{00000000-0008-0000-1100-0000D4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13" name="TextBox 109">
          <a:extLst>
            <a:ext uri="{FF2B5EF4-FFF2-40B4-BE49-F238E27FC236}">
              <a16:creationId xmlns:a16="http://schemas.microsoft.com/office/drawing/2014/main" id="{00000000-0008-0000-1100-0000D5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14" name="TextBox 110">
          <a:extLst>
            <a:ext uri="{FF2B5EF4-FFF2-40B4-BE49-F238E27FC236}">
              <a16:creationId xmlns:a16="http://schemas.microsoft.com/office/drawing/2014/main" id="{00000000-0008-0000-1100-0000D6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15" name="TextBox 111">
          <a:extLst>
            <a:ext uri="{FF2B5EF4-FFF2-40B4-BE49-F238E27FC236}">
              <a16:creationId xmlns:a16="http://schemas.microsoft.com/office/drawing/2014/main" id="{00000000-0008-0000-1100-0000D7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133</xdr:row>
      <xdr:rowOff>0</xdr:rowOff>
    </xdr:from>
    <xdr:ext cx="65" cy="172227"/>
    <xdr:sp macro="" textlink="">
      <xdr:nvSpPr>
        <xdr:cNvPr id="216" name="TextBox 112">
          <a:extLst>
            <a:ext uri="{FF2B5EF4-FFF2-40B4-BE49-F238E27FC236}">
              <a16:creationId xmlns:a16="http://schemas.microsoft.com/office/drawing/2014/main" id="{00000000-0008-0000-1100-0000D8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00000000-0008-0000-1100-0000D9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000000-0008-0000-1100-0000DA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00000000-0008-0000-1100-0000DB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00000000-0008-0000-1100-0000DC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1" name="TextBox 91">
          <a:extLst>
            <a:ext uri="{FF2B5EF4-FFF2-40B4-BE49-F238E27FC236}">
              <a16:creationId xmlns:a16="http://schemas.microsoft.com/office/drawing/2014/main" id="{00000000-0008-0000-1100-0000DD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2" name="TextBox 92">
          <a:extLst>
            <a:ext uri="{FF2B5EF4-FFF2-40B4-BE49-F238E27FC236}">
              <a16:creationId xmlns:a16="http://schemas.microsoft.com/office/drawing/2014/main" id="{00000000-0008-0000-1100-0000DE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3" name="TextBox 93">
          <a:extLst>
            <a:ext uri="{FF2B5EF4-FFF2-40B4-BE49-F238E27FC236}">
              <a16:creationId xmlns:a16="http://schemas.microsoft.com/office/drawing/2014/main" id="{00000000-0008-0000-1100-0000DF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4" name="TextBox 94">
          <a:extLst>
            <a:ext uri="{FF2B5EF4-FFF2-40B4-BE49-F238E27FC236}">
              <a16:creationId xmlns:a16="http://schemas.microsoft.com/office/drawing/2014/main" id="{00000000-0008-0000-1100-0000E0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5" name="TextBox 95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6" name="TextBox 91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7" name="TextBox 92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8" name="TextBox 93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29" name="TextBox 94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0" name="TextBox 95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1" name="TextBox 120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2" name="TextBox 121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3" name="TextBox 12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4" name="TextBox 12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5" name="TextBox 12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6" name="TextBox 108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7" name="TextBox 109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8" name="TextBox 110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39" name="TextBox 111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133</xdr:row>
      <xdr:rowOff>0</xdr:rowOff>
    </xdr:from>
    <xdr:ext cx="65" cy="172227"/>
    <xdr:sp macro="" textlink="">
      <xdr:nvSpPr>
        <xdr:cNvPr id="240" name="TextBox 112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149</xdr:row>
      <xdr:rowOff>123825</xdr:rowOff>
    </xdr:from>
    <xdr:ext cx="65" cy="172227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149</xdr:row>
      <xdr:rowOff>123825</xdr:rowOff>
    </xdr:from>
    <xdr:ext cx="65" cy="172227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149</xdr:row>
      <xdr:rowOff>123825</xdr:rowOff>
    </xdr:from>
    <xdr:ext cx="65" cy="172227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149</xdr:row>
      <xdr:rowOff>123825</xdr:rowOff>
    </xdr:from>
    <xdr:ext cx="65" cy="172227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45" name="TextBox 91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46" name="TextBox 92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47" name="TextBox 93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48" name="TextBox 94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49" name="TextBox 95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0" name="TextBox 91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1" name="TextBox 92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2" name="TextBox 93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3" name="TextBox 94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4" name="TextBox 95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5" name="TextBox 120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6" name="TextBox 121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7" name="TextBox 122">
          <a:extLst>
            <a:ext uri="{FF2B5EF4-FFF2-40B4-BE49-F238E27FC236}">
              <a16:creationId xmlns:a16="http://schemas.microsoft.com/office/drawing/2014/main" id="{00000000-0008-0000-1100-000001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8" name="TextBox 123">
          <a:extLst>
            <a:ext uri="{FF2B5EF4-FFF2-40B4-BE49-F238E27FC236}">
              <a16:creationId xmlns:a16="http://schemas.microsoft.com/office/drawing/2014/main" id="{00000000-0008-0000-1100-000002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59" name="TextBox 124">
          <a:extLst>
            <a:ext uri="{FF2B5EF4-FFF2-40B4-BE49-F238E27FC236}">
              <a16:creationId xmlns:a16="http://schemas.microsoft.com/office/drawing/2014/main" id="{00000000-0008-0000-1100-000003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60" name="TextBox 108">
          <a:extLst>
            <a:ext uri="{FF2B5EF4-FFF2-40B4-BE49-F238E27FC236}">
              <a16:creationId xmlns:a16="http://schemas.microsoft.com/office/drawing/2014/main" id="{00000000-0008-0000-1100-000004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61" name="TextBox 109">
          <a:extLst>
            <a:ext uri="{FF2B5EF4-FFF2-40B4-BE49-F238E27FC236}">
              <a16:creationId xmlns:a16="http://schemas.microsoft.com/office/drawing/2014/main" id="{00000000-0008-0000-1100-000005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62" name="TextBox 110">
          <a:extLst>
            <a:ext uri="{FF2B5EF4-FFF2-40B4-BE49-F238E27FC236}">
              <a16:creationId xmlns:a16="http://schemas.microsoft.com/office/drawing/2014/main" id="{00000000-0008-0000-1100-000006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63" name="TextBox 111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133</xdr:row>
      <xdr:rowOff>0</xdr:rowOff>
    </xdr:from>
    <xdr:ext cx="65" cy="172227"/>
    <xdr:sp macro="" textlink="">
      <xdr:nvSpPr>
        <xdr:cNvPr id="264" name="TextBox 112">
          <a:extLst>
            <a:ext uri="{FF2B5EF4-FFF2-40B4-BE49-F238E27FC236}">
              <a16:creationId xmlns:a16="http://schemas.microsoft.com/office/drawing/2014/main" id="{00000000-0008-0000-1100-000008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149</xdr:row>
      <xdr:rowOff>123825</xdr:rowOff>
    </xdr:from>
    <xdr:ext cx="65" cy="172227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149</xdr:row>
      <xdr:rowOff>123825</xdr:rowOff>
    </xdr:from>
    <xdr:ext cx="65" cy="172227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00000000-0008-0000-1100-00000A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149</xdr:row>
      <xdr:rowOff>123825</xdr:rowOff>
    </xdr:from>
    <xdr:ext cx="65" cy="172227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149</xdr:row>
      <xdr:rowOff>123825</xdr:rowOff>
    </xdr:from>
    <xdr:ext cx="65" cy="172227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69" name="TextBox 91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0" name="TextBox 92">
          <a:extLst>
            <a:ext uri="{FF2B5EF4-FFF2-40B4-BE49-F238E27FC236}">
              <a16:creationId xmlns:a16="http://schemas.microsoft.com/office/drawing/2014/main" id="{00000000-0008-0000-1100-00000E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1" name="TextBox 93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2" name="TextBox 94">
          <a:extLst>
            <a:ext uri="{FF2B5EF4-FFF2-40B4-BE49-F238E27FC236}">
              <a16:creationId xmlns:a16="http://schemas.microsoft.com/office/drawing/2014/main" id="{00000000-0008-0000-1100-000010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3" name="TextBox 95">
          <a:extLst>
            <a:ext uri="{FF2B5EF4-FFF2-40B4-BE49-F238E27FC236}">
              <a16:creationId xmlns:a16="http://schemas.microsoft.com/office/drawing/2014/main" id="{00000000-0008-0000-1100-000011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4" name="TextBox 91">
          <a:extLst>
            <a:ext uri="{FF2B5EF4-FFF2-40B4-BE49-F238E27FC236}">
              <a16:creationId xmlns:a16="http://schemas.microsoft.com/office/drawing/2014/main" id="{00000000-0008-0000-1100-000012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5" name="TextBox 92">
          <a:extLst>
            <a:ext uri="{FF2B5EF4-FFF2-40B4-BE49-F238E27FC236}">
              <a16:creationId xmlns:a16="http://schemas.microsoft.com/office/drawing/2014/main" id="{00000000-0008-0000-1100-000013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6" name="TextBox 93">
          <a:extLst>
            <a:ext uri="{FF2B5EF4-FFF2-40B4-BE49-F238E27FC236}">
              <a16:creationId xmlns:a16="http://schemas.microsoft.com/office/drawing/2014/main" id="{00000000-0008-0000-1100-000014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7" name="TextBox 94">
          <a:extLst>
            <a:ext uri="{FF2B5EF4-FFF2-40B4-BE49-F238E27FC236}">
              <a16:creationId xmlns:a16="http://schemas.microsoft.com/office/drawing/2014/main" id="{00000000-0008-0000-1100-000015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8" name="TextBox 95">
          <a:extLst>
            <a:ext uri="{FF2B5EF4-FFF2-40B4-BE49-F238E27FC236}">
              <a16:creationId xmlns:a16="http://schemas.microsoft.com/office/drawing/2014/main" id="{00000000-0008-0000-1100-000016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79" name="TextBox 120">
          <a:extLst>
            <a:ext uri="{FF2B5EF4-FFF2-40B4-BE49-F238E27FC236}">
              <a16:creationId xmlns:a16="http://schemas.microsoft.com/office/drawing/2014/main" id="{00000000-0008-0000-1100-000017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0" name="TextBox 121">
          <a:extLst>
            <a:ext uri="{FF2B5EF4-FFF2-40B4-BE49-F238E27FC236}">
              <a16:creationId xmlns:a16="http://schemas.microsoft.com/office/drawing/2014/main" id="{00000000-0008-0000-1100-000018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1" name="TextBox 122">
          <a:extLst>
            <a:ext uri="{FF2B5EF4-FFF2-40B4-BE49-F238E27FC236}">
              <a16:creationId xmlns:a16="http://schemas.microsoft.com/office/drawing/2014/main" id="{00000000-0008-0000-1100-000019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2" name="TextBox 123">
          <a:extLst>
            <a:ext uri="{FF2B5EF4-FFF2-40B4-BE49-F238E27FC236}">
              <a16:creationId xmlns:a16="http://schemas.microsoft.com/office/drawing/2014/main" id="{00000000-0008-0000-1100-00001A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3" name="TextBox 124">
          <a:extLst>
            <a:ext uri="{FF2B5EF4-FFF2-40B4-BE49-F238E27FC236}">
              <a16:creationId xmlns:a16="http://schemas.microsoft.com/office/drawing/2014/main" id="{00000000-0008-0000-1100-00001B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4" name="TextBox 108">
          <a:extLst>
            <a:ext uri="{FF2B5EF4-FFF2-40B4-BE49-F238E27FC236}">
              <a16:creationId xmlns:a16="http://schemas.microsoft.com/office/drawing/2014/main" id="{00000000-0008-0000-1100-00001C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5" name="TextBox 109">
          <a:extLst>
            <a:ext uri="{FF2B5EF4-FFF2-40B4-BE49-F238E27FC236}">
              <a16:creationId xmlns:a16="http://schemas.microsoft.com/office/drawing/2014/main" id="{00000000-0008-0000-1100-00001D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6" name="TextBox 110">
          <a:extLst>
            <a:ext uri="{FF2B5EF4-FFF2-40B4-BE49-F238E27FC236}">
              <a16:creationId xmlns:a16="http://schemas.microsoft.com/office/drawing/2014/main" id="{00000000-0008-0000-1100-00001E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7" name="TextBox 111">
          <a:extLst>
            <a:ext uri="{FF2B5EF4-FFF2-40B4-BE49-F238E27FC236}">
              <a16:creationId xmlns:a16="http://schemas.microsoft.com/office/drawing/2014/main" id="{00000000-0008-0000-1100-00001F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133</xdr:row>
      <xdr:rowOff>0</xdr:rowOff>
    </xdr:from>
    <xdr:ext cx="65" cy="172227"/>
    <xdr:sp macro="" textlink="">
      <xdr:nvSpPr>
        <xdr:cNvPr id="288" name="TextBox 112">
          <a:extLst>
            <a:ext uri="{FF2B5EF4-FFF2-40B4-BE49-F238E27FC236}">
              <a16:creationId xmlns:a16="http://schemas.microsoft.com/office/drawing/2014/main" id="{00000000-0008-0000-1100-000020010000}"/>
            </a:ext>
          </a:extLst>
        </xdr:cNvPr>
        <xdr:cNvSpPr txBox="1"/>
      </xdr:nvSpPr>
      <xdr:spPr>
        <a:xfrm>
          <a:off x="6172200" y="2857500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149</xdr:row>
      <xdr:rowOff>123825</xdr:rowOff>
    </xdr:from>
    <xdr:ext cx="65" cy="172227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00000000-0008-0000-1100-000021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149</xdr:row>
      <xdr:rowOff>123825</xdr:rowOff>
    </xdr:from>
    <xdr:ext cx="65" cy="172227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00000000-0008-0000-1100-000022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149</xdr:row>
      <xdr:rowOff>123825</xdr:rowOff>
    </xdr:from>
    <xdr:ext cx="65" cy="172227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00000000-0008-0000-1100-000023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149</xdr:row>
      <xdr:rowOff>123825</xdr:rowOff>
    </xdr:from>
    <xdr:ext cx="65" cy="172227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00000000-0008-0000-1100-000024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0000000-0008-0000-1100-00003D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0000000-0008-0000-1100-00003E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00000000-0008-0000-1100-00003F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32</xdr:col>
      <xdr:colOff>0</xdr:colOff>
      <xdr:row>149</xdr:row>
      <xdr:rowOff>123825</xdr:rowOff>
    </xdr:from>
    <xdr:ext cx="65" cy="172227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00000000-0008-0000-1100-000040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149</xdr:row>
      <xdr:rowOff>123825</xdr:rowOff>
    </xdr:from>
    <xdr:ext cx="65" cy="172227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00000000-0008-0000-1100-000041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149</xdr:row>
      <xdr:rowOff>123825</xdr:rowOff>
    </xdr:from>
    <xdr:ext cx="65" cy="172227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00000000-0008-0000-1100-000042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149</xdr:row>
      <xdr:rowOff>123825</xdr:rowOff>
    </xdr:from>
    <xdr:ext cx="65" cy="172227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0000000-0008-0000-1100-000043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55</xdr:col>
      <xdr:colOff>0</xdr:colOff>
      <xdr:row>149</xdr:row>
      <xdr:rowOff>123825</xdr:rowOff>
    </xdr:from>
    <xdr:ext cx="65" cy="172227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00000000-0008-0000-1100-000044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149</xdr:row>
      <xdr:rowOff>123825</xdr:rowOff>
    </xdr:from>
    <xdr:ext cx="65" cy="172227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00000000-0008-0000-1100-000045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149</xdr:row>
      <xdr:rowOff>123825</xdr:rowOff>
    </xdr:from>
    <xdr:ext cx="65" cy="172227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00000000-0008-0000-1100-000046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149</xdr:row>
      <xdr:rowOff>123825</xdr:rowOff>
    </xdr:from>
    <xdr:ext cx="65" cy="172227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00000000-0008-0000-1100-000047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78</xdr:col>
      <xdr:colOff>0</xdr:colOff>
      <xdr:row>149</xdr:row>
      <xdr:rowOff>123825</xdr:rowOff>
    </xdr:from>
    <xdr:ext cx="65" cy="172227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0000000-0008-0000-1100-000048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149</xdr:row>
      <xdr:rowOff>123825</xdr:rowOff>
    </xdr:from>
    <xdr:ext cx="65" cy="172227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00000000-0008-0000-1100-000049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149</xdr:row>
      <xdr:rowOff>123825</xdr:rowOff>
    </xdr:from>
    <xdr:ext cx="65" cy="172227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00000000-0008-0000-1100-00004A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149</xdr:row>
      <xdr:rowOff>123825</xdr:rowOff>
    </xdr:from>
    <xdr:ext cx="65" cy="172227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00000000-0008-0000-1100-00004B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  <xdr:oneCellAnchor>
    <xdr:from>
      <xdr:col>101</xdr:col>
      <xdr:colOff>0</xdr:colOff>
      <xdr:row>149</xdr:row>
      <xdr:rowOff>123825</xdr:rowOff>
    </xdr:from>
    <xdr:ext cx="65" cy="172227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00000000-0008-0000-1100-00004C010000}"/>
            </a:ext>
          </a:extLst>
        </xdr:cNvPr>
        <xdr:cNvSpPr txBox="1"/>
      </xdr:nvSpPr>
      <xdr:spPr>
        <a:xfrm>
          <a:off x="6172200" y="3201352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GB" sz="1100" i="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16</xdr:row>
      <xdr:rowOff>107950</xdr:rowOff>
    </xdr:from>
    <xdr:to>
      <xdr:col>16</xdr:col>
      <xdr:colOff>52050</xdr:colOff>
      <xdr:row>26</xdr:row>
      <xdr:rowOff>129950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553840</xdr:colOff>
      <xdr:row>16</xdr:row>
      <xdr:rowOff>101599</xdr:rowOff>
    </xdr:from>
    <xdr:to>
      <xdr:col>20</xdr:col>
      <xdr:colOff>510640</xdr:colOff>
      <xdr:row>26</xdr:row>
      <xdr:rowOff>123599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589361</xdr:colOff>
      <xdr:row>30</xdr:row>
      <xdr:rowOff>2015</xdr:rowOff>
    </xdr:from>
    <xdr:to>
      <xdr:col>20</xdr:col>
      <xdr:colOff>546161</xdr:colOff>
      <xdr:row>40</xdr:row>
      <xdr:rowOff>24015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59093</xdr:colOff>
      <xdr:row>29</xdr:row>
      <xdr:rowOff>165101</xdr:rowOff>
    </xdr:from>
    <xdr:to>
      <xdr:col>16</xdr:col>
      <xdr:colOff>15893</xdr:colOff>
      <xdr:row>40</xdr:row>
      <xdr:rowOff>9301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535517</xdr:colOff>
      <xdr:row>76</xdr:row>
      <xdr:rowOff>108528</xdr:rowOff>
    </xdr:from>
    <xdr:to>
      <xdr:col>18</xdr:col>
      <xdr:colOff>80232</xdr:colOff>
      <xdr:row>97</xdr:row>
      <xdr:rowOff>142875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670846</xdr:colOff>
      <xdr:row>77</xdr:row>
      <xdr:rowOff>45381</xdr:rowOff>
    </xdr:from>
    <xdr:to>
      <xdr:col>25</xdr:col>
      <xdr:colOff>668514</xdr:colOff>
      <xdr:row>98</xdr:row>
      <xdr:rowOff>70204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656167</xdr:colOff>
      <xdr:row>76</xdr:row>
      <xdr:rowOff>105833</xdr:rowOff>
    </xdr:from>
    <xdr:to>
      <xdr:col>33</xdr:col>
      <xdr:colOff>651718</xdr:colOff>
      <xdr:row>97</xdr:row>
      <xdr:rowOff>130656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63500</xdr:colOff>
      <xdr:row>76</xdr:row>
      <xdr:rowOff>148167</xdr:rowOff>
    </xdr:from>
    <xdr:to>
      <xdr:col>42</xdr:col>
      <xdr:colOff>64343</xdr:colOff>
      <xdr:row>97</xdr:row>
      <xdr:rowOff>172990</xdr:rowOff>
    </xdr:to>
    <xdr:graphicFrame macro="">
      <xdr:nvGraphicFramePr>
        <xdr:cNvPr id="9" name="Chart 7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42</xdr:col>
      <xdr:colOff>666750</xdr:colOff>
      <xdr:row>76</xdr:row>
      <xdr:rowOff>127000</xdr:rowOff>
    </xdr:from>
    <xdr:to>
      <xdr:col>49</xdr:col>
      <xdr:colOff>667594</xdr:colOff>
      <xdr:row>97</xdr:row>
      <xdr:rowOff>151823</xdr:rowOff>
    </xdr:to>
    <xdr:graphicFrame macro="">
      <xdr:nvGraphicFramePr>
        <xdr:cNvPr id="10" name="Chart 7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50</xdr:col>
      <xdr:colOff>656167</xdr:colOff>
      <xdr:row>76</xdr:row>
      <xdr:rowOff>105833</xdr:rowOff>
    </xdr:from>
    <xdr:to>
      <xdr:col>57</xdr:col>
      <xdr:colOff>657009</xdr:colOff>
      <xdr:row>97</xdr:row>
      <xdr:rowOff>130656</xdr:rowOff>
    </xdr:to>
    <xdr:graphicFrame macro="">
      <xdr:nvGraphicFramePr>
        <xdr:cNvPr id="11" name="Chart 7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Q105"/>
  <sheetViews>
    <sheetView topLeftCell="F14" zoomScale="110" zoomScaleNormal="110" workbookViewId="0">
      <selection activeCell="H47" sqref="H47"/>
    </sheetView>
  </sheetViews>
  <sheetFormatPr defaultColWidth="9" defaultRowHeight="14" x14ac:dyDescent="0.3"/>
  <cols>
    <col min="5" max="5" width="13.08203125" customWidth="1"/>
    <col min="10" max="10" width="17.58203125" customWidth="1"/>
    <col min="11" max="11" width="10.58203125" customWidth="1"/>
    <col min="12" max="12" width="14.08203125" customWidth="1"/>
    <col min="13" max="13" width="20.9140625" customWidth="1"/>
    <col min="14" max="14" width="25.08203125" customWidth="1"/>
    <col min="16" max="16" width="10" customWidth="1"/>
  </cols>
  <sheetData>
    <row r="3" spans="2:13" x14ac:dyDescent="0.3">
      <c r="B3" s="677" t="s">
        <v>372</v>
      </c>
      <c r="C3" s="677"/>
      <c r="D3" s="677" t="s">
        <v>356</v>
      </c>
      <c r="E3" s="366"/>
      <c r="F3" s="366"/>
      <c r="G3" s="366"/>
      <c r="H3" s="366"/>
      <c r="I3" s="366"/>
      <c r="J3" s="366"/>
      <c r="L3" s="366"/>
      <c r="M3" s="366"/>
    </row>
    <row r="4" spans="2:13" x14ac:dyDescent="0.3">
      <c r="B4" s="678" t="s">
        <v>373</v>
      </c>
      <c r="C4" s="678"/>
      <c r="D4" s="678">
        <v>1</v>
      </c>
      <c r="E4" s="366"/>
      <c r="F4" s="366"/>
      <c r="G4" s="366"/>
      <c r="H4" s="366"/>
      <c r="I4" s="366"/>
      <c r="J4" s="366"/>
      <c r="L4" s="366"/>
      <c r="M4" s="366"/>
    </row>
    <row r="5" spans="2:13" ht="14.5" x14ac:dyDescent="0.35">
      <c r="B5" s="377" t="s">
        <v>355</v>
      </c>
      <c r="C5" s="377"/>
      <c r="D5" s="366"/>
      <c r="E5" s="366"/>
      <c r="F5" s="366"/>
      <c r="G5" s="366"/>
      <c r="H5" s="366"/>
      <c r="I5" s="778"/>
      <c r="J5" s="366"/>
      <c r="L5" s="366"/>
      <c r="M5" s="366"/>
    </row>
    <row r="6" spans="2:13" x14ac:dyDescent="0.3">
      <c r="B6" s="366"/>
      <c r="C6" s="366"/>
      <c r="D6" s="366"/>
      <c r="E6" s="366"/>
      <c r="F6" s="366"/>
      <c r="G6" s="366"/>
      <c r="H6" s="366"/>
      <c r="I6" s="366"/>
      <c r="J6" s="366"/>
      <c r="L6" s="366"/>
      <c r="M6" s="366"/>
    </row>
    <row r="7" spans="2:13" x14ac:dyDescent="0.3">
      <c r="B7" s="368" t="s">
        <v>351</v>
      </c>
      <c r="C7" s="366"/>
      <c r="D7" s="366"/>
      <c r="E7" s="366"/>
      <c r="F7" s="366"/>
      <c r="G7" s="366"/>
      <c r="H7" s="366"/>
      <c r="I7" s="366"/>
      <c r="J7" s="366"/>
      <c r="K7" s="367"/>
      <c r="L7" s="366"/>
      <c r="M7" s="366"/>
    </row>
    <row r="8" spans="2:13" x14ac:dyDescent="0.3">
      <c r="B8" s="368"/>
      <c r="C8" s="366"/>
      <c r="D8" s="366"/>
      <c r="E8" s="366"/>
      <c r="F8" s="366"/>
      <c r="G8" s="366"/>
      <c r="H8" s="366"/>
      <c r="I8" s="366"/>
      <c r="J8" s="366"/>
      <c r="K8" s="367"/>
      <c r="L8" s="366"/>
      <c r="M8" s="366"/>
    </row>
    <row r="9" spans="2:13" x14ac:dyDescent="0.3">
      <c r="B9" s="367" t="s">
        <v>378</v>
      </c>
      <c r="C9" s="366"/>
      <c r="D9" s="366"/>
      <c r="E9" s="366"/>
      <c r="F9" s="366"/>
      <c r="G9" s="366"/>
      <c r="H9" s="366"/>
      <c r="I9" s="366"/>
      <c r="J9" s="366"/>
      <c r="K9" s="367"/>
      <c r="L9" s="366"/>
      <c r="M9" s="366"/>
    </row>
    <row r="10" spans="2:13" x14ac:dyDescent="0.3">
      <c r="B10" s="367" t="s">
        <v>350</v>
      </c>
      <c r="C10" s="366"/>
      <c r="D10" s="366"/>
      <c r="E10" s="366"/>
      <c r="F10" s="366"/>
      <c r="G10" s="366"/>
      <c r="H10" s="366"/>
      <c r="I10" s="366"/>
      <c r="J10" s="366"/>
      <c r="K10" s="367"/>
      <c r="L10" s="366"/>
      <c r="M10" s="366"/>
    </row>
    <row r="11" spans="2:13" x14ac:dyDescent="0.3">
      <c r="B11" s="367" t="s">
        <v>379</v>
      </c>
      <c r="C11" s="366"/>
      <c r="D11" s="366"/>
      <c r="E11" s="366"/>
      <c r="F11" s="366"/>
      <c r="G11" s="366"/>
      <c r="H11" s="366"/>
      <c r="I11" s="366"/>
      <c r="J11" s="366"/>
      <c r="K11" s="367"/>
      <c r="L11" s="366"/>
      <c r="M11" s="366"/>
    </row>
    <row r="12" spans="2:13" x14ac:dyDescent="0.3">
      <c r="B12" s="366"/>
      <c r="C12" s="366"/>
      <c r="D12" s="366"/>
      <c r="E12" s="366"/>
      <c r="F12" s="366"/>
      <c r="G12" s="366"/>
      <c r="H12" s="366"/>
      <c r="I12" s="366"/>
      <c r="J12" s="366"/>
      <c r="K12" s="367"/>
      <c r="L12" s="366"/>
      <c r="M12" s="366"/>
    </row>
    <row r="13" spans="2:13" x14ac:dyDescent="0.3">
      <c r="B13" s="376" t="s">
        <v>354</v>
      </c>
      <c r="C13" s="375"/>
      <c r="D13" s="375"/>
      <c r="E13" s="366"/>
      <c r="F13" s="366"/>
      <c r="G13" s="366"/>
      <c r="H13" s="366"/>
      <c r="I13" s="366"/>
      <c r="J13" s="366"/>
      <c r="K13" s="366"/>
      <c r="L13" s="366"/>
      <c r="M13" s="366"/>
    </row>
    <row r="14" spans="2:13" x14ac:dyDescent="0.3"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</row>
    <row r="15" spans="2:13" x14ac:dyDescent="0.3">
      <c r="B15" s="367" t="s">
        <v>353</v>
      </c>
      <c r="C15" s="366"/>
      <c r="D15" s="366"/>
      <c r="E15" s="366"/>
      <c r="F15" s="366"/>
      <c r="G15" s="366"/>
      <c r="H15" s="366"/>
      <c r="I15" s="366"/>
      <c r="K15" s="366"/>
      <c r="L15" s="366"/>
      <c r="M15" s="366"/>
    </row>
    <row r="16" spans="2:13" x14ac:dyDescent="0.3">
      <c r="B16" s="367"/>
      <c r="C16" s="366"/>
      <c r="D16" s="366"/>
      <c r="E16" s="366"/>
      <c r="F16" s="366"/>
      <c r="G16" s="366"/>
      <c r="H16" s="366"/>
      <c r="I16" s="366"/>
      <c r="J16" s="366"/>
      <c r="K16" s="366"/>
      <c r="L16" s="366"/>
      <c r="M16" s="366"/>
    </row>
    <row r="17" spans="2:16" x14ac:dyDescent="0.3">
      <c r="B17" s="367" t="s">
        <v>352</v>
      </c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</row>
    <row r="18" spans="2:16" x14ac:dyDescent="0.3">
      <c r="B18" s="367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19" spans="2:16" x14ac:dyDescent="0.3">
      <c r="B19" s="367"/>
      <c r="C19" s="370" t="s">
        <v>587</v>
      </c>
      <c r="D19" s="366"/>
      <c r="E19" s="366"/>
      <c r="F19" s="370" t="s">
        <v>360</v>
      </c>
      <c r="G19" s="366"/>
      <c r="H19" s="16" t="s">
        <v>588</v>
      </c>
      <c r="I19" s="366"/>
      <c r="J19" s="366"/>
      <c r="K19" s="366"/>
      <c r="L19" s="366"/>
      <c r="M19" s="366"/>
      <c r="N19" s="372" t="s">
        <v>590</v>
      </c>
      <c r="O19" s="369" t="s">
        <v>374</v>
      </c>
    </row>
    <row r="20" spans="2:16" x14ac:dyDescent="0.3">
      <c r="B20" s="367"/>
      <c r="C20" s="374"/>
      <c r="D20" s="366"/>
      <c r="E20" s="366"/>
      <c r="F20" s="565"/>
      <c r="G20" s="366"/>
      <c r="H20" s="16" t="s">
        <v>589</v>
      </c>
      <c r="I20" s="366"/>
      <c r="J20" s="366"/>
      <c r="K20" s="366"/>
      <c r="L20" s="366"/>
      <c r="M20" s="366"/>
      <c r="N20" s="372" t="s">
        <v>591</v>
      </c>
      <c r="O20" s="369" t="s">
        <v>592</v>
      </c>
    </row>
    <row r="21" spans="2:16" x14ac:dyDescent="0.3">
      <c r="B21" s="367"/>
      <c r="C21" s="374"/>
      <c r="D21" s="366"/>
      <c r="E21" s="366"/>
      <c r="F21" s="366"/>
      <c r="G21" s="366"/>
      <c r="H21" s="366"/>
      <c r="I21" s="366"/>
      <c r="J21" s="366"/>
      <c r="K21" s="366"/>
      <c r="L21" s="366"/>
      <c r="M21" s="366"/>
    </row>
    <row r="22" spans="2:16" x14ac:dyDescent="0.3">
      <c r="B22" s="366"/>
      <c r="C22" s="370" t="s">
        <v>209</v>
      </c>
      <c r="D22" s="366"/>
      <c r="E22" s="366"/>
      <c r="F22" s="370" t="s">
        <v>360</v>
      </c>
      <c r="G22" s="366"/>
      <c r="H22" s="370" t="s">
        <v>363</v>
      </c>
      <c r="I22" s="366"/>
      <c r="N22" s="870">
        <f>AVERAGE(30,45)</f>
        <v>37.5</v>
      </c>
      <c r="O22" s="371" t="s">
        <v>375</v>
      </c>
      <c r="P22" s="366"/>
    </row>
    <row r="23" spans="2:16" x14ac:dyDescent="0.3">
      <c r="B23" s="366"/>
      <c r="C23" s="370"/>
      <c r="D23" s="366"/>
      <c r="E23" s="366"/>
      <c r="G23" s="366"/>
      <c r="H23" s="370" t="s">
        <v>500</v>
      </c>
      <c r="I23" s="366"/>
      <c r="N23" s="870">
        <v>4.75</v>
      </c>
      <c r="O23" s="371" t="s">
        <v>612</v>
      </c>
      <c r="P23" s="366"/>
    </row>
    <row r="24" spans="2:16" x14ac:dyDescent="0.3">
      <c r="B24" s="366"/>
      <c r="C24" s="370"/>
      <c r="D24" s="366"/>
      <c r="E24" s="366"/>
      <c r="G24" s="366"/>
      <c r="H24" s="370" t="s">
        <v>611</v>
      </c>
      <c r="I24" s="366"/>
      <c r="N24" s="871">
        <v>35</v>
      </c>
      <c r="O24" s="371" t="s">
        <v>376</v>
      </c>
      <c r="P24" s="366"/>
    </row>
    <row r="25" spans="2:16" x14ac:dyDescent="0.3">
      <c r="B25" s="367"/>
      <c r="C25" s="374"/>
      <c r="D25" s="366"/>
      <c r="E25" s="366"/>
      <c r="G25" s="366"/>
      <c r="H25" s="370" t="s">
        <v>501</v>
      </c>
      <c r="I25" s="366"/>
      <c r="N25" s="871">
        <v>84</v>
      </c>
      <c r="O25" s="371" t="s">
        <v>377</v>
      </c>
      <c r="P25" s="366"/>
    </row>
    <row r="26" spans="2:16" x14ac:dyDescent="0.3">
      <c r="B26" s="367"/>
      <c r="C26" s="374"/>
      <c r="D26" s="366"/>
      <c r="E26" s="366"/>
      <c r="G26" s="366"/>
      <c r="H26" s="370" t="s">
        <v>502</v>
      </c>
      <c r="I26" s="366"/>
      <c r="N26" s="372">
        <v>175</v>
      </c>
      <c r="O26" s="371" t="s">
        <v>377</v>
      </c>
      <c r="P26" s="366"/>
    </row>
    <row r="27" spans="2:16" x14ac:dyDescent="0.3">
      <c r="B27" s="367"/>
      <c r="C27" s="374"/>
      <c r="D27" s="366"/>
      <c r="E27" s="366"/>
      <c r="G27" s="366"/>
      <c r="H27" s="565"/>
      <c r="I27" s="366"/>
      <c r="N27" s="580"/>
      <c r="O27" s="580"/>
      <c r="P27" s="366"/>
    </row>
    <row r="28" spans="2:16" x14ac:dyDescent="0.3">
      <c r="B28" s="367"/>
      <c r="C28" s="374"/>
      <c r="D28" s="366"/>
      <c r="E28" s="366"/>
      <c r="F28" s="370" t="s">
        <v>362</v>
      </c>
      <c r="G28" s="366"/>
      <c r="H28" s="370" t="s">
        <v>623</v>
      </c>
      <c r="I28" s="366"/>
      <c r="N28" s="369">
        <f>17.5*(1/0.4)</f>
        <v>43.75</v>
      </c>
      <c r="O28" s="369" t="s">
        <v>592</v>
      </c>
      <c r="P28" s="366"/>
    </row>
    <row r="29" spans="2:16" x14ac:dyDescent="0.3">
      <c r="B29" s="367"/>
      <c r="C29" s="374"/>
      <c r="D29" s="366"/>
      <c r="E29" s="366"/>
      <c r="F29" s="565"/>
      <c r="G29" s="366"/>
      <c r="H29" s="370" t="s">
        <v>624</v>
      </c>
      <c r="I29" s="366"/>
      <c r="N29" s="871">
        <v>180</v>
      </c>
      <c r="O29" s="369" t="s">
        <v>482</v>
      </c>
      <c r="P29" s="366"/>
    </row>
    <row r="30" spans="2:16" x14ac:dyDescent="0.3">
      <c r="B30" s="367"/>
      <c r="C30" s="374"/>
      <c r="D30" s="366"/>
      <c r="E30" s="366"/>
      <c r="F30" s="565"/>
      <c r="G30" s="366"/>
      <c r="H30" s="873" t="s">
        <v>625</v>
      </c>
      <c r="I30" s="366"/>
      <c r="N30" s="871">
        <v>120</v>
      </c>
      <c r="O30" s="369" t="s">
        <v>377</v>
      </c>
      <c r="P30" s="465"/>
    </row>
    <row r="31" spans="2:16" x14ac:dyDescent="0.3">
      <c r="B31" s="367"/>
      <c r="C31" s="374"/>
      <c r="D31" s="366"/>
      <c r="E31" s="366"/>
      <c r="F31" s="565"/>
      <c r="G31" s="366"/>
      <c r="H31" s="873" t="s">
        <v>622</v>
      </c>
      <c r="I31" s="366"/>
      <c r="N31" s="1006">
        <v>1190</v>
      </c>
      <c r="O31" s="369" t="s">
        <v>377</v>
      </c>
      <c r="P31" s="465"/>
    </row>
    <row r="32" spans="2:16" x14ac:dyDescent="0.3">
      <c r="B32" s="367"/>
      <c r="C32" s="374"/>
      <c r="D32" s="366"/>
      <c r="E32" s="366"/>
      <c r="F32" s="565"/>
      <c r="G32" s="366"/>
      <c r="H32" s="873" t="s">
        <v>626</v>
      </c>
      <c r="I32" s="366"/>
      <c r="N32" s="871">
        <v>350</v>
      </c>
      <c r="O32" s="369" t="s">
        <v>377</v>
      </c>
      <c r="P32" s="465"/>
    </row>
    <row r="33" spans="2:16" x14ac:dyDescent="0.3">
      <c r="B33" s="367"/>
      <c r="C33" s="374"/>
      <c r="D33" s="366"/>
      <c r="E33" s="366"/>
      <c r="F33" s="565"/>
      <c r="G33" s="366"/>
      <c r="H33" s="873" t="s">
        <v>490</v>
      </c>
      <c r="I33" s="366"/>
      <c r="N33" s="871">
        <v>50</v>
      </c>
      <c r="O33" s="369" t="s">
        <v>377</v>
      </c>
      <c r="P33" s="465"/>
    </row>
    <row r="34" spans="2:16" x14ac:dyDescent="0.3">
      <c r="B34" s="367"/>
      <c r="C34" s="374"/>
      <c r="D34" s="366"/>
      <c r="E34" s="366"/>
      <c r="F34" s="565"/>
      <c r="G34" s="366"/>
      <c r="P34" s="465"/>
    </row>
    <row r="35" spans="2:16" x14ac:dyDescent="0.3">
      <c r="B35" s="367"/>
      <c r="C35" s="374"/>
      <c r="D35" s="366"/>
      <c r="E35" s="366"/>
      <c r="F35" s="565"/>
      <c r="G35" s="366"/>
      <c r="H35" s="915"/>
      <c r="I35" s="366"/>
      <c r="J35" s="366"/>
      <c r="K35" s="366"/>
      <c r="L35" s="366"/>
      <c r="M35" s="366"/>
      <c r="N35" s="916"/>
      <c r="O35" s="580"/>
      <c r="P35" s="465"/>
    </row>
    <row r="36" spans="2:16" x14ac:dyDescent="0.3">
      <c r="B36" s="367"/>
      <c r="C36" s="373" t="s">
        <v>484</v>
      </c>
      <c r="D36" s="366"/>
      <c r="E36" s="366"/>
      <c r="F36" s="303" t="s">
        <v>485</v>
      </c>
      <c r="G36" s="366"/>
      <c r="H36" s="370" t="s">
        <v>486</v>
      </c>
      <c r="I36" s="366"/>
      <c r="J36" s="366"/>
      <c r="K36" s="366"/>
      <c r="L36" s="366"/>
      <c r="M36" s="366"/>
      <c r="N36" s="1022">
        <v>14000</v>
      </c>
      <c r="O36" s="369" t="s">
        <v>487</v>
      </c>
      <c r="P36" s="465"/>
    </row>
    <row r="37" spans="2:16" x14ac:dyDescent="0.3">
      <c r="B37" s="367"/>
      <c r="C37" s="374"/>
      <c r="D37" s="366"/>
      <c r="E37" s="366"/>
      <c r="G37" s="366"/>
      <c r="H37" s="565"/>
      <c r="I37" s="366"/>
      <c r="N37" s="580"/>
      <c r="O37" s="580"/>
      <c r="P37" s="366"/>
    </row>
    <row r="38" spans="2:16" x14ac:dyDescent="0.3">
      <c r="B38" s="367"/>
      <c r="C38" s="370" t="s">
        <v>432</v>
      </c>
      <c r="D38" s="366"/>
      <c r="E38" s="366"/>
      <c r="F38" s="303" t="s">
        <v>360</v>
      </c>
      <c r="G38" s="366"/>
      <c r="H38" s="370" t="s">
        <v>627</v>
      </c>
      <c r="I38" s="366"/>
      <c r="N38" s="372" t="s">
        <v>628</v>
      </c>
      <c r="O38" s="371" t="s">
        <v>633</v>
      </c>
      <c r="P38" s="366"/>
    </row>
    <row r="39" spans="2:16" x14ac:dyDescent="0.3">
      <c r="B39" s="367"/>
      <c r="C39" s="370"/>
      <c r="D39" s="366"/>
      <c r="E39" s="366"/>
      <c r="F39" s="304"/>
      <c r="G39" s="366"/>
      <c r="H39" s="565"/>
      <c r="I39" s="366"/>
      <c r="N39" s="580"/>
      <c r="O39" s="371"/>
      <c r="P39" s="366"/>
    </row>
    <row r="40" spans="2:16" x14ac:dyDescent="0.3">
      <c r="B40" s="367"/>
      <c r="C40" s="370" t="s">
        <v>369</v>
      </c>
      <c r="D40" s="366"/>
      <c r="E40" s="366"/>
      <c r="F40" s="303" t="s">
        <v>360</v>
      </c>
      <c r="G40" s="366"/>
      <c r="H40" s="370" t="s">
        <v>629</v>
      </c>
      <c r="I40" s="366"/>
      <c r="N40" s="372" t="s">
        <v>639</v>
      </c>
      <c r="O40" s="369" t="s">
        <v>376</v>
      </c>
      <c r="P40" s="366"/>
    </row>
    <row r="41" spans="2:16" x14ac:dyDescent="0.3">
      <c r="B41" s="367"/>
      <c r="C41" s="370"/>
      <c r="D41" s="366"/>
      <c r="E41" s="366"/>
      <c r="F41" s="304"/>
      <c r="G41" s="366"/>
      <c r="H41" s="565"/>
      <c r="I41" s="366"/>
      <c r="N41" s="580"/>
      <c r="O41" s="371"/>
      <c r="P41" s="366"/>
    </row>
    <row r="42" spans="2:16" x14ac:dyDescent="0.3">
      <c r="B42" s="367"/>
      <c r="C42" s="64"/>
      <c r="D42" s="366"/>
      <c r="E42" s="366"/>
      <c r="F42" s="370" t="s">
        <v>362</v>
      </c>
      <c r="G42" s="366"/>
      <c r="H42" s="873" t="s">
        <v>515</v>
      </c>
      <c r="I42" s="366"/>
      <c r="N42" s="369" t="s">
        <v>514</v>
      </c>
      <c r="O42" s="369" t="s">
        <v>376</v>
      </c>
      <c r="P42" s="366"/>
    </row>
    <row r="43" spans="2:16" x14ac:dyDescent="0.3">
      <c r="B43" s="367"/>
      <c r="C43" s="370"/>
      <c r="D43" s="366"/>
      <c r="E43" s="366"/>
      <c r="F43" s="565"/>
      <c r="G43" s="366"/>
      <c r="H43" s="565"/>
      <c r="I43" s="366"/>
      <c r="N43" s="580"/>
      <c r="O43" s="580"/>
      <c r="P43" s="366"/>
    </row>
    <row r="44" spans="2:16" x14ac:dyDescent="0.3">
      <c r="B44" s="367"/>
      <c r="C44" s="370" t="s">
        <v>367</v>
      </c>
      <c r="D44" s="366"/>
      <c r="E44" s="366"/>
      <c r="F44" s="370" t="s">
        <v>362</v>
      </c>
      <c r="G44" s="366"/>
      <c r="H44" s="370" t="s">
        <v>630</v>
      </c>
      <c r="I44" s="366"/>
      <c r="N44" s="1018">
        <f>350/1000</f>
        <v>0.35</v>
      </c>
      <c r="O44" s="369" t="s">
        <v>631</v>
      </c>
      <c r="P44" s="366"/>
    </row>
    <row r="45" spans="2:16" x14ac:dyDescent="0.3">
      <c r="B45" s="367"/>
      <c r="C45" s="370"/>
      <c r="D45" s="366"/>
      <c r="E45" s="366"/>
      <c r="F45" s="565"/>
      <c r="G45" s="366"/>
      <c r="H45" s="565"/>
      <c r="I45" s="366"/>
      <c r="N45" s="580"/>
      <c r="O45" s="580"/>
      <c r="P45" s="366"/>
    </row>
    <row r="46" spans="2:16" x14ac:dyDescent="0.3">
      <c r="B46" s="367"/>
      <c r="C46" s="370" t="s">
        <v>596</v>
      </c>
      <c r="D46" s="366"/>
      <c r="E46" s="366"/>
      <c r="F46" s="303" t="s">
        <v>532</v>
      </c>
      <c r="G46" s="366"/>
      <c r="H46" s="418" t="s">
        <v>284</v>
      </c>
      <c r="I46" s="366"/>
      <c r="N46" s="372">
        <v>3</v>
      </c>
      <c r="O46" s="369" t="s">
        <v>302</v>
      </c>
      <c r="P46" s="366"/>
    </row>
    <row r="47" spans="2:16" x14ac:dyDescent="0.3">
      <c r="B47" s="367"/>
      <c r="C47" s="370"/>
      <c r="D47" s="366"/>
      <c r="E47" s="366"/>
      <c r="F47" s="565"/>
      <c r="G47" s="366"/>
      <c r="H47" s="418" t="s">
        <v>671</v>
      </c>
      <c r="I47" s="366"/>
      <c r="N47" s="871">
        <v>330</v>
      </c>
      <c r="O47" s="369" t="s">
        <v>601</v>
      </c>
      <c r="P47" s="366"/>
    </row>
    <row r="48" spans="2:16" x14ac:dyDescent="0.3">
      <c r="B48" s="367"/>
      <c r="C48" s="370"/>
      <c r="D48" s="366"/>
      <c r="E48" s="366"/>
      <c r="F48" s="565"/>
      <c r="G48" s="366"/>
      <c r="H48" s="418" t="s">
        <v>597</v>
      </c>
      <c r="I48" s="366"/>
      <c r="N48" s="372">
        <v>14.5</v>
      </c>
      <c r="O48" s="369" t="s">
        <v>602</v>
      </c>
      <c r="P48" s="366"/>
    </row>
    <row r="49" spans="2:16" x14ac:dyDescent="0.3">
      <c r="B49" s="367"/>
      <c r="C49" s="370"/>
      <c r="D49" s="366"/>
      <c r="E49" s="366"/>
      <c r="F49" s="565"/>
      <c r="G49" s="366"/>
      <c r="H49" s="418" t="s">
        <v>660</v>
      </c>
      <c r="I49" s="366"/>
      <c r="N49" s="1018">
        <f>33*(1/0.35)</f>
        <v>94.285714285714292</v>
      </c>
      <c r="O49" s="369" t="s">
        <v>656</v>
      </c>
      <c r="P49" s="366"/>
    </row>
    <row r="50" spans="2:16" x14ac:dyDescent="0.3">
      <c r="B50" s="367"/>
      <c r="C50" s="370"/>
      <c r="D50" s="366"/>
      <c r="E50" s="366"/>
      <c r="F50" s="565"/>
      <c r="G50" s="366"/>
      <c r="H50" s="418" t="s">
        <v>598</v>
      </c>
      <c r="I50" s="366"/>
      <c r="N50" s="372" t="s">
        <v>617</v>
      </c>
      <c r="O50" s="369" t="s">
        <v>603</v>
      </c>
      <c r="P50" s="366"/>
    </row>
    <row r="51" spans="2:16" x14ac:dyDescent="0.3">
      <c r="B51" s="367"/>
      <c r="C51" s="370"/>
      <c r="D51" s="366"/>
      <c r="E51" s="366"/>
      <c r="F51" s="565"/>
      <c r="G51" s="366"/>
      <c r="H51" s="418" t="s">
        <v>599</v>
      </c>
      <c r="I51" s="366"/>
      <c r="N51" s="369" t="s">
        <v>641</v>
      </c>
      <c r="O51" s="369" t="s">
        <v>376</v>
      </c>
      <c r="P51" s="366"/>
    </row>
    <row r="52" spans="2:16" x14ac:dyDescent="0.3">
      <c r="B52" s="367"/>
      <c r="C52" s="370"/>
      <c r="D52" s="366"/>
      <c r="E52" s="366"/>
      <c r="F52" s="565"/>
      <c r="G52" s="366"/>
      <c r="H52" s="418" t="s">
        <v>600</v>
      </c>
      <c r="I52" s="366"/>
      <c r="N52" s="369">
        <v>0.38</v>
      </c>
      <c r="O52" s="369" t="s">
        <v>604</v>
      </c>
      <c r="P52" s="366"/>
    </row>
    <row r="53" spans="2:16" x14ac:dyDescent="0.3">
      <c r="B53" s="367"/>
      <c r="C53" s="370"/>
      <c r="D53" s="366"/>
      <c r="E53" s="366"/>
      <c r="F53" s="565"/>
      <c r="G53" s="366"/>
      <c r="H53" s="417"/>
      <c r="I53" s="366"/>
      <c r="N53" s="580"/>
      <c r="O53" s="580"/>
      <c r="P53" s="366"/>
    </row>
    <row r="54" spans="2:16" x14ac:dyDescent="0.3">
      <c r="B54" s="367"/>
      <c r="C54" s="370"/>
      <c r="D54" s="366"/>
      <c r="E54" s="366"/>
      <c r="F54" s="370" t="s">
        <v>362</v>
      </c>
      <c r="G54" s="366"/>
      <c r="H54" s="418" t="s">
        <v>657</v>
      </c>
      <c r="I54" s="366"/>
      <c r="N54" s="1006">
        <f>17.5*(1/0.4)</f>
        <v>43.75</v>
      </c>
      <c r="O54" s="369" t="s">
        <v>656</v>
      </c>
      <c r="P54" s="366"/>
    </row>
    <row r="55" spans="2:16" x14ac:dyDescent="0.3">
      <c r="B55" s="367"/>
      <c r="C55" s="370"/>
      <c r="D55" s="366"/>
      <c r="E55" s="366"/>
      <c r="G55" s="366"/>
      <c r="H55" s="418" t="s">
        <v>618</v>
      </c>
      <c r="I55" s="366"/>
      <c r="N55" s="369" t="s">
        <v>619</v>
      </c>
      <c r="O55" s="369" t="s">
        <v>620</v>
      </c>
      <c r="P55" s="366"/>
    </row>
    <row r="56" spans="2:16" x14ac:dyDescent="0.3">
      <c r="B56" s="367"/>
      <c r="C56" s="370"/>
      <c r="D56" s="366"/>
      <c r="E56" s="366"/>
      <c r="F56" s="565"/>
      <c r="G56" s="366"/>
      <c r="H56" s="418" t="s">
        <v>652</v>
      </c>
      <c r="I56" s="366"/>
      <c r="N56" s="369" t="s">
        <v>653</v>
      </c>
      <c r="O56" s="369" t="s">
        <v>621</v>
      </c>
      <c r="P56" s="366"/>
    </row>
    <row r="57" spans="2:16" x14ac:dyDescent="0.3">
      <c r="B57" s="367"/>
      <c r="C57" s="370"/>
      <c r="D57" s="366"/>
      <c r="E57" s="366"/>
      <c r="F57" s="565"/>
      <c r="G57" s="366"/>
      <c r="H57" s="418" t="s">
        <v>659</v>
      </c>
      <c r="I57" s="366"/>
      <c r="N57" s="1006">
        <f>0.18*5600</f>
        <v>1008</v>
      </c>
      <c r="O57" s="369" t="s">
        <v>601</v>
      </c>
      <c r="P57" s="366"/>
    </row>
    <row r="58" spans="2:16" x14ac:dyDescent="0.3">
      <c r="B58" s="367"/>
      <c r="C58" s="370"/>
      <c r="D58" s="366"/>
      <c r="E58" s="366"/>
      <c r="F58" s="565"/>
      <c r="G58" s="366"/>
      <c r="H58" s="418" t="s">
        <v>662</v>
      </c>
      <c r="I58" s="366"/>
      <c r="N58" s="1006">
        <v>400</v>
      </c>
      <c r="O58" s="369" t="s">
        <v>601</v>
      </c>
      <c r="P58" s="366"/>
    </row>
    <row r="59" spans="2:16" x14ac:dyDescent="0.3">
      <c r="B59" s="367"/>
      <c r="C59" s="370"/>
      <c r="D59" s="366"/>
      <c r="E59" s="366"/>
      <c r="F59" s="565"/>
      <c r="G59" s="366"/>
      <c r="H59" s="418" t="s">
        <v>665</v>
      </c>
      <c r="I59" s="366"/>
      <c r="N59" s="1006">
        <v>130</v>
      </c>
      <c r="O59" s="369" t="s">
        <v>601</v>
      </c>
      <c r="P59" s="366"/>
    </row>
    <row r="60" spans="2:16" x14ac:dyDescent="0.3">
      <c r="B60" s="367"/>
      <c r="C60" s="370"/>
      <c r="D60" s="366"/>
      <c r="E60" s="366"/>
      <c r="F60" s="565"/>
      <c r="G60" s="366"/>
      <c r="H60" s="418" t="s">
        <v>666</v>
      </c>
      <c r="I60" s="366"/>
      <c r="N60" s="1006">
        <v>130</v>
      </c>
      <c r="O60" s="369" t="s">
        <v>601</v>
      </c>
      <c r="P60" s="366"/>
    </row>
    <row r="61" spans="2:16" x14ac:dyDescent="0.3">
      <c r="B61" s="367"/>
      <c r="C61" s="370"/>
      <c r="D61" s="366"/>
      <c r="E61" s="366"/>
      <c r="F61" s="565"/>
      <c r="G61" s="366"/>
      <c r="H61" s="418" t="s">
        <v>667</v>
      </c>
      <c r="I61" s="366"/>
      <c r="N61" s="871">
        <v>475</v>
      </c>
      <c r="O61" s="369" t="s">
        <v>601</v>
      </c>
      <c r="P61" s="366"/>
    </row>
    <row r="62" spans="2:16" x14ac:dyDescent="0.3">
      <c r="B62" s="367"/>
      <c r="C62" s="370"/>
      <c r="D62" s="366"/>
      <c r="E62" s="366"/>
      <c r="F62" s="565"/>
      <c r="G62" s="366"/>
      <c r="H62" s="418" t="s">
        <v>668</v>
      </c>
      <c r="I62" s="366"/>
      <c r="N62" s="871">
        <v>500</v>
      </c>
      <c r="O62" s="369" t="s">
        <v>601</v>
      </c>
      <c r="P62" s="366"/>
    </row>
    <row r="63" spans="2:16" x14ac:dyDescent="0.3">
      <c r="B63" s="367"/>
      <c r="C63" s="370"/>
      <c r="D63" s="366"/>
      <c r="E63" s="366"/>
      <c r="F63" s="565"/>
      <c r="G63" s="366"/>
      <c r="H63" s="417"/>
      <c r="I63" s="366"/>
      <c r="N63" s="580"/>
      <c r="O63" s="580"/>
      <c r="P63" s="366"/>
    </row>
    <row r="64" spans="2:16" x14ac:dyDescent="0.3">
      <c r="B64" s="367"/>
      <c r="C64" s="370"/>
      <c r="D64" s="366"/>
      <c r="E64" s="366"/>
      <c r="F64" s="565"/>
      <c r="G64" s="366"/>
      <c r="H64" s="417"/>
      <c r="I64" s="366"/>
      <c r="N64" s="580"/>
      <c r="O64" s="580"/>
      <c r="P64" s="366"/>
    </row>
    <row r="65" spans="2:16" x14ac:dyDescent="0.3">
      <c r="B65" s="367"/>
      <c r="C65" s="370" t="s">
        <v>661</v>
      </c>
      <c r="D65" s="366"/>
      <c r="E65" s="366"/>
      <c r="F65" s="370" t="s">
        <v>362</v>
      </c>
      <c r="G65" s="366"/>
      <c r="H65" s="418" t="s">
        <v>658</v>
      </c>
      <c r="I65" s="366"/>
      <c r="N65" s="1006">
        <f>500*4</f>
        <v>2000</v>
      </c>
      <c r="O65" s="369" t="s">
        <v>601</v>
      </c>
      <c r="P65" s="366"/>
    </row>
    <row r="66" spans="2:16" x14ac:dyDescent="0.3">
      <c r="B66" s="367"/>
      <c r="C66" s="370"/>
      <c r="D66" s="366"/>
      <c r="E66" s="366"/>
      <c r="F66" s="565"/>
      <c r="G66" s="366"/>
      <c r="H66" s="417"/>
      <c r="I66" s="366"/>
      <c r="N66" s="580"/>
      <c r="O66" s="580"/>
      <c r="P66" s="366"/>
    </row>
    <row r="67" spans="2:16" x14ac:dyDescent="0.3">
      <c r="B67" s="367"/>
      <c r="C67" s="370"/>
      <c r="D67" s="366"/>
      <c r="E67" s="366"/>
      <c r="F67" s="565"/>
      <c r="G67" s="366"/>
      <c r="H67" s="417"/>
      <c r="I67" s="366"/>
      <c r="N67" s="580"/>
      <c r="O67" s="580"/>
      <c r="P67" s="366"/>
    </row>
    <row r="68" spans="2:16" x14ac:dyDescent="0.3">
      <c r="B68" s="367"/>
      <c r="C68" s="370" t="s">
        <v>606</v>
      </c>
      <c r="D68" s="366"/>
      <c r="E68" s="366"/>
      <c r="F68" s="303" t="s">
        <v>360</v>
      </c>
      <c r="G68" s="366"/>
      <c r="H68" s="418" t="s">
        <v>640</v>
      </c>
      <c r="I68" s="366"/>
      <c r="N68" s="1006">
        <f>0.55*240</f>
        <v>132</v>
      </c>
      <c r="O68" s="369" t="s">
        <v>601</v>
      </c>
      <c r="P68" s="366"/>
    </row>
    <row r="69" spans="2:16" x14ac:dyDescent="0.3">
      <c r="B69" s="367"/>
      <c r="C69" s="370"/>
      <c r="D69" s="366"/>
      <c r="E69" s="366"/>
      <c r="F69" s="565"/>
      <c r="G69" s="366"/>
      <c r="H69" s="418" t="s">
        <v>607</v>
      </c>
      <c r="I69" s="366"/>
      <c r="N69" s="369">
        <v>1.6</v>
      </c>
      <c r="O69" s="369" t="s">
        <v>604</v>
      </c>
      <c r="P69" s="366"/>
    </row>
    <row r="70" spans="2:16" x14ac:dyDescent="0.3">
      <c r="B70" s="367"/>
      <c r="C70" s="370"/>
      <c r="D70" s="366"/>
      <c r="E70" s="366"/>
      <c r="F70" s="367"/>
      <c r="G70" s="366"/>
      <c r="H70" s="366"/>
      <c r="I70" s="366"/>
      <c r="N70" s="371"/>
      <c r="O70" s="371"/>
      <c r="P70" s="366"/>
    </row>
    <row r="71" spans="2:16" x14ac:dyDescent="0.3">
      <c r="B71" s="367"/>
      <c r="C71" s="370" t="s">
        <v>609</v>
      </c>
      <c r="D71" s="366"/>
      <c r="E71" s="366"/>
      <c r="F71" s="303" t="s">
        <v>360</v>
      </c>
      <c r="G71" s="366"/>
      <c r="H71" s="418" t="s">
        <v>610</v>
      </c>
      <c r="I71" s="366"/>
      <c r="N71" s="372">
        <v>0.29099999999999998</v>
      </c>
      <c r="O71" s="369" t="s">
        <v>604</v>
      </c>
      <c r="P71" s="366"/>
    </row>
    <row r="72" spans="2:16" x14ac:dyDescent="0.3">
      <c r="B72" s="367"/>
      <c r="C72" s="370"/>
      <c r="D72" s="366"/>
      <c r="E72" s="366"/>
      <c r="F72" s="304"/>
      <c r="G72" s="366"/>
      <c r="H72" s="417"/>
      <c r="I72" s="366"/>
      <c r="N72" s="580"/>
      <c r="O72" s="580"/>
      <c r="P72" s="366"/>
    </row>
    <row r="73" spans="2:16" x14ac:dyDescent="0.3">
      <c r="B73" s="367"/>
      <c r="C73" s="370" t="s">
        <v>613</v>
      </c>
      <c r="D73" s="366"/>
      <c r="E73" s="366"/>
      <c r="F73" s="303" t="s">
        <v>360</v>
      </c>
      <c r="G73" s="366"/>
      <c r="H73" s="1040" t="s">
        <v>650</v>
      </c>
      <c r="I73" s="1041"/>
      <c r="J73" s="1041"/>
      <c r="K73" s="1041"/>
      <c r="L73" s="1041"/>
      <c r="M73" s="1042"/>
      <c r="N73" s="870">
        <v>63.1</v>
      </c>
      <c r="O73" s="369" t="s">
        <v>614</v>
      </c>
      <c r="P73" s="366"/>
    </row>
    <row r="74" spans="2:16" x14ac:dyDescent="0.3">
      <c r="B74" s="367"/>
      <c r="C74" s="370"/>
      <c r="D74" s="366"/>
      <c r="E74" s="366"/>
      <c r="F74" s="304"/>
      <c r="G74" s="366"/>
      <c r="H74" s="1040" t="s">
        <v>651</v>
      </c>
      <c r="I74" s="1041"/>
      <c r="J74" s="1041"/>
      <c r="K74" s="1041"/>
      <c r="L74" s="1041"/>
      <c r="M74" s="1042"/>
      <c r="N74" s="871">
        <v>29.85</v>
      </c>
      <c r="O74" s="369" t="s">
        <v>614</v>
      </c>
      <c r="P74" s="366"/>
    </row>
    <row r="75" spans="2:16" x14ac:dyDescent="0.3">
      <c r="B75" s="367"/>
      <c r="C75" s="370"/>
      <c r="D75" s="366"/>
      <c r="E75" s="366"/>
      <c r="F75" s="304"/>
      <c r="G75" s="366"/>
      <c r="H75" s="1040" t="s">
        <v>615</v>
      </c>
      <c r="I75" s="1041"/>
      <c r="J75" s="1041"/>
      <c r="K75" s="1041"/>
      <c r="L75" s="1041"/>
      <c r="M75" s="1042"/>
      <c r="N75" s="870">
        <v>31.88</v>
      </c>
      <c r="O75" s="369" t="s">
        <v>614</v>
      </c>
      <c r="P75" s="1007"/>
    </row>
    <row r="76" spans="2:16" x14ac:dyDescent="0.3">
      <c r="B76" s="367"/>
      <c r="C76" s="370"/>
      <c r="D76" s="366"/>
      <c r="E76" s="366"/>
      <c r="F76" s="304"/>
      <c r="G76" s="366"/>
      <c r="H76" s="1040" t="s">
        <v>616</v>
      </c>
      <c r="I76" s="1041"/>
      <c r="J76" s="1041"/>
      <c r="K76" s="1041"/>
      <c r="L76" s="1041"/>
      <c r="M76" s="1042"/>
      <c r="N76" s="870">
        <v>104</v>
      </c>
      <c r="O76" s="369" t="s">
        <v>614</v>
      </c>
      <c r="P76" s="1008"/>
    </row>
    <row r="77" spans="2:16" x14ac:dyDescent="0.3">
      <c r="B77" s="367"/>
      <c r="C77" s="370"/>
      <c r="D77" s="366"/>
      <c r="E77" s="366"/>
      <c r="F77" s="304"/>
      <c r="G77" s="366"/>
      <c r="H77" s="988" t="s">
        <v>646</v>
      </c>
      <c r="I77" s="989"/>
      <c r="J77" s="989"/>
      <c r="K77" s="989"/>
      <c r="L77" s="989"/>
      <c r="M77" s="989"/>
      <c r="N77" s="990" t="s">
        <v>643</v>
      </c>
      <c r="O77" s="991" t="s">
        <v>376</v>
      </c>
      <c r="P77" s="366"/>
    </row>
    <row r="78" spans="2:16" x14ac:dyDescent="0.3">
      <c r="B78" s="367"/>
      <c r="C78" s="370"/>
      <c r="D78" s="366"/>
      <c r="E78" s="366"/>
      <c r="F78" s="304"/>
      <c r="G78" s="366"/>
      <c r="H78" s="999" t="s">
        <v>647</v>
      </c>
      <c r="I78" s="1000"/>
      <c r="J78" s="1000"/>
      <c r="K78" s="1000"/>
      <c r="L78" s="1000"/>
      <c r="M78" s="1000"/>
      <c r="N78" s="990" t="s">
        <v>644</v>
      </c>
      <c r="O78" s="991" t="s">
        <v>376</v>
      </c>
      <c r="P78" s="366"/>
    </row>
    <row r="79" spans="2:16" x14ac:dyDescent="0.3">
      <c r="B79" s="367"/>
      <c r="C79" s="370"/>
      <c r="D79" s="366"/>
      <c r="E79" s="366"/>
      <c r="F79" s="304"/>
      <c r="G79" s="366"/>
      <c r="H79" s="999" t="s">
        <v>648</v>
      </c>
      <c r="I79" s="1000"/>
      <c r="J79" s="1000"/>
      <c r="K79" s="1000"/>
      <c r="L79" s="1000"/>
      <c r="M79" s="1000"/>
      <c r="N79" s="990" t="s">
        <v>645</v>
      </c>
      <c r="O79" s="991" t="s">
        <v>376</v>
      </c>
      <c r="P79" s="366"/>
    </row>
    <row r="80" spans="2:16" x14ac:dyDescent="0.3">
      <c r="B80" s="367"/>
      <c r="C80" s="370"/>
      <c r="D80" s="366"/>
      <c r="E80" s="366"/>
      <c r="F80" s="304"/>
      <c r="G80" s="366"/>
      <c r="H80" s="999" t="s">
        <v>649</v>
      </c>
      <c r="I80" s="1000"/>
      <c r="J80" s="1000"/>
      <c r="K80" s="1000"/>
      <c r="L80" s="1000"/>
      <c r="M80" s="1000"/>
      <c r="N80" s="990" t="s">
        <v>642</v>
      </c>
      <c r="O80" s="991" t="s">
        <v>376</v>
      </c>
      <c r="P80" s="366"/>
    </row>
    <row r="81" spans="2:17" x14ac:dyDescent="0.3">
      <c r="B81" s="367"/>
      <c r="C81" s="370"/>
      <c r="D81" s="366"/>
      <c r="E81" s="366"/>
      <c r="F81" s="367"/>
      <c r="G81" s="366"/>
      <c r="H81" s="366"/>
      <c r="I81" s="366"/>
      <c r="N81" s="371"/>
      <c r="O81" s="371"/>
      <c r="P81" s="366"/>
    </row>
    <row r="82" spans="2:17" x14ac:dyDescent="0.3">
      <c r="B82" s="367"/>
      <c r="C82" s="367"/>
      <c r="D82" s="366"/>
      <c r="E82" s="366"/>
      <c r="F82" s="367"/>
      <c r="G82" s="366"/>
      <c r="H82" s="366"/>
      <c r="I82" s="366"/>
      <c r="N82" s="371"/>
      <c r="O82" s="371"/>
      <c r="P82" s="366"/>
    </row>
    <row r="83" spans="2:17" ht="14.5" x14ac:dyDescent="0.35">
      <c r="B83" s="367" t="s">
        <v>366</v>
      </c>
      <c r="C83" s="367"/>
      <c r="D83" s="366"/>
      <c r="E83" s="366"/>
      <c r="F83" s="418" t="s">
        <v>360</v>
      </c>
      <c r="G83" s="366"/>
      <c r="H83" s="418" t="s">
        <v>517</v>
      </c>
      <c r="I83" s="366"/>
      <c r="N83" s="369" t="s">
        <v>632</v>
      </c>
      <c r="O83" s="369" t="s">
        <v>601</v>
      </c>
      <c r="Q83" s="370" t="s">
        <v>522</v>
      </c>
    </row>
    <row r="84" spans="2:17" x14ac:dyDescent="0.3">
      <c r="B84" s="367"/>
      <c r="C84" s="367"/>
      <c r="D84" s="366"/>
      <c r="E84" s="366"/>
      <c r="F84" s="367"/>
      <c r="G84" s="366"/>
      <c r="H84" s="366"/>
      <c r="I84" s="366"/>
      <c r="N84" s="371"/>
      <c r="O84" s="371"/>
      <c r="P84" s="366"/>
    </row>
    <row r="85" spans="2:17" x14ac:dyDescent="0.3">
      <c r="B85" s="367"/>
      <c r="C85" s="367"/>
      <c r="D85" s="366"/>
      <c r="E85" s="366"/>
      <c r="F85" s="370" t="s">
        <v>362</v>
      </c>
      <c r="G85" s="366"/>
      <c r="H85" s="418" t="s">
        <v>655</v>
      </c>
      <c r="I85" s="366"/>
      <c r="N85" s="1006">
        <v>26</v>
      </c>
      <c r="O85" s="369" t="s">
        <v>621</v>
      </c>
      <c r="Q85" s="370" t="s">
        <v>654</v>
      </c>
    </row>
    <row r="86" spans="2:17" x14ac:dyDescent="0.3">
      <c r="C86" s="367"/>
      <c r="D86" s="366"/>
      <c r="E86" s="366"/>
      <c r="G86" s="366"/>
      <c r="H86" s="418" t="s">
        <v>557</v>
      </c>
      <c r="I86" s="366"/>
      <c r="N86" s="369">
        <v>12.54</v>
      </c>
      <c r="O86" s="369" t="s">
        <v>633</v>
      </c>
      <c r="Q86" s="370" t="s">
        <v>558</v>
      </c>
    </row>
    <row r="87" spans="2:17" ht="14.5" x14ac:dyDescent="0.35">
      <c r="B87" s="367"/>
      <c r="C87" s="367"/>
      <c r="D87" s="366"/>
      <c r="E87" s="366"/>
      <c r="F87" s="367"/>
      <c r="G87" s="366"/>
      <c r="H87" s="873" t="s">
        <v>495</v>
      </c>
      <c r="I87" s="366"/>
      <c r="N87" s="369" t="s">
        <v>494</v>
      </c>
      <c r="O87" s="369" t="s">
        <v>376</v>
      </c>
      <c r="Q87" s="370" t="s">
        <v>516</v>
      </c>
    </row>
    <row r="88" spans="2:17" ht="14.5" x14ac:dyDescent="0.35">
      <c r="B88" s="367"/>
      <c r="C88" s="367"/>
      <c r="D88" s="366"/>
      <c r="E88" s="366"/>
      <c r="F88" s="367"/>
      <c r="G88" s="366"/>
      <c r="H88" s="873" t="s">
        <v>496</v>
      </c>
      <c r="I88" s="366"/>
      <c r="N88" s="369" t="s">
        <v>497</v>
      </c>
      <c r="O88" s="369" t="s">
        <v>376</v>
      </c>
      <c r="Q88" s="370" t="s">
        <v>516</v>
      </c>
    </row>
    <row r="89" spans="2:17" ht="14.5" x14ac:dyDescent="0.35">
      <c r="B89" s="367"/>
      <c r="C89" s="367"/>
      <c r="D89" s="366"/>
      <c r="E89" s="366"/>
      <c r="F89" s="367"/>
      <c r="G89" s="366"/>
      <c r="H89" s="873" t="s">
        <v>518</v>
      </c>
      <c r="I89" s="366"/>
      <c r="N89" s="369" t="s">
        <v>663</v>
      </c>
      <c r="O89" s="369" t="s">
        <v>601</v>
      </c>
      <c r="Q89" s="370" t="s">
        <v>522</v>
      </c>
    </row>
    <row r="90" spans="2:17" ht="14.5" x14ac:dyDescent="0.35">
      <c r="B90" s="367"/>
      <c r="C90" s="367"/>
      <c r="D90" s="366"/>
      <c r="E90" s="366"/>
      <c r="F90" s="367"/>
      <c r="G90" s="366"/>
      <c r="H90" s="873" t="s">
        <v>519</v>
      </c>
      <c r="I90" s="366"/>
      <c r="N90" s="369" t="s">
        <v>664</v>
      </c>
      <c r="O90" s="369" t="s">
        <v>601</v>
      </c>
      <c r="Q90" s="370" t="s">
        <v>522</v>
      </c>
    </row>
    <row r="91" spans="2:17" x14ac:dyDescent="0.3">
      <c r="B91" s="367"/>
      <c r="C91" s="367"/>
      <c r="D91" s="366"/>
      <c r="E91" s="366"/>
      <c r="F91" s="367"/>
      <c r="G91" s="366"/>
      <c r="H91" s="873" t="s">
        <v>493</v>
      </c>
      <c r="I91" s="981"/>
      <c r="J91" s="981"/>
      <c r="K91" s="981"/>
      <c r="L91" s="981"/>
      <c r="M91" s="981"/>
      <c r="N91" s="982">
        <v>270.5</v>
      </c>
      <c r="O91" s="983" t="s">
        <v>594</v>
      </c>
      <c r="Q91" s="370" t="s">
        <v>556</v>
      </c>
    </row>
    <row r="92" spans="2:17" x14ac:dyDescent="0.3">
      <c r="B92" s="367"/>
      <c r="C92" s="367"/>
      <c r="D92" s="366"/>
      <c r="E92" s="366"/>
      <c r="F92" s="367"/>
      <c r="G92" s="366"/>
      <c r="H92" s="565"/>
      <c r="I92" s="366"/>
      <c r="N92" s="371"/>
      <c r="O92" s="371"/>
      <c r="P92" s="366"/>
    </row>
    <row r="93" spans="2:17" x14ac:dyDescent="0.3">
      <c r="B93" s="367"/>
      <c r="C93" s="367"/>
      <c r="D93" s="366"/>
      <c r="E93" s="366"/>
      <c r="F93" s="417"/>
      <c r="G93" s="366"/>
      <c r="H93" s="565"/>
      <c r="I93" s="366"/>
      <c r="N93" s="580"/>
      <c r="O93" s="580"/>
      <c r="P93" s="367"/>
      <c r="Q93" s="304"/>
    </row>
    <row r="94" spans="2:17" x14ac:dyDescent="0.3">
      <c r="B94" s="367" t="s">
        <v>368</v>
      </c>
      <c r="C94" s="366"/>
      <c r="D94" s="366"/>
      <c r="E94" s="366"/>
      <c r="F94" s="418" t="s">
        <v>361</v>
      </c>
      <c r="G94" s="366"/>
      <c r="H94" s="873" t="s">
        <v>358</v>
      </c>
      <c r="I94" s="366"/>
      <c r="J94" s="366"/>
      <c r="K94" s="366"/>
      <c r="N94" s="419" t="s">
        <v>359</v>
      </c>
      <c r="O94" s="369" t="s">
        <v>377</v>
      </c>
      <c r="Q94" s="303" t="s">
        <v>208</v>
      </c>
    </row>
    <row r="95" spans="2:17" x14ac:dyDescent="0.3">
      <c r="B95" s="367"/>
      <c r="C95" s="366"/>
      <c r="D95" s="366"/>
      <c r="E95" s="366"/>
      <c r="F95" s="366"/>
      <c r="G95" s="366"/>
      <c r="H95" s="366"/>
      <c r="I95" s="366"/>
      <c r="J95" s="366"/>
      <c r="K95" s="366"/>
      <c r="L95" s="366"/>
      <c r="M95" s="366"/>
      <c r="Q95" s="63"/>
    </row>
    <row r="96" spans="2:17" x14ac:dyDescent="0.3">
      <c r="B96" s="367"/>
      <c r="C96" s="366"/>
      <c r="D96" s="366"/>
      <c r="E96" s="366"/>
      <c r="F96" s="366"/>
      <c r="G96" s="366"/>
      <c r="H96" s="873" t="s">
        <v>483</v>
      </c>
      <c r="I96" s="366"/>
      <c r="J96" s="366"/>
      <c r="K96" s="366"/>
      <c r="L96" s="366"/>
      <c r="M96" s="366"/>
      <c r="N96" s="874">
        <v>180</v>
      </c>
      <c r="O96" s="369" t="s">
        <v>377</v>
      </c>
      <c r="Q96" s="303" t="s">
        <v>209</v>
      </c>
    </row>
    <row r="97" spans="2:17" x14ac:dyDescent="0.3">
      <c r="B97" s="367"/>
      <c r="C97" s="366"/>
      <c r="D97" s="366"/>
      <c r="E97" s="366"/>
      <c r="F97" s="366"/>
      <c r="G97" s="366"/>
      <c r="H97" s="873" t="s">
        <v>523</v>
      </c>
      <c r="I97" s="366"/>
      <c r="J97" s="366"/>
      <c r="K97" s="366"/>
      <c r="L97" s="366"/>
      <c r="M97" s="366"/>
      <c r="N97" s="874">
        <v>120</v>
      </c>
      <c r="O97" s="369" t="s">
        <v>377</v>
      </c>
      <c r="Q97" s="303" t="s">
        <v>209</v>
      </c>
    </row>
    <row r="98" spans="2:17" x14ac:dyDescent="0.3">
      <c r="B98" s="367"/>
      <c r="C98" s="366"/>
      <c r="D98" s="366"/>
      <c r="E98" s="366"/>
      <c r="F98" s="366"/>
      <c r="G98" s="366"/>
      <c r="H98" s="873" t="s">
        <v>488</v>
      </c>
      <c r="I98" s="366"/>
      <c r="J98" s="366"/>
      <c r="K98" s="366"/>
      <c r="L98" s="366"/>
      <c r="M98" s="366"/>
      <c r="N98" s="874">
        <v>126.3</v>
      </c>
      <c r="O98" s="369" t="s">
        <v>377</v>
      </c>
      <c r="Q98" s="303" t="s">
        <v>208</v>
      </c>
    </row>
    <row r="99" spans="2:17" x14ac:dyDescent="0.3">
      <c r="C99" s="366"/>
      <c r="D99" s="366"/>
      <c r="E99" s="366"/>
      <c r="F99" s="366"/>
      <c r="G99" s="366"/>
      <c r="H99" s="873" t="s">
        <v>489</v>
      </c>
      <c r="I99" s="366"/>
      <c r="J99" s="366"/>
      <c r="K99" s="366"/>
      <c r="L99" s="366"/>
      <c r="M99" s="366"/>
      <c r="N99" s="582">
        <v>45</v>
      </c>
      <c r="O99" s="369" t="s">
        <v>377</v>
      </c>
      <c r="Q99" s="303" t="s">
        <v>209</v>
      </c>
    </row>
    <row r="100" spans="2:17" x14ac:dyDescent="0.3">
      <c r="C100" s="366"/>
      <c r="D100" s="366"/>
      <c r="E100" s="366"/>
      <c r="F100" s="366"/>
      <c r="G100" s="366"/>
      <c r="H100" s="873" t="s">
        <v>491</v>
      </c>
      <c r="N100" s="582">
        <v>20</v>
      </c>
      <c r="O100" s="369" t="s">
        <v>377</v>
      </c>
      <c r="Q100" s="303" t="s">
        <v>208</v>
      </c>
    </row>
    <row r="101" spans="2:17" x14ac:dyDescent="0.3">
      <c r="C101" s="366"/>
      <c r="D101" s="366"/>
      <c r="E101" s="366"/>
      <c r="F101" s="366"/>
      <c r="G101" s="366"/>
      <c r="H101" s="873" t="s">
        <v>492</v>
      </c>
      <c r="I101" s="366"/>
      <c r="J101" s="366"/>
      <c r="K101" s="366"/>
      <c r="L101" s="366"/>
      <c r="M101" s="366"/>
      <c r="N101" s="582">
        <v>40.299999999999997</v>
      </c>
      <c r="O101" s="369" t="s">
        <v>377</v>
      </c>
      <c r="Q101" s="303" t="s">
        <v>208</v>
      </c>
    </row>
    <row r="102" spans="2:17" x14ac:dyDescent="0.3">
      <c r="C102" s="366"/>
      <c r="D102" s="366"/>
      <c r="E102" s="366"/>
      <c r="F102" s="366"/>
      <c r="G102" s="366"/>
      <c r="H102" s="873" t="s">
        <v>498</v>
      </c>
      <c r="I102" s="366"/>
      <c r="J102" s="366"/>
      <c r="K102" s="366"/>
      <c r="L102" s="366"/>
      <c r="M102" s="366"/>
      <c r="N102" s="875">
        <v>100</v>
      </c>
      <c r="O102" s="369" t="s">
        <v>377</v>
      </c>
      <c r="Q102" s="303" t="s">
        <v>209</v>
      </c>
    </row>
    <row r="103" spans="2:17" x14ac:dyDescent="0.3">
      <c r="C103" s="366"/>
      <c r="D103" s="366"/>
      <c r="E103" s="366"/>
      <c r="F103" s="366"/>
      <c r="G103" s="366"/>
      <c r="H103" s="16" t="s">
        <v>499</v>
      </c>
      <c r="I103" s="366"/>
      <c r="J103" s="366"/>
      <c r="K103" s="366"/>
      <c r="L103" s="366"/>
      <c r="M103" s="366"/>
      <c r="N103" s="874">
        <v>175</v>
      </c>
      <c r="O103" s="369" t="s">
        <v>377</v>
      </c>
      <c r="Q103" s="303" t="s">
        <v>209</v>
      </c>
    </row>
    <row r="104" spans="2:17" x14ac:dyDescent="0.3">
      <c r="H104" s="16" t="s">
        <v>504</v>
      </c>
      <c r="N104" s="218">
        <v>170</v>
      </c>
      <c r="O104" s="369" t="s">
        <v>377</v>
      </c>
      <c r="Q104" s="210" t="s">
        <v>503</v>
      </c>
    </row>
    <row r="105" spans="2:17" x14ac:dyDescent="0.3">
      <c r="H105" s="16" t="s">
        <v>525</v>
      </c>
      <c r="N105" s="218" t="s">
        <v>524</v>
      </c>
      <c r="O105" s="369" t="s">
        <v>377</v>
      </c>
      <c r="Q105" s="303" t="s">
        <v>209</v>
      </c>
    </row>
  </sheetData>
  <sheetProtection selectLockedCells="1" selectUnlockedCells="1"/>
  <mergeCells count="4">
    <mergeCell ref="H73:M73"/>
    <mergeCell ref="H74:M74"/>
    <mergeCell ref="H75:M75"/>
    <mergeCell ref="H76:M7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:P69"/>
  <sheetViews>
    <sheetView topLeftCell="A3" workbookViewId="0">
      <selection activeCell="B23" sqref="B23"/>
    </sheetView>
  </sheetViews>
  <sheetFormatPr defaultColWidth="9" defaultRowHeight="14" x14ac:dyDescent="0.3"/>
  <cols>
    <col min="2" max="2" width="17.75" customWidth="1"/>
  </cols>
  <sheetData>
    <row r="3" spans="2:16" x14ac:dyDescent="0.3"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</row>
    <row r="4" spans="2:16" x14ac:dyDescent="0.3">
      <c r="B4" s="505"/>
      <c r="C4" s="434"/>
      <c r="D4" s="513" t="s">
        <v>4</v>
      </c>
      <c r="E4" s="513" t="s">
        <v>559</v>
      </c>
      <c r="F4" s="513" t="s">
        <v>5</v>
      </c>
      <c r="G4" s="513" t="s">
        <v>560</v>
      </c>
      <c r="H4" s="513" t="s">
        <v>255</v>
      </c>
      <c r="I4" s="366"/>
      <c r="J4" s="366"/>
      <c r="K4" s="366"/>
      <c r="L4" s="366"/>
      <c r="M4" s="366"/>
      <c r="N4" s="366"/>
      <c r="O4" s="366"/>
      <c r="P4" s="366"/>
    </row>
    <row r="5" spans="2:16" x14ac:dyDescent="0.3">
      <c r="B5" s="725" t="s">
        <v>217</v>
      </c>
      <c r="C5" s="725" t="s">
        <v>333</v>
      </c>
      <c r="D5" s="154">
        <f>'Arable Inputs'!D18</f>
        <v>5.5</v>
      </c>
      <c r="E5" s="154">
        <f>'Arable Inputs'!E18</f>
        <v>3.1</v>
      </c>
      <c r="F5" s="154">
        <f>'Arable Inputs'!F18</f>
        <v>2.6</v>
      </c>
      <c r="G5" s="154">
        <f>'Arable Inputs'!G18</f>
        <v>2.1</v>
      </c>
      <c r="H5" s="154">
        <f>'Arable Inputs'!H18</f>
        <v>9.4</v>
      </c>
      <c r="I5" s="366"/>
      <c r="J5" s="366"/>
      <c r="K5" s="366"/>
      <c r="L5" s="366"/>
      <c r="M5" s="366"/>
      <c r="N5" s="366"/>
      <c r="O5" s="366"/>
      <c r="P5" s="366"/>
    </row>
    <row r="6" spans="2:16" x14ac:dyDescent="0.3">
      <c r="B6" s="366"/>
      <c r="C6" s="366"/>
      <c r="D6" s="366"/>
      <c r="E6" s="366"/>
      <c r="F6" s="366"/>
      <c r="G6" s="366"/>
      <c r="H6" s="366"/>
      <c r="I6" s="366"/>
      <c r="J6" s="366"/>
      <c r="K6" s="366"/>
      <c r="L6" s="366"/>
      <c r="M6" s="366"/>
      <c r="N6" s="366"/>
      <c r="O6" s="366"/>
      <c r="P6" s="366"/>
    </row>
    <row r="7" spans="2:16" x14ac:dyDescent="0.3">
      <c r="B7" s="366"/>
      <c r="C7" s="366"/>
      <c r="D7" s="366"/>
      <c r="E7" s="366"/>
      <c r="F7" s="366"/>
      <c r="G7" s="366"/>
      <c r="H7" s="366"/>
      <c r="I7" s="366"/>
      <c r="J7" s="366"/>
      <c r="K7" s="366"/>
      <c r="L7" s="366"/>
      <c r="M7" s="366"/>
      <c r="N7" s="366"/>
      <c r="O7" s="366"/>
      <c r="P7" s="366"/>
    </row>
    <row r="8" spans="2:16" x14ac:dyDescent="0.3">
      <c r="B8" s="505"/>
      <c r="C8" s="434"/>
      <c r="D8" s="513" t="s">
        <v>4</v>
      </c>
      <c r="E8" s="513" t="s">
        <v>559</v>
      </c>
      <c r="F8" s="513" t="s">
        <v>5</v>
      </c>
      <c r="G8" s="513" t="s">
        <v>560</v>
      </c>
      <c r="H8" s="513" t="s">
        <v>255</v>
      </c>
      <c r="I8" s="366"/>
      <c r="J8" s="366"/>
      <c r="K8" s="366"/>
      <c r="L8" s="366"/>
      <c r="M8" s="366"/>
      <c r="N8" s="366"/>
      <c r="O8" s="366"/>
      <c r="P8" s="366"/>
    </row>
    <row r="9" spans="2:16" x14ac:dyDescent="0.3">
      <c r="B9" s="725" t="s">
        <v>219</v>
      </c>
      <c r="C9" s="725" t="s">
        <v>565</v>
      </c>
      <c r="D9" s="155">
        <f>'Arable Inputs'!D25</f>
        <v>210</v>
      </c>
      <c r="E9" s="155">
        <f>'Arable Inputs'!E25</f>
        <v>310.75</v>
      </c>
      <c r="F9" s="155">
        <f>'Arable Inputs'!F25</f>
        <v>196.99</v>
      </c>
      <c r="G9" s="155">
        <f>'Arable Inputs'!G25</f>
        <v>235.55</v>
      </c>
      <c r="H9" s="155">
        <f>'Arable Inputs'!H25</f>
        <v>94.285714285714292</v>
      </c>
      <c r="I9" s="366"/>
      <c r="J9" s="366"/>
      <c r="K9" s="366"/>
      <c r="L9" s="366"/>
      <c r="M9" s="366"/>
      <c r="N9" s="366"/>
      <c r="O9" s="366"/>
      <c r="P9" s="366"/>
    </row>
    <row r="10" spans="2:16" x14ac:dyDescent="0.3">
      <c r="B10" s="36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366"/>
      <c r="P10" s="366"/>
    </row>
    <row r="11" spans="2:16" x14ac:dyDescent="0.3">
      <c r="B11" s="366"/>
      <c r="C11" s="366"/>
      <c r="D11" s="366"/>
      <c r="E11" s="366"/>
      <c r="F11" s="366"/>
      <c r="G11" s="366"/>
      <c r="H11" s="366"/>
      <c r="I11" s="366"/>
      <c r="J11" s="366"/>
      <c r="K11" s="366"/>
      <c r="L11" s="366"/>
      <c r="M11" s="366"/>
      <c r="N11" s="366"/>
      <c r="O11" s="366"/>
      <c r="P11" s="366"/>
    </row>
    <row r="12" spans="2:16" x14ac:dyDescent="0.3">
      <c r="B12" s="725" t="s">
        <v>214</v>
      </c>
      <c r="C12" s="726" t="s">
        <v>564</v>
      </c>
      <c r="D12" s="155">
        <f>'Arable Inputs'!D10</f>
        <v>330</v>
      </c>
      <c r="E12" s="366"/>
      <c r="F12" s="366"/>
      <c r="G12" s="366"/>
      <c r="H12" s="366"/>
      <c r="I12" s="366"/>
      <c r="J12" s="366"/>
      <c r="K12" s="366"/>
      <c r="L12" s="366"/>
      <c r="M12" s="366"/>
      <c r="N12" s="366"/>
      <c r="O12" s="366"/>
      <c r="P12" s="366"/>
    </row>
    <row r="13" spans="2:16" x14ac:dyDescent="0.3">
      <c r="B13" s="366"/>
      <c r="C13" s="366"/>
      <c r="D13" s="366"/>
      <c r="E13" s="366"/>
      <c r="F13" s="366"/>
      <c r="G13" s="366"/>
      <c r="H13" s="366"/>
      <c r="I13" s="366"/>
      <c r="J13" s="366"/>
      <c r="K13" s="366"/>
      <c r="L13" s="366"/>
      <c r="M13" s="366"/>
      <c r="N13" s="366"/>
      <c r="O13" s="366"/>
      <c r="P13" s="366"/>
    </row>
    <row r="14" spans="2:16" x14ac:dyDescent="0.3">
      <c r="B14" s="366"/>
      <c r="C14" s="366"/>
      <c r="D14" s="366"/>
      <c r="E14" s="366"/>
      <c r="F14" s="366"/>
      <c r="G14" s="366"/>
      <c r="H14" s="366"/>
      <c r="I14" s="366"/>
      <c r="J14" s="366"/>
      <c r="K14" s="366"/>
      <c r="L14" s="366"/>
      <c r="M14" s="366"/>
      <c r="N14" s="366"/>
      <c r="O14" s="366"/>
      <c r="P14" s="366"/>
    </row>
    <row r="15" spans="2:16" x14ac:dyDescent="0.3">
      <c r="B15" s="517" t="s">
        <v>330</v>
      </c>
      <c r="C15" s="681"/>
      <c r="D15" s="513" t="s">
        <v>4</v>
      </c>
      <c r="E15" s="513" t="s">
        <v>559</v>
      </c>
      <c r="F15" s="513" t="s">
        <v>5</v>
      </c>
      <c r="G15" s="513" t="s">
        <v>560</v>
      </c>
      <c r="H15" s="513" t="s">
        <v>255</v>
      </c>
      <c r="I15" s="366"/>
      <c r="J15" s="366"/>
      <c r="K15" s="366"/>
      <c r="L15" s="366"/>
      <c r="M15" s="366"/>
      <c r="N15" s="366"/>
      <c r="O15" s="366"/>
      <c r="P15" s="366"/>
    </row>
    <row r="16" spans="2:16" x14ac:dyDescent="0.3">
      <c r="B16" s="355" t="s">
        <v>9</v>
      </c>
      <c r="C16" s="356" t="s">
        <v>567</v>
      </c>
      <c r="D16" s="111">
        <f>'Arable margins'!E47</f>
        <v>622.34710631578946</v>
      </c>
      <c r="E16" s="111">
        <f>'Arable margins'!F47</f>
        <v>300.32802631578949</v>
      </c>
      <c r="F16" s="111">
        <f>'Arable margins'!G47</f>
        <v>327.77441459954235</v>
      </c>
      <c r="G16" s="111">
        <f>'Arable margins'!H47</f>
        <v>255.07731473684206</v>
      </c>
      <c r="H16" s="111">
        <f>'Arable margins'!I47</f>
        <v>566.71194999999989</v>
      </c>
      <c r="I16" s="366"/>
      <c r="J16" s="366"/>
      <c r="K16" s="366"/>
      <c r="L16" s="366"/>
      <c r="M16" s="366"/>
      <c r="N16" s="366"/>
      <c r="O16" s="366"/>
      <c r="P16" s="366"/>
    </row>
    <row r="17" spans="2:16" x14ac:dyDescent="0.3">
      <c r="B17" s="366"/>
      <c r="C17" s="366"/>
      <c r="D17" s="366"/>
      <c r="E17" s="366"/>
      <c r="F17" s="366"/>
      <c r="G17" s="366"/>
      <c r="H17" s="366"/>
      <c r="I17" s="366"/>
      <c r="J17" s="366"/>
      <c r="K17" s="366"/>
      <c r="L17" s="366"/>
      <c r="M17" s="366"/>
      <c r="N17" s="366"/>
      <c r="O17" s="366"/>
      <c r="P17" s="366"/>
    </row>
    <row r="18" spans="2:16" x14ac:dyDescent="0.3"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  <c r="N18" s="366"/>
      <c r="O18" s="366"/>
      <c r="P18" s="366"/>
    </row>
    <row r="19" spans="2:16" x14ac:dyDescent="0.3">
      <c r="B19" s="517" t="s">
        <v>19</v>
      </c>
      <c r="C19" s="681"/>
      <c r="D19" s="513" t="s">
        <v>4</v>
      </c>
      <c r="E19" s="513" t="s">
        <v>559</v>
      </c>
      <c r="F19" s="513" t="s">
        <v>5</v>
      </c>
      <c r="G19" s="513" t="s">
        <v>560</v>
      </c>
      <c r="H19" s="513" t="s">
        <v>255</v>
      </c>
      <c r="I19" s="366"/>
      <c r="J19" s="366"/>
      <c r="K19" s="366"/>
      <c r="L19" s="366"/>
      <c r="M19" s="366"/>
      <c r="N19" s="366"/>
      <c r="O19" s="366"/>
      <c r="P19" s="366"/>
    </row>
    <row r="20" spans="2:16" x14ac:dyDescent="0.3">
      <c r="B20" s="357" t="s">
        <v>9</v>
      </c>
      <c r="C20" s="356" t="s">
        <v>567</v>
      </c>
      <c r="D20" s="100">
        <f>'Arable margins'!E76</f>
        <v>943.00233600000001</v>
      </c>
      <c r="E20" s="100">
        <f>'Arable margins'!F76</f>
        <v>547.62448399999994</v>
      </c>
      <c r="F20" s="100">
        <f>'Arable margins'!G76</f>
        <v>704.91322685714283</v>
      </c>
      <c r="G20" s="100">
        <f>'Arable margins'!H76</f>
        <v>778.68036799999993</v>
      </c>
      <c r="H20" s="100">
        <f>'Arable margins'!I76</f>
        <v>691.46913599999993</v>
      </c>
      <c r="I20" s="366"/>
      <c r="J20" s="366"/>
      <c r="K20" s="366"/>
      <c r="L20" s="366"/>
      <c r="M20" s="366"/>
      <c r="N20" s="366"/>
      <c r="O20" s="366"/>
      <c r="P20" s="366"/>
    </row>
    <row r="21" spans="2:16" x14ac:dyDescent="0.3"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6"/>
      <c r="M21" s="366"/>
      <c r="N21" s="366"/>
      <c r="O21" s="366"/>
      <c r="P21" s="366"/>
    </row>
    <row r="22" spans="2:16" x14ac:dyDescent="0.3"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  <c r="O22" s="366"/>
      <c r="P22" s="366"/>
    </row>
    <row r="23" spans="2:16" x14ac:dyDescent="0.3">
      <c r="B23" s="517" t="s">
        <v>684</v>
      </c>
      <c r="C23" s="681"/>
      <c r="D23" s="513" t="s">
        <v>4</v>
      </c>
      <c r="E23" s="513" t="s">
        <v>559</v>
      </c>
      <c r="F23" s="513" t="s">
        <v>5</v>
      </c>
      <c r="G23" s="513" t="s">
        <v>560</v>
      </c>
      <c r="H23" s="513" t="s">
        <v>255</v>
      </c>
      <c r="I23" s="366"/>
      <c r="J23" s="366"/>
      <c r="K23" s="366"/>
      <c r="L23" s="366"/>
      <c r="M23" s="366"/>
      <c r="N23" s="366"/>
      <c r="O23" s="366"/>
      <c r="P23" s="366"/>
    </row>
    <row r="24" spans="2:16" x14ac:dyDescent="0.3">
      <c r="B24" s="331" t="s">
        <v>9</v>
      </c>
      <c r="C24" s="333" t="s">
        <v>567</v>
      </c>
      <c r="D24" s="694">
        <f>'Margins summary'!E12</f>
        <v>1441.4549999999999</v>
      </c>
      <c r="E24" s="694">
        <f>'Margins summary'!F12</f>
        <v>963.32500000000005</v>
      </c>
      <c r="F24" s="694">
        <f>'Margins summary'!G12</f>
        <v>622.34900000000005</v>
      </c>
      <c r="G24" s="694">
        <f>'Margins summary'!H12</f>
        <v>494.65500000000003</v>
      </c>
      <c r="H24" s="694">
        <f>'Margins summary'!I12</f>
        <v>886.28571428571433</v>
      </c>
      <c r="I24" s="366"/>
      <c r="J24" s="366"/>
      <c r="K24" s="366"/>
      <c r="L24" s="366"/>
      <c r="M24" s="366"/>
      <c r="N24" s="366"/>
      <c r="O24" s="366"/>
      <c r="P24" s="366"/>
    </row>
    <row r="25" spans="2:16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6" spans="2:16" x14ac:dyDescent="0.3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  <c r="O26" s="366"/>
      <c r="P26" s="366"/>
    </row>
    <row r="27" spans="2:16" x14ac:dyDescent="0.3">
      <c r="B27" s="517" t="s">
        <v>685</v>
      </c>
      <c r="C27" s="681"/>
      <c r="D27" s="513" t="s">
        <v>4</v>
      </c>
      <c r="E27" s="513" t="s">
        <v>559</v>
      </c>
      <c r="F27" s="513" t="s">
        <v>5</v>
      </c>
      <c r="G27" s="513" t="s">
        <v>560</v>
      </c>
      <c r="H27" s="513" t="s">
        <v>255</v>
      </c>
      <c r="I27" s="366"/>
      <c r="J27" s="366"/>
      <c r="K27" s="366"/>
      <c r="L27" s="366"/>
      <c r="M27" s="366"/>
      <c r="N27" s="366"/>
      <c r="O27" s="366"/>
      <c r="P27" s="366"/>
    </row>
    <row r="28" spans="2:16" x14ac:dyDescent="0.3">
      <c r="B28" s="331" t="s">
        <v>9</v>
      </c>
      <c r="C28" s="333" t="s">
        <v>567</v>
      </c>
      <c r="D28" s="694">
        <f>'Margins summary'!E18</f>
        <v>1771.4549999999999</v>
      </c>
      <c r="E28" s="694">
        <f>'Margins summary'!F18</f>
        <v>1293.325</v>
      </c>
      <c r="F28" s="694">
        <f>'Margins summary'!G18</f>
        <v>952.34900000000005</v>
      </c>
      <c r="G28" s="694">
        <f>'Margins summary'!H18</f>
        <v>824.65499999999997</v>
      </c>
      <c r="H28" s="694">
        <f>'Margins summary'!I18</f>
        <v>1216.2857142857142</v>
      </c>
      <c r="I28" s="366"/>
      <c r="J28" s="366"/>
      <c r="K28" s="366"/>
      <c r="L28" s="366"/>
      <c r="M28" s="366"/>
      <c r="N28" s="366"/>
      <c r="O28" s="366"/>
      <c r="P28" s="366"/>
    </row>
    <row r="29" spans="2:16" x14ac:dyDescent="0.3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  <c r="O29" s="366"/>
      <c r="P29" s="366"/>
    </row>
    <row r="30" spans="2:16" x14ac:dyDescent="0.3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  <c r="O30" s="366"/>
      <c r="P30" s="366"/>
    </row>
    <row r="31" spans="2:16" x14ac:dyDescent="0.3">
      <c r="B31" s="366"/>
      <c r="C31" s="517" t="s">
        <v>686</v>
      </c>
      <c r="D31" s="680"/>
      <c r="E31" s="680"/>
      <c r="F31" s="680"/>
      <c r="G31" s="680"/>
      <c r="H31" s="681"/>
      <c r="I31" s="366"/>
      <c r="J31" s="517" t="s">
        <v>687</v>
      </c>
      <c r="K31" s="680"/>
      <c r="L31" s="680"/>
      <c r="M31" s="680"/>
      <c r="N31" s="680"/>
      <c r="O31" s="681"/>
      <c r="P31" s="366"/>
    </row>
    <row r="32" spans="2:16" x14ac:dyDescent="0.3">
      <c r="B32" s="358"/>
      <c r="C32" s="563"/>
      <c r="D32" s="727" t="s">
        <v>4</v>
      </c>
      <c r="E32" s="727" t="s">
        <v>559</v>
      </c>
      <c r="F32" s="727" t="s">
        <v>5</v>
      </c>
      <c r="G32" s="727" t="s">
        <v>560</v>
      </c>
      <c r="H32" s="727" t="s">
        <v>255</v>
      </c>
      <c r="I32" s="366"/>
      <c r="J32" s="563"/>
      <c r="K32" s="727" t="s">
        <v>4</v>
      </c>
      <c r="L32" s="727" t="s">
        <v>559</v>
      </c>
      <c r="M32" s="727" t="s">
        <v>5</v>
      </c>
      <c r="N32" s="727" t="s">
        <v>560</v>
      </c>
      <c r="O32" s="727" t="s">
        <v>255</v>
      </c>
      <c r="P32" s="366"/>
    </row>
    <row r="33" spans="2:16" x14ac:dyDescent="0.3">
      <c r="B33" s="366"/>
      <c r="C33" s="728">
        <v>1</v>
      </c>
      <c r="D33" s="558">
        <f>'Arable NPV'!N13</f>
        <v>-123.89444231578955</v>
      </c>
      <c r="E33" s="558">
        <f>'Arable NPV'!N39</f>
        <v>115.37248968421068</v>
      </c>
      <c r="F33" s="558">
        <f>'Arable NPV'!N65</f>
        <v>-410.3386414566852</v>
      </c>
      <c r="G33" s="558">
        <f>'Arable NPV'!N91</f>
        <v>-539.1026827368421</v>
      </c>
      <c r="H33" s="558">
        <f>'Arable NPV'!N117</f>
        <v>-371.89537171428549</v>
      </c>
      <c r="I33" s="366"/>
      <c r="J33" s="728">
        <v>1</v>
      </c>
      <c r="K33" s="558">
        <f>'Arable NPV'!O13</f>
        <v>206.10555768421045</v>
      </c>
      <c r="L33" s="558">
        <f>'Arable NPV'!O39</f>
        <v>445.37248968421068</v>
      </c>
      <c r="M33" s="558">
        <f>'Arable NPV'!O65</f>
        <v>-80.338641456685195</v>
      </c>
      <c r="N33" s="558">
        <f>'Arable NPV'!O91</f>
        <v>-209.1026827368421</v>
      </c>
      <c r="O33" s="558">
        <f>'Arable NPV'!O117</f>
        <v>-41.895371714285602</v>
      </c>
      <c r="P33" s="366"/>
    </row>
    <row r="34" spans="2:16" x14ac:dyDescent="0.3">
      <c r="B34" s="366"/>
      <c r="C34" s="419">
        <v>2</v>
      </c>
      <c r="D34" s="559">
        <f>'Arable NPV'!N14</f>
        <v>-120.28586632600923</v>
      </c>
      <c r="E34" s="559">
        <f>'Arable NPV'!N40</f>
        <v>112.01212590700061</v>
      </c>
      <c r="F34" s="559">
        <f>'Arable NPV'!N66</f>
        <v>-398.38703054047107</v>
      </c>
      <c r="G34" s="559">
        <f>'Arable NPV'!N92</f>
        <v>-523.40066285130297</v>
      </c>
      <c r="H34" s="559">
        <f>'Arable NPV'!N118</f>
        <v>-361.06346768377233</v>
      </c>
      <c r="I34" s="366"/>
      <c r="J34" s="419">
        <v>2</v>
      </c>
      <c r="K34" s="559">
        <f>'Arable NPV'!O14</f>
        <v>200.10248318855389</v>
      </c>
      <c r="L34" s="559">
        <f>'Arable NPV'!O40</f>
        <v>432.40047542156373</v>
      </c>
      <c r="M34" s="559">
        <f>'Arable NPV'!O66</f>
        <v>-77.998681025907956</v>
      </c>
      <c r="N34" s="559">
        <f>'Arable NPV'!O92</f>
        <v>-203.01231333673985</v>
      </c>
      <c r="O34" s="559">
        <f>'Arable NPV'!O118</f>
        <v>-40.67511816920932</v>
      </c>
      <c r="P34" s="366"/>
    </row>
    <row r="35" spans="2:16" x14ac:dyDescent="0.3">
      <c r="B35" s="366"/>
      <c r="C35" s="419">
        <v>3</v>
      </c>
      <c r="D35" s="559">
        <f>'Arable NPV'!N15</f>
        <v>-116.78239449127113</v>
      </c>
      <c r="E35" s="559">
        <f>'Arable NPV'!N41</f>
        <v>108.7496368029133</v>
      </c>
      <c r="F35" s="559">
        <f>'Arable NPV'!N67</f>
        <v>-386.78352479657383</v>
      </c>
      <c r="G35" s="559">
        <f>'Arable NPV'!N93</f>
        <v>-508.15598335077954</v>
      </c>
      <c r="H35" s="559">
        <f>'Arable NPV'!N119</f>
        <v>-350.54705600366248</v>
      </c>
      <c r="I35" s="366"/>
      <c r="J35" s="419">
        <v>3</v>
      </c>
      <c r="K35" s="559">
        <f>'Arable NPV'!O15</f>
        <v>194.2742555228678</v>
      </c>
      <c r="L35" s="559">
        <f>'Arable NPV'!O41</f>
        <v>419.80628681705224</v>
      </c>
      <c r="M35" s="559">
        <f>'Arable NPV'!O67</f>
        <v>-75.726874782434891</v>
      </c>
      <c r="N35" s="559">
        <f>'Arable NPV'!O93</f>
        <v>-197.0993333366406</v>
      </c>
      <c r="O35" s="559">
        <f>'Arable NPV'!O119</f>
        <v>-39.490405989523616</v>
      </c>
      <c r="P35" s="366"/>
    </row>
    <row r="36" spans="2:16" x14ac:dyDescent="0.3">
      <c r="B36" s="366"/>
      <c r="C36" s="419">
        <v>4</v>
      </c>
      <c r="D36" s="559">
        <f>'Arable NPV'!N16</f>
        <v>-113.38096552550587</v>
      </c>
      <c r="E36" s="559">
        <f>'Arable NPV'!N42</f>
        <v>105.58217165331382</v>
      </c>
      <c r="F36" s="559">
        <f>'Arable NPV'!N68</f>
        <v>-375.51798523939215</v>
      </c>
      <c r="G36" s="559">
        <f>'Arable NPV'!N94</f>
        <v>-493.35532364153357</v>
      </c>
      <c r="H36" s="559">
        <f>'Arable NPV'!N120</f>
        <v>-340.3369475763713</v>
      </c>
      <c r="I36" s="366"/>
      <c r="J36" s="419">
        <v>4</v>
      </c>
      <c r="K36" s="559">
        <f>'Arable NPV'!O16</f>
        <v>188.61578206103678</v>
      </c>
      <c r="L36" s="559">
        <f>'Arable NPV'!O42</f>
        <v>407.57891923985648</v>
      </c>
      <c r="M36" s="559">
        <f>'Arable NPV'!O68</f>
        <v>-73.521237652849493</v>
      </c>
      <c r="N36" s="559">
        <f>'Arable NPV'!O94</f>
        <v>-191.35857605499092</v>
      </c>
      <c r="O36" s="559">
        <f>'Arable NPV'!O120</f>
        <v>-38.340199989828754</v>
      </c>
      <c r="P36" s="366"/>
    </row>
    <row r="37" spans="2:16" x14ac:dyDescent="0.3">
      <c r="B37" s="366"/>
      <c r="C37" s="419">
        <v>5</v>
      </c>
      <c r="D37" s="559">
        <f>'Arable NPV'!N17</f>
        <v>-110.07860730631637</v>
      </c>
      <c r="E37" s="559">
        <f>'Arable NPV'!N43</f>
        <v>102.50696277020756</v>
      </c>
      <c r="F37" s="559">
        <f>'Arable NPV'!N69</f>
        <v>-364.58056819358455</v>
      </c>
      <c r="G37" s="559">
        <f>'Arable NPV'!N95</f>
        <v>-478.985751108285</v>
      </c>
      <c r="H37" s="559">
        <f>'Arable NPV'!N121</f>
        <v>-330.42422094793335</v>
      </c>
      <c r="I37" s="366"/>
      <c r="J37" s="419">
        <v>5</v>
      </c>
      <c r="K37" s="559">
        <f>'Arable NPV'!O17</f>
        <v>183.12211850586101</v>
      </c>
      <c r="L37" s="559">
        <f>'Arable NPV'!O43</f>
        <v>395.70768858238495</v>
      </c>
      <c r="M37" s="559">
        <f>'Arable NPV'!O69</f>
        <v>-71.379842381407173</v>
      </c>
      <c r="N37" s="559">
        <f>'Arable NPV'!O95</f>
        <v>-185.78502529610762</v>
      </c>
      <c r="O37" s="559">
        <f>'Arable NPV'!O121</f>
        <v>-37.223495135756075</v>
      </c>
      <c r="P37" s="366"/>
    </row>
    <row r="38" spans="2:16" x14ac:dyDescent="0.3">
      <c r="B38" s="366"/>
      <c r="C38" s="419">
        <v>6</v>
      </c>
      <c r="D38" s="559">
        <f>'Arable NPV'!N18</f>
        <v>-106.87243427797716</v>
      </c>
      <c r="E38" s="559">
        <f>'Arable NPV'!N44</f>
        <v>99.521323077871557</v>
      </c>
      <c r="F38" s="559">
        <f>'Arable NPV'!N70</f>
        <v>-353.96171669280056</v>
      </c>
      <c r="G38" s="559">
        <f>'Arable NPV'!N96</f>
        <v>-465.03470981386903</v>
      </c>
      <c r="H38" s="559">
        <f>'Arable NPV'!N122</f>
        <v>-320.80021451255664</v>
      </c>
      <c r="I38" s="366"/>
      <c r="J38" s="419">
        <v>6</v>
      </c>
      <c r="K38" s="559">
        <f>'Arable NPV'!O18</f>
        <v>177.788464568797</v>
      </c>
      <c r="L38" s="559">
        <f>'Arable NPV'!O44</f>
        <v>384.18222192464572</v>
      </c>
      <c r="M38" s="559">
        <f>'Arable NPV'!O70</f>
        <v>-69.300817846026405</v>
      </c>
      <c r="N38" s="559">
        <f>'Arable NPV'!O96</f>
        <v>-180.37381096709487</v>
      </c>
      <c r="O38" s="559">
        <f>'Arable NPV'!O122</f>
        <v>-36.139315665782597</v>
      </c>
      <c r="P38" s="366"/>
    </row>
    <row r="39" spans="2:16" x14ac:dyDescent="0.3">
      <c r="B39" s="366"/>
      <c r="C39" s="419">
        <v>7</v>
      </c>
      <c r="D39" s="559">
        <f>'Arable NPV'!N19</f>
        <v>-103.75964493007473</v>
      </c>
      <c r="E39" s="559">
        <f>'Arable NPV'!N45</f>
        <v>96.622643764923737</v>
      </c>
      <c r="F39" s="559">
        <f>'Arable NPV'!N71</f>
        <v>-343.65215212893258</v>
      </c>
      <c r="G39" s="559">
        <f>'Arable NPV'!N97</f>
        <v>-451.49000952802811</v>
      </c>
      <c r="H39" s="559">
        <f>'Arable NPV'!N123</f>
        <v>-311.45651894422974</v>
      </c>
      <c r="I39" s="366"/>
      <c r="J39" s="419">
        <v>7</v>
      </c>
      <c r="K39" s="559">
        <f>'Arable NPV'!O19</f>
        <v>172.6101597755312</v>
      </c>
      <c r="L39" s="559">
        <f>'Arable NPV'!O45</f>
        <v>372.99244847052967</v>
      </c>
      <c r="M39" s="559">
        <f>'Arable NPV'!O71</f>
        <v>-67.282347423326655</v>
      </c>
      <c r="N39" s="559">
        <f>'Arable NPV'!O97</f>
        <v>-175.12020482242218</v>
      </c>
      <c r="O39" s="559">
        <f>'Arable NPV'!O123</f>
        <v>-35.086714238623877</v>
      </c>
      <c r="P39" s="366"/>
    </row>
    <row r="40" spans="2:16" x14ac:dyDescent="0.3">
      <c r="B40" s="366"/>
      <c r="C40" s="419">
        <v>8</v>
      </c>
      <c r="D40" s="559">
        <f>'Arable NPV'!N20</f>
        <v>-100.73751934958727</v>
      </c>
      <c r="E40" s="559">
        <f>'Arable NPV'!N46</f>
        <v>93.80839200478033</v>
      </c>
      <c r="F40" s="559">
        <f>'Arable NPV'!N72</f>
        <v>-333.64286614459468</v>
      </c>
      <c r="G40" s="559">
        <f>'Arable NPV'!N98</f>
        <v>-438.33981507575538</v>
      </c>
      <c r="H40" s="559">
        <f>'Arable NPV'!N124</f>
        <v>-302.38496984876673</v>
      </c>
      <c r="I40" s="366"/>
      <c r="J40" s="419">
        <v>8</v>
      </c>
      <c r="K40" s="559">
        <f>'Arable NPV'!O20</f>
        <v>167.58267939371945</v>
      </c>
      <c r="L40" s="559">
        <f>'Arable NPV'!O46</f>
        <v>362.12859074808705</v>
      </c>
      <c r="M40" s="559">
        <f>'Arable NPV'!O72</f>
        <v>-65.322667401287958</v>
      </c>
      <c r="N40" s="559">
        <f>'Arable NPV'!O98</f>
        <v>-170.01961633244866</v>
      </c>
      <c r="O40" s="559">
        <f>'Arable NPV'!O124</f>
        <v>-34.064771105460075</v>
      </c>
      <c r="P40" s="366"/>
    </row>
    <row r="41" spans="2:16" x14ac:dyDescent="0.3">
      <c r="B41" s="366"/>
      <c r="C41" s="419">
        <v>9</v>
      </c>
      <c r="D41" s="559">
        <f>'Arable NPV'!N21</f>
        <v>-97.803416844259345</v>
      </c>
      <c r="E41" s="559">
        <f>'Arable NPV'!N47</f>
        <v>91.076108742505198</v>
      </c>
      <c r="F41" s="559">
        <f>'Arable NPV'!N73</f>
        <v>-323.92511276174247</v>
      </c>
      <c r="G41" s="559">
        <f>'Arable NPV'!N99</f>
        <v>-425.57263599587912</v>
      </c>
      <c r="H41" s="559">
        <f>'Arable NPV'!N125</f>
        <v>-293.57764062987064</v>
      </c>
      <c r="I41" s="366"/>
      <c r="J41" s="419">
        <v>9</v>
      </c>
      <c r="K41" s="559">
        <f>'Arable NPV'!O21</f>
        <v>162.70163047933949</v>
      </c>
      <c r="L41" s="559">
        <f>'Arable NPV'!O47</f>
        <v>351.58115606610403</v>
      </c>
      <c r="M41" s="559">
        <f>'Arable NPV'!O73</f>
        <v>-63.420065438143638</v>
      </c>
      <c r="N41" s="559">
        <f>'Arable NPV'!O99</f>
        <v>-165.06758867228029</v>
      </c>
      <c r="O41" s="559">
        <f>'Arable NPV'!O125</f>
        <v>-33.072593306271919</v>
      </c>
      <c r="P41" s="366"/>
    </row>
    <row r="42" spans="2:16" x14ac:dyDescent="0.3">
      <c r="B42" s="366"/>
      <c r="C42" s="419">
        <v>10</v>
      </c>
      <c r="D42" s="559">
        <f>'Arable NPV'!N22</f>
        <v>-94.95477363520331</v>
      </c>
      <c r="E42" s="559">
        <f>'Arable NPV'!N48</f>
        <v>88.423406546121555</v>
      </c>
      <c r="F42" s="559">
        <f>'Arable NPV'!N74</f>
        <v>-314.49040073955575</v>
      </c>
      <c r="G42" s="559">
        <f>'Arable NPV'!N100</f>
        <v>-413.17731650085352</v>
      </c>
      <c r="H42" s="559">
        <f>'Arable NPV'!N126</f>
        <v>-285.0268355629812</v>
      </c>
      <c r="I42" s="366"/>
      <c r="J42" s="419">
        <v>10</v>
      </c>
      <c r="K42" s="559">
        <f>'Arable NPV'!O22</f>
        <v>157.96274803819358</v>
      </c>
      <c r="L42" s="559">
        <f>'Arable NPV'!O48</f>
        <v>341.34092821951845</v>
      </c>
      <c r="M42" s="559">
        <f>'Arable NPV'!O74</f>
        <v>-61.572879066158862</v>
      </c>
      <c r="N42" s="559">
        <f>'Arable NPV'!O100</f>
        <v>-160.25979482745663</v>
      </c>
      <c r="O42" s="559">
        <f>'Arable NPV'!O126</f>
        <v>-32.109313889584385</v>
      </c>
      <c r="P42" s="366"/>
    </row>
    <row r="43" spans="2:16" x14ac:dyDescent="0.3">
      <c r="B43" s="366"/>
      <c r="C43" s="419">
        <v>11</v>
      </c>
      <c r="D43" s="559">
        <f>'Arable NPV'!N23</f>
        <v>-92.189100616702262</v>
      </c>
      <c r="E43" s="559">
        <f>'Arable NPV'!N49</f>
        <v>85.847967520506359</v>
      </c>
      <c r="F43" s="559">
        <f>'Arable NPV'!N75</f>
        <v>-305.33048615490856</v>
      </c>
      <c r="G43" s="559">
        <f>'Arable NPV'!N101</f>
        <v>-401.14302572898401</v>
      </c>
      <c r="H43" s="559">
        <f>'Arable NPV'!N127</f>
        <v>-276.72508307085553</v>
      </c>
      <c r="I43" s="366"/>
      <c r="J43" s="419">
        <v>11</v>
      </c>
      <c r="K43" s="559">
        <f>'Arable NPV'!O23</f>
        <v>153.36189129921706</v>
      </c>
      <c r="L43" s="559">
        <f>'Arable NPV'!O49</f>
        <v>331.39895943642568</v>
      </c>
      <c r="M43" s="559">
        <f>'Arable NPV'!O75</f>
        <v>-59.77949423898923</v>
      </c>
      <c r="N43" s="559">
        <f>'Arable NPV'!O101</f>
        <v>-155.59203381306469</v>
      </c>
      <c r="O43" s="559">
        <f>'Arable NPV'!O127</f>
        <v>-31.174091154936299</v>
      </c>
      <c r="P43" s="366"/>
    </row>
    <row r="44" spans="2:16" x14ac:dyDescent="0.3">
      <c r="B44" s="366"/>
      <c r="C44" s="419">
        <v>12</v>
      </c>
      <c r="D44" s="559">
        <f>'Arable NPV'!N24</f>
        <v>-89.503981181264407</v>
      </c>
      <c r="E44" s="559">
        <f>'Arable NPV'!N50</f>
        <v>83.347541282044972</v>
      </c>
      <c r="F44" s="559">
        <f>'Arable NPV'!N76</f>
        <v>-296.43736519894031</v>
      </c>
      <c r="G44" s="559">
        <f>'Arable NPV'!N102</f>
        <v>-389.45924828056695</v>
      </c>
      <c r="H44" s="559">
        <f>'Arable NPV'!N128</f>
        <v>-268.66512919500536</v>
      </c>
      <c r="I44" s="366"/>
      <c r="J44" s="419">
        <v>12</v>
      </c>
      <c r="K44" s="559">
        <f>'Arable NPV'!O24</f>
        <v>148.89504009632714</v>
      </c>
      <c r="L44" s="559">
        <f>'Arable NPV'!O50</f>
        <v>321.74656255963652</v>
      </c>
      <c r="M44" s="559">
        <f>'Arable NPV'!O76</f>
        <v>-58.038343921348769</v>
      </c>
      <c r="N44" s="559">
        <f>'Arable NPV'!O102</f>
        <v>-151.06022700297541</v>
      </c>
      <c r="O44" s="559">
        <f>'Arable NPV'!O128</f>
        <v>-30.26610791741388</v>
      </c>
      <c r="P44" s="366"/>
    </row>
    <row r="45" spans="2:16" x14ac:dyDescent="0.3">
      <c r="B45" s="366"/>
      <c r="C45" s="419">
        <v>13</v>
      </c>
      <c r="D45" s="559">
        <f>'Arable NPV'!N25</f>
        <v>-86.897069108023743</v>
      </c>
      <c r="E45" s="559">
        <f>'Arable NPV'!N51</f>
        <v>80.919942992276674</v>
      </c>
      <c r="F45" s="559">
        <f>'Arable NPV'!N77</f>
        <v>-287.80326718343724</v>
      </c>
      <c r="G45" s="559">
        <f>'Arable NPV'!N103</f>
        <v>-378.11577502967674</v>
      </c>
      <c r="H45" s="559">
        <f>'Arable NPV'!N129</f>
        <v>-260.83993125728682</v>
      </c>
      <c r="I45" s="366"/>
      <c r="J45" s="419">
        <v>13</v>
      </c>
      <c r="K45" s="559">
        <f>'Arable NPV'!O25</f>
        <v>144.55829135565742</v>
      </c>
      <c r="L45" s="559">
        <f>'Arable NPV'!O51</f>
        <v>312.37530345595781</v>
      </c>
      <c r="M45" s="559">
        <f>'Arable NPV'!O77</f>
        <v>-56.347906719756082</v>
      </c>
      <c r="N45" s="559">
        <f>'Arable NPV'!O103</f>
        <v>-146.66041456599558</v>
      </c>
      <c r="O45" s="559">
        <f>'Arable NPV'!O129</f>
        <v>-29.384570793605715</v>
      </c>
      <c r="P45" s="366"/>
    </row>
    <row r="46" spans="2:16" x14ac:dyDescent="0.3">
      <c r="B46" s="366"/>
      <c r="C46" s="419">
        <v>14</v>
      </c>
      <c r="D46" s="559">
        <f>'Arable NPV'!N26</f>
        <v>-84.366086512644415</v>
      </c>
      <c r="E46" s="559">
        <f>'Arable NPV'!N52</f>
        <v>78.563051448812416</v>
      </c>
      <c r="F46" s="559">
        <f>'Arable NPV'!N78</f>
        <v>-279.42064775090989</v>
      </c>
      <c r="G46" s="559">
        <f>'Arable NPV'!N104</f>
        <v>-367.10269420356963</v>
      </c>
      <c r="H46" s="559">
        <f>'Arable NPV'!N130</f>
        <v>-253.24265170610369</v>
      </c>
      <c r="I46" s="366"/>
      <c r="J46" s="419">
        <v>14</v>
      </c>
      <c r="K46" s="559">
        <f>'Arable NPV'!O26</f>
        <v>140.34785568510429</v>
      </c>
      <c r="L46" s="559">
        <f>'Arable NPV'!O52</f>
        <v>303.2769936465611</v>
      </c>
      <c r="M46" s="559">
        <f>'Arable NPV'!O78</f>
        <v>-54.706705553161186</v>
      </c>
      <c r="N46" s="559">
        <f>'Arable NPV'!O104</f>
        <v>-142.38875200582092</v>
      </c>
      <c r="O46" s="559">
        <f>'Arable NPV'!O130</f>
        <v>-28.528709508355064</v>
      </c>
      <c r="P46" s="366"/>
    </row>
    <row r="47" spans="2:16" x14ac:dyDescent="0.3">
      <c r="B47" s="366"/>
      <c r="C47" s="419">
        <v>15</v>
      </c>
      <c r="D47" s="559">
        <f>'Arable NPV'!N27</f>
        <v>-81.908821856936243</v>
      </c>
      <c r="E47" s="559">
        <f>'Arable NPV'!N53</f>
        <v>76.274807231856698</v>
      </c>
      <c r="F47" s="559">
        <f>'Arable NPV'!N79</f>
        <v>-271.28218228243679</v>
      </c>
      <c r="G47" s="559">
        <f>'Arable NPV'!N105</f>
        <v>-356.41038272191224</v>
      </c>
      <c r="H47" s="559">
        <f>'Arable NPV'!N131</f>
        <v>-245.86665214184822</v>
      </c>
      <c r="I47" s="366"/>
      <c r="J47" s="419">
        <v>15</v>
      </c>
      <c r="K47" s="559">
        <f>'Arable NPV'!O27</f>
        <v>136.26005406320812</v>
      </c>
      <c r="L47" s="559">
        <f>'Arable NPV'!O53</f>
        <v>294.44368315200109</v>
      </c>
      <c r="M47" s="559">
        <f>'Arable NPV'!O79</f>
        <v>-53.113306362292434</v>
      </c>
      <c r="N47" s="559">
        <f>'Arable NPV'!O105</f>
        <v>-138.24150680176788</v>
      </c>
      <c r="O47" s="559">
        <f>'Arable NPV'!O131</f>
        <v>-27.697776221703943</v>
      </c>
      <c r="P47" s="366"/>
    </row>
    <row r="48" spans="2:16" x14ac:dyDescent="0.3">
      <c r="B48" s="366"/>
      <c r="C48" s="560">
        <v>16</v>
      </c>
      <c r="D48" s="566">
        <f>'Arable NPV'!N28</f>
        <v>-79.523128016442911</v>
      </c>
      <c r="E48" s="566">
        <f>'Arable NPV'!N54</f>
        <v>74.053210904715229</v>
      </c>
      <c r="F48" s="566">
        <f>'Arable NPV'!N80</f>
        <v>-263.38075949751146</v>
      </c>
      <c r="G48" s="566">
        <f>'Arable NPV'!N106</f>
        <v>-346.02949778826434</v>
      </c>
      <c r="H48" s="566">
        <f>'Arable NPV'!N132</f>
        <v>-238.70548751635749</v>
      </c>
      <c r="I48" s="366"/>
      <c r="J48" s="560">
        <v>16</v>
      </c>
      <c r="K48" s="566">
        <f>'Arable NPV'!O28</f>
        <v>132.29131462447393</v>
      </c>
      <c r="L48" s="566">
        <f>'Arable NPV'!O54</f>
        <v>285.86765354563204</v>
      </c>
      <c r="M48" s="566">
        <f>'Arable NPV'!O80</f>
        <v>-51.566316856594625</v>
      </c>
      <c r="N48" s="566">
        <f>'Arable NPV'!O106</f>
        <v>-134.2150551473475</v>
      </c>
      <c r="O48" s="566">
        <f>'Arable NPV'!O132</f>
        <v>-26.89104487544072</v>
      </c>
      <c r="P48" s="366"/>
    </row>
    <row r="49" spans="2:16" x14ac:dyDescent="0.3">
      <c r="B49" s="366"/>
      <c r="C49" s="366"/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</row>
    <row r="50" spans="2:16" x14ac:dyDescent="0.3"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</row>
    <row r="51" spans="2:16" x14ac:dyDescent="0.3">
      <c r="B51" s="366"/>
      <c r="C51" s="517" t="s">
        <v>688</v>
      </c>
      <c r="D51" s="680"/>
      <c r="E51" s="680"/>
      <c r="F51" s="680"/>
      <c r="G51" s="680"/>
      <c r="H51" s="681"/>
      <c r="I51" s="366"/>
      <c r="J51" s="517" t="s">
        <v>686</v>
      </c>
      <c r="K51" s="680"/>
      <c r="L51" s="680"/>
      <c r="M51" s="680"/>
      <c r="N51" s="680"/>
      <c r="O51" s="681"/>
      <c r="P51" s="366"/>
    </row>
    <row r="52" spans="2:16" x14ac:dyDescent="0.3">
      <c r="B52" s="366"/>
      <c r="C52" s="729"/>
      <c r="D52" s="727" t="s">
        <v>4</v>
      </c>
      <c r="E52" s="727" t="s">
        <v>559</v>
      </c>
      <c r="F52" s="727" t="s">
        <v>5</v>
      </c>
      <c r="G52" s="727" t="s">
        <v>560</v>
      </c>
      <c r="H52" s="727" t="s">
        <v>255</v>
      </c>
      <c r="I52" s="366"/>
      <c r="J52" s="729"/>
      <c r="K52" s="727" t="s">
        <v>4</v>
      </c>
      <c r="L52" s="727" t="s">
        <v>559</v>
      </c>
      <c r="M52" s="727" t="s">
        <v>5</v>
      </c>
      <c r="N52" s="727" t="s">
        <v>560</v>
      </c>
      <c r="O52" s="727" t="s">
        <v>255</v>
      </c>
      <c r="P52" s="366"/>
    </row>
    <row r="53" spans="2:16" x14ac:dyDescent="0.3">
      <c r="B53" s="366"/>
      <c r="C53" s="728">
        <v>1</v>
      </c>
      <c r="D53" s="558">
        <f>'Arable NPV'!S13</f>
        <v>-123.89444231578955</v>
      </c>
      <c r="E53" s="558">
        <f>'Arable NPV'!S39</f>
        <v>115.37248968421068</v>
      </c>
      <c r="F53" s="558">
        <f>'Arable NPV'!S65</f>
        <v>-410.3386414566852</v>
      </c>
      <c r="G53" s="558">
        <f>'Arable NPV'!S91</f>
        <v>-539.1026827368421</v>
      </c>
      <c r="H53" s="558">
        <f>'Arable NPV'!S117</f>
        <v>-371.89537171428549</v>
      </c>
      <c r="I53" s="366"/>
      <c r="J53" s="728">
        <v>1</v>
      </c>
      <c r="K53" s="558">
        <f>'Arable NPV'!T13</f>
        <v>206.10555768421045</v>
      </c>
      <c r="L53" s="558">
        <f>'Arable NPV'!T39</f>
        <v>445.37248968421068</v>
      </c>
      <c r="M53" s="558">
        <f>'Arable NPV'!T65</f>
        <v>-80.338641456685195</v>
      </c>
      <c r="N53" s="558">
        <f>'Arable NPV'!T91</f>
        <v>-209.1026827368421</v>
      </c>
      <c r="O53" s="558">
        <f>'Arable NPV'!T117</f>
        <v>-41.895371714285602</v>
      </c>
      <c r="P53" s="366"/>
    </row>
    <row r="54" spans="2:16" x14ac:dyDescent="0.3">
      <c r="B54" s="366"/>
      <c r="C54" s="419">
        <v>2</v>
      </c>
      <c r="D54" s="559">
        <f>'Arable NPV'!S14</f>
        <v>-244.18030864179877</v>
      </c>
      <c r="E54" s="559">
        <f>'Arable NPV'!S40</f>
        <v>227.38461559121129</v>
      </c>
      <c r="F54" s="559">
        <f>'Arable NPV'!S66</f>
        <v>-808.72567199715627</v>
      </c>
      <c r="G54" s="559">
        <f>'Arable NPV'!S92</f>
        <v>-1062.5033455881451</v>
      </c>
      <c r="H54" s="559">
        <f>'Arable NPV'!S118</f>
        <v>-732.95883939805776</v>
      </c>
      <c r="I54" s="366"/>
      <c r="J54" s="419">
        <v>2</v>
      </c>
      <c r="K54" s="559">
        <f>'Arable NPV'!T14</f>
        <v>406.20804087276434</v>
      </c>
      <c r="L54" s="559">
        <f>'Arable NPV'!T40</f>
        <v>877.77296510577435</v>
      </c>
      <c r="M54" s="559">
        <f>'Arable NPV'!T66</f>
        <v>-158.33732248259315</v>
      </c>
      <c r="N54" s="559">
        <f>'Arable NPV'!T92</f>
        <v>-412.11499607358195</v>
      </c>
      <c r="O54" s="559">
        <f>'Arable NPV'!T118</f>
        <v>-82.570489883494929</v>
      </c>
      <c r="P54" s="366"/>
    </row>
    <row r="55" spans="2:16" x14ac:dyDescent="0.3">
      <c r="B55" s="366"/>
      <c r="C55" s="419">
        <v>3</v>
      </c>
      <c r="D55" s="559">
        <f>'Arable NPV'!S15</f>
        <v>-360.96270313306991</v>
      </c>
      <c r="E55" s="559">
        <f>'Arable NPV'!S41</f>
        <v>336.13425239412459</v>
      </c>
      <c r="F55" s="559">
        <f>'Arable NPV'!S67</f>
        <v>-1195.5091967937301</v>
      </c>
      <c r="G55" s="559">
        <f>'Arable NPV'!S93</f>
        <v>-1570.6593289389245</v>
      </c>
      <c r="H55" s="559">
        <f>'Arable NPV'!S119</f>
        <v>-1083.5058954017202</v>
      </c>
      <c r="I55" s="366"/>
      <c r="J55" s="419">
        <v>3</v>
      </c>
      <c r="K55" s="559">
        <f>'Arable NPV'!T15</f>
        <v>600.48229639563215</v>
      </c>
      <c r="L55" s="559">
        <f>'Arable NPV'!T41</f>
        <v>1297.5792519228266</v>
      </c>
      <c r="M55" s="559">
        <f>'Arable NPV'!T67</f>
        <v>-234.06419726502804</v>
      </c>
      <c r="N55" s="559">
        <f>'Arable NPV'!T93</f>
        <v>-609.21432941022249</v>
      </c>
      <c r="O55" s="559">
        <f>'Arable NPV'!T119</f>
        <v>-122.06089587301855</v>
      </c>
      <c r="P55" s="366"/>
    </row>
    <row r="56" spans="2:16" x14ac:dyDescent="0.3">
      <c r="B56" s="366"/>
      <c r="C56" s="419">
        <v>4</v>
      </c>
      <c r="D56" s="559">
        <f>'Arable NPV'!S16</f>
        <v>-474.34366865857578</v>
      </c>
      <c r="E56" s="559">
        <f>'Arable NPV'!S42</f>
        <v>441.71642404743841</v>
      </c>
      <c r="F56" s="559">
        <f>'Arable NPV'!S68</f>
        <v>-1571.0271820331222</v>
      </c>
      <c r="G56" s="559">
        <f>'Arable NPV'!S94</f>
        <v>-2064.014652580458</v>
      </c>
      <c r="H56" s="559">
        <f>'Arable NPV'!S120</f>
        <v>-1423.8428429780915</v>
      </c>
      <c r="I56" s="366"/>
      <c r="J56" s="419">
        <v>4</v>
      </c>
      <c r="K56" s="559">
        <f>'Arable NPV'!T16</f>
        <v>789.09807845666887</v>
      </c>
      <c r="L56" s="559">
        <f>'Arable NPV'!T42</f>
        <v>1705.1581711626832</v>
      </c>
      <c r="M56" s="559">
        <f>'Arable NPV'!T68</f>
        <v>-307.58543491787754</v>
      </c>
      <c r="N56" s="559">
        <f>'Arable NPV'!T94</f>
        <v>-800.57290546521335</v>
      </c>
      <c r="O56" s="559">
        <f>'Arable NPV'!T120</f>
        <v>-160.40109586284731</v>
      </c>
      <c r="P56" s="366"/>
    </row>
    <row r="57" spans="2:16" x14ac:dyDescent="0.3">
      <c r="B57" s="366"/>
      <c r="C57" s="419">
        <v>5</v>
      </c>
      <c r="D57" s="559">
        <f>'Arable NPV'!S17</f>
        <v>-584.42227596489215</v>
      </c>
      <c r="E57" s="559">
        <f>'Arable NPV'!S43</f>
        <v>544.22338681764597</v>
      </c>
      <c r="F57" s="559">
        <f>'Arable NPV'!S69</f>
        <v>-1935.6077502267067</v>
      </c>
      <c r="G57" s="559">
        <f>'Arable NPV'!S95</f>
        <v>-2543.0004036887431</v>
      </c>
      <c r="H57" s="559">
        <f>'Arable NPV'!S121</f>
        <v>-1754.267063926025</v>
      </c>
      <c r="I57" s="366"/>
      <c r="J57" s="419">
        <v>5</v>
      </c>
      <c r="K57" s="559">
        <f>'Arable NPV'!T17</f>
        <v>972.22019696252983</v>
      </c>
      <c r="L57" s="559">
        <f>'Arable NPV'!T43</f>
        <v>2100.8658597450681</v>
      </c>
      <c r="M57" s="559">
        <f>'Arable NPV'!T69</f>
        <v>-378.96527729928471</v>
      </c>
      <c r="N57" s="559">
        <f>'Arable NPV'!T95</f>
        <v>-986.35793076132097</v>
      </c>
      <c r="O57" s="559">
        <f>'Arable NPV'!T121</f>
        <v>-197.6245909986034</v>
      </c>
      <c r="P57" s="366"/>
    </row>
    <row r="58" spans="2:16" x14ac:dyDescent="0.3">
      <c r="B58" s="366"/>
      <c r="C58" s="419">
        <v>6</v>
      </c>
      <c r="D58" s="559">
        <f>'Arable NPV'!S18</f>
        <v>-691.29471024286931</v>
      </c>
      <c r="E58" s="559">
        <f>'Arable NPV'!S44</f>
        <v>643.74470989551753</v>
      </c>
      <c r="F58" s="559">
        <f>'Arable NPV'!S70</f>
        <v>-2289.5694669195072</v>
      </c>
      <c r="G58" s="559">
        <f>'Arable NPV'!S96</f>
        <v>-3008.0351135026121</v>
      </c>
      <c r="H58" s="559">
        <f>'Arable NPV'!S122</f>
        <v>-2075.0672784385815</v>
      </c>
      <c r="I58" s="366"/>
      <c r="J58" s="419">
        <v>6</v>
      </c>
      <c r="K58" s="559">
        <f>'Arable NPV'!T18</f>
        <v>1150.0086615313269</v>
      </c>
      <c r="L58" s="559">
        <f>'Arable NPV'!T44</f>
        <v>2485.0480816697136</v>
      </c>
      <c r="M58" s="559">
        <f>'Arable NPV'!T70</f>
        <v>-448.26609514531111</v>
      </c>
      <c r="N58" s="559">
        <f>'Arable NPV'!T96</f>
        <v>-1166.7317417284157</v>
      </c>
      <c r="O58" s="559">
        <f>'Arable NPV'!T122</f>
        <v>-233.76390666438598</v>
      </c>
      <c r="P58" s="366"/>
    </row>
    <row r="59" spans="2:16" x14ac:dyDescent="0.3">
      <c r="B59" s="366"/>
      <c r="C59" s="419">
        <v>7</v>
      </c>
      <c r="D59" s="559">
        <f>'Arable NPV'!S19</f>
        <v>-795.05435517294404</v>
      </c>
      <c r="E59" s="559">
        <f>'Arable NPV'!S45</f>
        <v>740.36735366044127</v>
      </c>
      <c r="F59" s="559">
        <f>'Arable NPV'!S71</f>
        <v>-2633.2216190484396</v>
      </c>
      <c r="G59" s="559">
        <f>'Arable NPV'!S97</f>
        <v>-3459.5251230306403</v>
      </c>
      <c r="H59" s="559">
        <f>'Arable NPV'!S123</f>
        <v>-2386.5237973828112</v>
      </c>
      <c r="I59" s="366"/>
      <c r="J59" s="419">
        <v>7</v>
      </c>
      <c r="K59" s="559">
        <f>'Arable NPV'!T19</f>
        <v>1322.6188213068581</v>
      </c>
      <c r="L59" s="559">
        <f>'Arable NPV'!T45</f>
        <v>2858.0405301402434</v>
      </c>
      <c r="M59" s="559">
        <f>'Arable NPV'!T71</f>
        <v>-515.54844256863771</v>
      </c>
      <c r="N59" s="559">
        <f>'Arable NPV'!T97</f>
        <v>-1341.851946550838</v>
      </c>
      <c r="O59" s="559">
        <f>'Arable NPV'!T123</f>
        <v>-268.85062090300988</v>
      </c>
      <c r="P59" s="366"/>
    </row>
    <row r="60" spans="2:16" x14ac:dyDescent="0.3">
      <c r="B60" s="366"/>
      <c r="C60" s="419">
        <v>8</v>
      </c>
      <c r="D60" s="559">
        <f>'Arable NPV'!S20</f>
        <v>-895.79187452253132</v>
      </c>
      <c r="E60" s="559">
        <f>'Arable NPV'!S46</f>
        <v>834.1757456652216</v>
      </c>
      <c r="F60" s="559">
        <f>'Arable NPV'!S72</f>
        <v>-2966.8644851930344</v>
      </c>
      <c r="G60" s="559">
        <f>'Arable NPV'!S98</f>
        <v>-3897.8649381063956</v>
      </c>
      <c r="H60" s="559">
        <f>'Arable NPV'!S124</f>
        <v>-2688.9087672315777</v>
      </c>
      <c r="I60" s="366"/>
      <c r="J60" s="419">
        <v>8</v>
      </c>
      <c r="K60" s="559">
        <f>'Arable NPV'!T20</f>
        <v>1490.2015007005775</v>
      </c>
      <c r="L60" s="559">
        <f>'Arable NPV'!T46</f>
        <v>3220.1691208883303</v>
      </c>
      <c r="M60" s="559">
        <f>'Arable NPV'!T72</f>
        <v>-580.87110996992567</v>
      </c>
      <c r="N60" s="559">
        <f>'Arable NPV'!T98</f>
        <v>-1511.8715628832865</v>
      </c>
      <c r="O60" s="559">
        <f>'Arable NPV'!T124</f>
        <v>-302.91539200846995</v>
      </c>
      <c r="P60" s="366"/>
    </row>
    <row r="61" spans="2:16" x14ac:dyDescent="0.3">
      <c r="B61" s="366"/>
      <c r="C61" s="419">
        <v>9</v>
      </c>
      <c r="D61" s="559">
        <f>'Arable NPV'!S21</f>
        <v>-993.59529136679066</v>
      </c>
      <c r="E61" s="559">
        <f>'Arable NPV'!S47</f>
        <v>925.2518544077268</v>
      </c>
      <c r="F61" s="559">
        <f>'Arable NPV'!S73</f>
        <v>-3290.789597954777</v>
      </c>
      <c r="G61" s="559">
        <f>'Arable NPV'!S99</f>
        <v>-4323.437574102275</v>
      </c>
      <c r="H61" s="559">
        <f>'Arable NPV'!S125</f>
        <v>-2982.4864078614482</v>
      </c>
      <c r="I61" s="366"/>
      <c r="J61" s="419">
        <v>9</v>
      </c>
      <c r="K61" s="559">
        <f>'Arable NPV'!T21</f>
        <v>1652.903131179917</v>
      </c>
      <c r="L61" s="559">
        <f>'Arable NPV'!T47</f>
        <v>3571.7502769544344</v>
      </c>
      <c r="M61" s="559">
        <f>'Arable NPV'!T73</f>
        <v>-644.29117540806931</v>
      </c>
      <c r="N61" s="559">
        <f>'Arable NPV'!T99</f>
        <v>-1676.9391515555667</v>
      </c>
      <c r="O61" s="559">
        <f>'Arable NPV'!T125</f>
        <v>-335.98798531474188</v>
      </c>
      <c r="P61" s="366"/>
    </row>
    <row r="62" spans="2:16" x14ac:dyDescent="0.3">
      <c r="B62" s="366"/>
      <c r="C62" s="419">
        <v>10</v>
      </c>
      <c r="D62" s="559">
        <f>'Arable NPV'!S22</f>
        <v>-1088.550065001994</v>
      </c>
      <c r="E62" s="559">
        <f>'Arable NPV'!S48</f>
        <v>1013.6752609538484</v>
      </c>
      <c r="F62" s="559">
        <f>'Arable NPV'!S74</f>
        <v>-3605.2799986943328</v>
      </c>
      <c r="G62" s="559">
        <f>'Arable NPV'!S100</f>
        <v>-4736.6148906031285</v>
      </c>
      <c r="H62" s="559">
        <f>'Arable NPV'!S126</f>
        <v>-3267.5132434244297</v>
      </c>
      <c r="I62" s="366"/>
      <c r="J62" s="419">
        <v>10</v>
      </c>
      <c r="K62" s="559">
        <f>'Arable NPV'!T22</f>
        <v>1810.8658792181104</v>
      </c>
      <c r="L62" s="559">
        <f>'Arable NPV'!T48</f>
        <v>3913.0912051739529</v>
      </c>
      <c r="M62" s="559">
        <f>'Arable NPV'!T74</f>
        <v>-705.86405447422817</v>
      </c>
      <c r="N62" s="559">
        <f>'Arable NPV'!T100</f>
        <v>-1837.1989463830232</v>
      </c>
      <c r="O62" s="559">
        <f>'Arable NPV'!T126</f>
        <v>-368.09729920432625</v>
      </c>
      <c r="P62" s="366"/>
    </row>
    <row r="63" spans="2:16" x14ac:dyDescent="0.3">
      <c r="B63" s="366"/>
      <c r="C63" s="419">
        <v>11</v>
      </c>
      <c r="D63" s="559">
        <f>'Arable NPV'!S23</f>
        <v>-1180.7391656186962</v>
      </c>
      <c r="E63" s="559">
        <f>'Arable NPV'!S49</f>
        <v>1099.5232284743547</v>
      </c>
      <c r="F63" s="559">
        <f>'Arable NPV'!S75</f>
        <v>-3910.6104848492414</v>
      </c>
      <c r="G63" s="559">
        <f>'Arable NPV'!S101</f>
        <v>-5137.7579163321125</v>
      </c>
      <c r="H63" s="559">
        <f>'Arable NPV'!S127</f>
        <v>-3544.238326495285</v>
      </c>
      <c r="I63" s="366"/>
      <c r="J63" s="419">
        <v>11</v>
      </c>
      <c r="K63" s="559">
        <f>'Arable NPV'!T23</f>
        <v>1964.2277705173274</v>
      </c>
      <c r="L63" s="559">
        <f>'Arable NPV'!T49</f>
        <v>4244.490164610379</v>
      </c>
      <c r="M63" s="559">
        <f>'Arable NPV'!T75</f>
        <v>-765.64354871321734</v>
      </c>
      <c r="N63" s="559">
        <f>'Arable NPV'!T101</f>
        <v>-1992.790980196088</v>
      </c>
      <c r="O63" s="559">
        <f>'Arable NPV'!T127</f>
        <v>-399.27139035926257</v>
      </c>
      <c r="P63" s="366"/>
    </row>
    <row r="64" spans="2:16" x14ac:dyDescent="0.3">
      <c r="B64" s="366"/>
      <c r="C64" s="419">
        <v>12</v>
      </c>
      <c r="D64" s="559">
        <f>'Arable NPV'!S24</f>
        <v>-1270.2431467999606</v>
      </c>
      <c r="E64" s="559">
        <f>'Arable NPV'!S50</f>
        <v>1182.8707697563996</v>
      </c>
      <c r="F64" s="559">
        <f>'Arable NPV'!S76</f>
        <v>-4207.0478500481813</v>
      </c>
      <c r="G64" s="559">
        <f>'Arable NPV'!S102</f>
        <v>-5527.217164612679</v>
      </c>
      <c r="H64" s="559">
        <f>'Arable NPV'!S128</f>
        <v>-3812.9034556902902</v>
      </c>
      <c r="I64" s="366"/>
      <c r="J64" s="419">
        <v>12</v>
      </c>
      <c r="K64" s="559">
        <f>'Arable NPV'!T24</f>
        <v>2113.1228106136546</v>
      </c>
      <c r="L64" s="559">
        <f>'Arable NPV'!T50</f>
        <v>4566.2367271700159</v>
      </c>
      <c r="M64" s="559">
        <f>'Arable NPV'!T76</f>
        <v>-823.68189263456611</v>
      </c>
      <c r="N64" s="559">
        <f>'Arable NPV'!T102</f>
        <v>-2143.8512071990635</v>
      </c>
      <c r="O64" s="559">
        <f>'Arable NPV'!T128</f>
        <v>-429.53749827667644</v>
      </c>
      <c r="P64" s="366"/>
    </row>
    <row r="65" spans="2:16" x14ac:dyDescent="0.3">
      <c r="B65" s="366"/>
      <c r="C65" s="419">
        <v>13</v>
      </c>
      <c r="D65" s="559">
        <f>'Arable NPV'!S25</f>
        <v>-1357.1402159079844</v>
      </c>
      <c r="E65" s="559">
        <f>'Arable NPV'!S51</f>
        <v>1263.7907127486762</v>
      </c>
      <c r="F65" s="559">
        <f>'Arable NPV'!S77</f>
        <v>-4494.8511172316184</v>
      </c>
      <c r="G65" s="559">
        <f>'Arable NPV'!S103</f>
        <v>-5905.332939642356</v>
      </c>
      <c r="H65" s="559">
        <f>'Arable NPV'!S129</f>
        <v>-4073.7433869475772</v>
      </c>
      <c r="I65" s="366"/>
      <c r="J65" s="419">
        <v>13</v>
      </c>
      <c r="K65" s="559">
        <f>'Arable NPV'!T25</f>
        <v>2257.6811019693118</v>
      </c>
      <c r="L65" s="559">
        <f>'Arable NPV'!T51</f>
        <v>4878.6120306259736</v>
      </c>
      <c r="M65" s="559">
        <f>'Arable NPV'!T77</f>
        <v>-880.02979935432222</v>
      </c>
      <c r="N65" s="559">
        <f>'Arable NPV'!T103</f>
        <v>-2290.5116217650593</v>
      </c>
      <c r="O65" s="559">
        <f>'Arable NPV'!T129</f>
        <v>-458.92206907028213</v>
      </c>
      <c r="P65" s="366"/>
    </row>
    <row r="66" spans="2:16" x14ac:dyDescent="0.3">
      <c r="B66" s="366"/>
      <c r="C66" s="419">
        <v>14</v>
      </c>
      <c r="D66" s="559">
        <f>'Arable NPV'!S26</f>
        <v>-1441.5063024206288</v>
      </c>
      <c r="E66" s="559">
        <f>'Arable NPV'!S52</f>
        <v>1342.3537641974885</v>
      </c>
      <c r="F66" s="559">
        <f>'Arable NPV'!S78</f>
        <v>-4774.2717649825281</v>
      </c>
      <c r="G66" s="559">
        <f>'Arable NPV'!S104</f>
        <v>-6272.4356338459256</v>
      </c>
      <c r="H66" s="559">
        <f>'Arable NPV'!S130</f>
        <v>-4326.9860386536811</v>
      </c>
      <c r="I66" s="366"/>
      <c r="J66" s="419">
        <v>14</v>
      </c>
      <c r="K66" s="559">
        <f>'Arable NPV'!T26</f>
        <v>2398.028957654416</v>
      </c>
      <c r="L66" s="559">
        <f>'Arable NPV'!T52</f>
        <v>5181.8890242725347</v>
      </c>
      <c r="M66" s="559">
        <f>'Arable NPV'!T78</f>
        <v>-934.73650490748344</v>
      </c>
      <c r="N66" s="559">
        <f>'Arable NPV'!T104</f>
        <v>-2432.9003737708804</v>
      </c>
      <c r="O66" s="559">
        <f>'Arable NPV'!T130</f>
        <v>-487.4507785786372</v>
      </c>
      <c r="P66" s="366"/>
    </row>
    <row r="67" spans="2:16" x14ac:dyDescent="0.3">
      <c r="B67" s="366"/>
      <c r="C67" s="419">
        <v>15</v>
      </c>
      <c r="D67" s="559">
        <f>'Arable NPV'!S27</f>
        <v>-1523.4151242775652</v>
      </c>
      <c r="E67" s="559">
        <f>'Arable NPV'!S53</f>
        <v>1418.6285714293454</v>
      </c>
      <c r="F67" s="559">
        <f>'Arable NPV'!S79</f>
        <v>-5045.5539472649652</v>
      </c>
      <c r="G67" s="559">
        <f>'Arable NPV'!S105</f>
        <v>-6628.846016567838</v>
      </c>
      <c r="H67" s="559">
        <f>'Arable NPV'!S131</f>
        <v>-4572.8526907955293</v>
      </c>
      <c r="I67" s="366"/>
      <c r="J67" s="419">
        <v>15</v>
      </c>
      <c r="K67" s="559">
        <f>'Arable NPV'!T27</f>
        <v>2534.2890117176239</v>
      </c>
      <c r="L67" s="559">
        <f>'Arable NPV'!T53</f>
        <v>5476.3327074245353</v>
      </c>
      <c r="M67" s="559">
        <f>'Arable NPV'!T79</f>
        <v>-987.84981126977584</v>
      </c>
      <c r="N67" s="559">
        <f>'Arable NPV'!T105</f>
        <v>-2571.1418805726485</v>
      </c>
      <c r="O67" s="559">
        <f>'Arable NPV'!T131</f>
        <v>-515.14855480034112</v>
      </c>
      <c r="P67" s="366"/>
    </row>
    <row r="68" spans="2:16" x14ac:dyDescent="0.3">
      <c r="B68" s="366"/>
      <c r="C68" s="560">
        <v>16</v>
      </c>
      <c r="D68" s="566">
        <f>'Arable NPV'!S28</f>
        <v>-1602.9382522940082</v>
      </c>
      <c r="E68" s="566">
        <f>'Arable NPV'!S54</f>
        <v>1492.6817823340607</v>
      </c>
      <c r="F68" s="566">
        <f>'Arable NPV'!S80</f>
        <v>-5308.9347067624767</v>
      </c>
      <c r="G68" s="566">
        <f>'Arable NPV'!S106</f>
        <v>-6974.875514356102</v>
      </c>
      <c r="H68" s="566">
        <f>'Arable NPV'!S132</f>
        <v>-4811.5581783118869</v>
      </c>
      <c r="I68" s="366"/>
      <c r="J68" s="560">
        <v>16</v>
      </c>
      <c r="K68" s="566">
        <f>'Arable NPV'!T28</f>
        <v>2666.580326342098</v>
      </c>
      <c r="L68" s="566">
        <f>'Arable NPV'!T54</f>
        <v>5762.2003609701678</v>
      </c>
      <c r="M68" s="566">
        <f>'Arable NPV'!T80</f>
        <v>-1039.4161281263705</v>
      </c>
      <c r="N68" s="566">
        <f>'Arable NPV'!T106</f>
        <v>-2705.3569357199958</v>
      </c>
      <c r="O68" s="566">
        <f>'Arable NPV'!T132</f>
        <v>-542.0395996757818</v>
      </c>
      <c r="P68" s="366"/>
    </row>
    <row r="69" spans="2:16" x14ac:dyDescent="0.3">
      <c r="B69" s="366"/>
      <c r="C69" s="366"/>
      <c r="D69" s="366"/>
      <c r="E69" s="366"/>
      <c r="F69" s="366"/>
      <c r="G69" s="366"/>
      <c r="H69" s="366"/>
      <c r="I69" s="366"/>
      <c r="J69" s="366"/>
      <c r="K69" s="366"/>
      <c r="L69" s="366"/>
      <c r="M69" s="366"/>
      <c r="N69" s="366"/>
      <c r="O69" s="366"/>
      <c r="P69" s="36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S30"/>
  <sheetViews>
    <sheetView workbookViewId="0">
      <selection activeCell="F4" sqref="F4"/>
    </sheetView>
  </sheetViews>
  <sheetFormatPr defaultColWidth="9" defaultRowHeight="14" x14ac:dyDescent="0.3"/>
  <cols>
    <col min="2" max="2" width="20.08203125" bestFit="1" customWidth="1"/>
    <col min="3" max="29" width="10.58203125" customWidth="1"/>
  </cols>
  <sheetData>
    <row r="4" spans="1:19" ht="40" x14ac:dyDescent="0.3">
      <c r="B4" s="733" t="s">
        <v>286</v>
      </c>
      <c r="C4" s="734" t="s">
        <v>273</v>
      </c>
      <c r="D4" s="735" t="s">
        <v>300</v>
      </c>
      <c r="E4" s="735" t="s">
        <v>329</v>
      </c>
      <c r="F4" s="735" t="s">
        <v>672</v>
      </c>
      <c r="G4" s="736" t="s">
        <v>330</v>
      </c>
      <c r="H4" s="735" t="s">
        <v>331</v>
      </c>
      <c r="I4" s="735" t="s">
        <v>276</v>
      </c>
      <c r="J4" s="736" t="s">
        <v>437</v>
      </c>
      <c r="K4" s="736" t="s">
        <v>438</v>
      </c>
      <c r="L4" s="736" t="s">
        <v>439</v>
      </c>
      <c r="M4" s="736" t="s">
        <v>440</v>
      </c>
      <c r="N4" s="736" t="s">
        <v>441</v>
      </c>
      <c r="O4" s="736" t="s">
        <v>442</v>
      </c>
      <c r="P4" s="736" t="s">
        <v>443</v>
      </c>
      <c r="Q4" s="736" t="s">
        <v>444</v>
      </c>
      <c r="R4" s="736" t="s">
        <v>445</v>
      </c>
      <c r="S4" s="736" t="s">
        <v>446</v>
      </c>
    </row>
    <row r="5" spans="1:19" x14ac:dyDescent="0.3">
      <c r="B5" s="737"/>
      <c r="C5" s="738"/>
      <c r="D5" s="739"/>
      <c r="E5" s="739"/>
      <c r="F5" s="739"/>
      <c r="G5" s="740"/>
      <c r="H5" s="739"/>
      <c r="I5" s="739"/>
      <c r="J5" s="740"/>
      <c r="K5" s="740"/>
      <c r="L5" s="740"/>
      <c r="M5" s="740"/>
      <c r="N5" s="740"/>
      <c r="O5" s="740"/>
      <c r="P5" s="740"/>
      <c r="Q5" s="740"/>
      <c r="R5" s="740"/>
      <c r="S5" s="740"/>
    </row>
    <row r="6" spans="1:19" x14ac:dyDescent="0.3">
      <c r="A6" s="298"/>
      <c r="B6" s="741"/>
      <c r="C6" s="742"/>
      <c r="D6" s="743" t="s">
        <v>332</v>
      </c>
      <c r="E6" s="743" t="s">
        <v>569</v>
      </c>
      <c r="F6" s="743" t="s">
        <v>567</v>
      </c>
      <c r="G6" s="743" t="s">
        <v>567</v>
      </c>
      <c r="H6" s="743" t="s">
        <v>567</v>
      </c>
      <c r="I6" s="743" t="s">
        <v>567</v>
      </c>
      <c r="J6" s="743" t="s">
        <v>567</v>
      </c>
      <c r="K6" s="743" t="s">
        <v>567</v>
      </c>
      <c r="L6" s="743" t="s">
        <v>567</v>
      </c>
      <c r="M6" s="743" t="s">
        <v>567</v>
      </c>
      <c r="N6" s="743" t="s">
        <v>567</v>
      </c>
      <c r="O6" s="743" t="s">
        <v>567</v>
      </c>
      <c r="P6" s="743" t="s">
        <v>567</v>
      </c>
      <c r="Q6" s="743" t="s">
        <v>567</v>
      </c>
      <c r="R6" s="743" t="s">
        <v>567</v>
      </c>
      <c r="S6" s="743" t="s">
        <v>567</v>
      </c>
    </row>
    <row r="7" spans="1:19" x14ac:dyDescent="0.3">
      <c r="B7" s="744">
        <v>1</v>
      </c>
      <c r="C7" s="985" t="s">
        <v>4</v>
      </c>
      <c r="D7" s="747">
        <f>HLOOKUP($C$7,'Arable Model tables'!$D$4:$H$5,2,FALSE)</f>
        <v>5.5</v>
      </c>
      <c r="E7" s="747">
        <f>HLOOKUP($C$7,'Arable Model tables'!$D$8:$H$9,2,FALSE)</f>
        <v>210</v>
      </c>
      <c r="F7" s="747">
        <f>'Arable Model tables'!$D$12</f>
        <v>330</v>
      </c>
      <c r="G7" s="747">
        <f>HLOOKUP($C$7,'Arable Model tables'!$D$15:$H$16,2,FALSE)</f>
        <v>622.34710631578946</v>
      </c>
      <c r="H7" s="747">
        <f>HLOOKUP($C$7,'Arable Model tables'!$D$19:$H$20,2,FALSE)</f>
        <v>943.00233600000001</v>
      </c>
      <c r="I7" s="747">
        <f>G7+H7</f>
        <v>1565.3494423157895</v>
      </c>
      <c r="J7" s="747">
        <f>HLOOKUP($C$7,'Arable Model tables'!$D$23:$H$24,2,FALSE)</f>
        <v>1441.4549999999999</v>
      </c>
      <c r="K7" s="747">
        <f>HLOOKUP($C$7,'Arable Model tables'!$D$27:$H$28,2,FALSE)</f>
        <v>1771.4549999999999</v>
      </c>
      <c r="L7" s="747">
        <f>J7-I7</f>
        <v>-123.89444231578955</v>
      </c>
      <c r="M7" s="747">
        <f>K7-I7</f>
        <v>206.10555768421045</v>
      </c>
      <c r="N7" s="747">
        <f>L7</f>
        <v>-123.89444231578955</v>
      </c>
      <c r="O7" s="747">
        <f>M7</f>
        <v>206.10555768421045</v>
      </c>
      <c r="P7" s="747">
        <f>INDEX('Arable Model tables'!$D$33:$H$48,MATCH($B7,'Arable Model tables'!$C$33:$C$48,0),MATCH($C$7,'Arable Model tables'!$D$32:$H$32,0))</f>
        <v>-123.89444231578955</v>
      </c>
      <c r="Q7" s="747">
        <f>INDEX('Arable Model tables'!$K$33:$O$48,MATCH($B7,'Arable Model tables'!$J$33:$J$48,0),MATCH($C$7,'Arable Model tables'!$K$32:$O$32,0))</f>
        <v>206.10555768421045</v>
      </c>
      <c r="R7" s="747">
        <f>INDEX('Arable Model tables'!$D$53:$H$68,MATCH($B7,'Arable Model tables'!$C$53:$C$68,0),MATCH($C$7,'Arable Model tables'!$D$52:$H$52,0))</f>
        <v>-123.89444231578955</v>
      </c>
      <c r="S7" s="747">
        <f>INDEX('Arable Model tables'!$K$53:$O$68,MATCH($B7,'Arable Model tables'!$J$53:$J$68,0),MATCH($C$7,'Arable Model tables'!$K$52:$O$52,0))</f>
        <v>206.10555768421045</v>
      </c>
    </row>
    <row r="8" spans="1:19" x14ac:dyDescent="0.3">
      <c r="B8" s="745">
        <v>2</v>
      </c>
      <c r="C8" s="986"/>
      <c r="D8" s="748">
        <f>HLOOKUP($C$7,'Arable Model tables'!$D$4:$H$5,2,FALSE)</f>
        <v>5.5</v>
      </c>
      <c r="E8" s="748">
        <f>HLOOKUP($C$7,'Arable Model tables'!$D$8:$H$9,2,FALSE)</f>
        <v>210</v>
      </c>
      <c r="F8" s="748">
        <f>'Arable Model tables'!$D$12</f>
        <v>330</v>
      </c>
      <c r="G8" s="748">
        <f>HLOOKUP($C$7,'Arable Model tables'!$D$15:$H$16,2,FALSE)</f>
        <v>622.34710631578946</v>
      </c>
      <c r="H8" s="748">
        <f>HLOOKUP($C$7,'Arable Model tables'!$D$19:$H$20,2,FALSE)</f>
        <v>943.00233600000001</v>
      </c>
      <c r="I8" s="748">
        <f t="shared" ref="I8:I22" si="0">G8+H8</f>
        <v>1565.3494423157895</v>
      </c>
      <c r="J8" s="748">
        <f>HLOOKUP($C$7,'Arable Model tables'!$D$23:$H$24,2,FALSE)</f>
        <v>1441.4549999999999</v>
      </c>
      <c r="K8" s="748">
        <f>HLOOKUP($C$7,'Arable Model tables'!$D$27:$H$28,2,FALSE)</f>
        <v>1771.4549999999999</v>
      </c>
      <c r="L8" s="748">
        <f t="shared" ref="L8:L22" si="1">J8-I8</f>
        <v>-123.89444231578955</v>
      </c>
      <c r="M8" s="748">
        <f t="shared" ref="M8:M22" si="2">K8-I8</f>
        <v>206.10555768421045</v>
      </c>
      <c r="N8" s="748">
        <f>N7+L8</f>
        <v>-247.78888463157909</v>
      </c>
      <c r="O8" s="748">
        <f>O7+M8</f>
        <v>412.21111536842091</v>
      </c>
      <c r="P8" s="748">
        <f>INDEX('Arable Model tables'!$D$33:$H$48,MATCH($B8,'Arable Model tables'!$C$33:$C$48,0),MATCH($C$7,'Arable Model tables'!$D$32:$H$32,0))</f>
        <v>-120.28586632600923</v>
      </c>
      <c r="Q8" s="748">
        <f>INDEX('Arable Model tables'!$K$33:$O$48,MATCH($B8,'Arable Model tables'!$J$33:$J$48,0),MATCH($C$7,'Arable Model tables'!$K$32:$O$32,0))</f>
        <v>200.10248318855389</v>
      </c>
      <c r="R8" s="748">
        <f>INDEX('Arable Model tables'!$D$53:$H$68,MATCH($B8,'Arable Model tables'!$C$53:$C$68,0),MATCH($C$7,'Arable Model tables'!$D$52:$H$52,0))</f>
        <v>-244.18030864179877</v>
      </c>
      <c r="S8" s="748">
        <f>INDEX('Arable Model tables'!$K$53:$O$68,MATCH($B8,'Arable Model tables'!$J$53:$J$68,0),MATCH($C$7,'Arable Model tables'!$K$52:$O$52,0))</f>
        <v>406.20804087276434</v>
      </c>
    </row>
    <row r="9" spans="1:19" x14ac:dyDescent="0.3">
      <c r="B9" s="745">
        <v>3</v>
      </c>
      <c r="C9" s="986"/>
      <c r="D9" s="748">
        <f>HLOOKUP($C$7,'Arable Model tables'!$D$4:$H$5,2,FALSE)</f>
        <v>5.5</v>
      </c>
      <c r="E9" s="748">
        <f>HLOOKUP($C$7,'Arable Model tables'!$D$8:$H$9,2,FALSE)</f>
        <v>210</v>
      </c>
      <c r="F9" s="748">
        <f>'Arable Model tables'!$D$12</f>
        <v>330</v>
      </c>
      <c r="G9" s="748">
        <f>HLOOKUP($C$7,'Arable Model tables'!$D$15:$H$16,2,FALSE)</f>
        <v>622.34710631578946</v>
      </c>
      <c r="H9" s="748">
        <f>HLOOKUP($C$7,'Arable Model tables'!$D$19:$H$20,2,FALSE)</f>
        <v>943.00233600000001</v>
      </c>
      <c r="I9" s="748">
        <f t="shared" si="0"/>
        <v>1565.3494423157895</v>
      </c>
      <c r="J9" s="748">
        <f>HLOOKUP($C$7,'Arable Model tables'!$D$23:$H$24,2,FALSE)</f>
        <v>1441.4549999999999</v>
      </c>
      <c r="K9" s="748">
        <f>HLOOKUP($C$7,'Arable Model tables'!$D$27:$H$28,2,FALSE)</f>
        <v>1771.4549999999999</v>
      </c>
      <c r="L9" s="748">
        <f t="shared" si="1"/>
        <v>-123.89444231578955</v>
      </c>
      <c r="M9" s="748">
        <f t="shared" si="2"/>
        <v>206.10555768421045</v>
      </c>
      <c r="N9" s="748">
        <f t="shared" ref="N9:N22" si="3">N8+L9</f>
        <v>-371.68332694736864</v>
      </c>
      <c r="O9" s="748">
        <f t="shared" ref="O9:O22" si="4">O8+M9</f>
        <v>618.31667305263136</v>
      </c>
      <c r="P9" s="748">
        <f>INDEX('Arable Model tables'!$D$33:$H$48,MATCH($B9,'Arable Model tables'!$C$33:$C$48,0),MATCH($C$7,'Arable Model tables'!$D$32:$H$32,0))</f>
        <v>-116.78239449127113</v>
      </c>
      <c r="Q9" s="748">
        <f>INDEX('Arable Model tables'!$K$33:$O$48,MATCH($B9,'Arable Model tables'!$J$33:$J$48,0),MATCH($C$7,'Arable Model tables'!$K$32:$O$32,0))</f>
        <v>194.2742555228678</v>
      </c>
      <c r="R9" s="748">
        <f>INDEX('Arable Model tables'!$D$53:$H$68,MATCH($B9,'Arable Model tables'!$C$53:$C$68,0),MATCH($C$7,'Arable Model tables'!$D$52:$H$52,0))</f>
        <v>-360.96270313306991</v>
      </c>
      <c r="S9" s="748">
        <f>INDEX('Arable Model tables'!$K$53:$O$68,MATCH($B9,'Arable Model tables'!$J$53:$J$68,0),MATCH($C$7,'Arable Model tables'!$K$52:$O$52,0))</f>
        <v>600.48229639563215</v>
      </c>
    </row>
    <row r="10" spans="1:19" x14ac:dyDescent="0.3">
      <c r="B10" s="745">
        <v>4</v>
      </c>
      <c r="C10" s="986"/>
      <c r="D10" s="748">
        <f>HLOOKUP($C$7,'Arable Model tables'!$D$4:$H$5,2,FALSE)</f>
        <v>5.5</v>
      </c>
      <c r="E10" s="748">
        <f>HLOOKUP($C$7,'Arable Model tables'!$D$8:$H$9,2,FALSE)</f>
        <v>210</v>
      </c>
      <c r="F10" s="748">
        <f>'Arable Model tables'!$D$12</f>
        <v>330</v>
      </c>
      <c r="G10" s="748">
        <f>HLOOKUP($C$7,'Arable Model tables'!$D$15:$H$16,2,FALSE)</f>
        <v>622.34710631578946</v>
      </c>
      <c r="H10" s="748">
        <f>HLOOKUP($C$7,'Arable Model tables'!$D$19:$H$20,2,FALSE)</f>
        <v>943.00233600000001</v>
      </c>
      <c r="I10" s="748">
        <f t="shared" si="0"/>
        <v>1565.3494423157895</v>
      </c>
      <c r="J10" s="748">
        <f>HLOOKUP($C$7,'Arable Model tables'!$D$23:$H$24,2,FALSE)</f>
        <v>1441.4549999999999</v>
      </c>
      <c r="K10" s="748">
        <f>HLOOKUP($C$7,'Arable Model tables'!$D$27:$H$28,2,FALSE)</f>
        <v>1771.4549999999999</v>
      </c>
      <c r="L10" s="748">
        <f t="shared" si="1"/>
        <v>-123.89444231578955</v>
      </c>
      <c r="M10" s="748">
        <f t="shared" si="2"/>
        <v>206.10555768421045</v>
      </c>
      <c r="N10" s="748">
        <f t="shared" si="3"/>
        <v>-495.57776926315819</v>
      </c>
      <c r="O10" s="748">
        <f t="shared" si="4"/>
        <v>824.42223073684181</v>
      </c>
      <c r="P10" s="748">
        <f>INDEX('Arable Model tables'!$D$33:$H$48,MATCH($B10,'Arable Model tables'!$C$33:$C$48,0),MATCH($C$7,'Arable Model tables'!$D$32:$H$32,0))</f>
        <v>-113.38096552550587</v>
      </c>
      <c r="Q10" s="748">
        <f>INDEX('Arable Model tables'!$K$33:$O$48,MATCH($B10,'Arable Model tables'!$J$33:$J$48,0),MATCH($C$7,'Arable Model tables'!$K$32:$O$32,0))</f>
        <v>188.61578206103678</v>
      </c>
      <c r="R10" s="748">
        <f>INDEX('Arable Model tables'!$D$53:$H$68,MATCH($B10,'Arable Model tables'!$C$53:$C$68,0),MATCH($C$7,'Arable Model tables'!$D$52:$H$52,0))</f>
        <v>-474.34366865857578</v>
      </c>
      <c r="S10" s="748">
        <f>INDEX('Arable Model tables'!$K$53:$O$68,MATCH($B10,'Arable Model tables'!$J$53:$J$68,0),MATCH($C$7,'Arable Model tables'!$K$52:$O$52,0))</f>
        <v>789.09807845666887</v>
      </c>
    </row>
    <row r="11" spans="1:19" x14ac:dyDescent="0.3">
      <c r="B11" s="745">
        <v>5</v>
      </c>
      <c r="C11" s="986"/>
      <c r="D11" s="748">
        <f>HLOOKUP($C$7,'Arable Model tables'!$D$4:$H$5,2,FALSE)</f>
        <v>5.5</v>
      </c>
      <c r="E11" s="748">
        <f>HLOOKUP($C$7,'Arable Model tables'!$D$8:$H$9,2,FALSE)</f>
        <v>210</v>
      </c>
      <c r="F11" s="748">
        <f>'Arable Model tables'!$D$12</f>
        <v>330</v>
      </c>
      <c r="G11" s="748">
        <f>HLOOKUP($C$7,'Arable Model tables'!$D$15:$H$16,2,FALSE)</f>
        <v>622.34710631578946</v>
      </c>
      <c r="H11" s="748">
        <f>HLOOKUP($C$7,'Arable Model tables'!$D$19:$H$20,2,FALSE)</f>
        <v>943.00233600000001</v>
      </c>
      <c r="I11" s="748">
        <f t="shared" si="0"/>
        <v>1565.3494423157895</v>
      </c>
      <c r="J11" s="748">
        <f>HLOOKUP($C$7,'Arable Model tables'!$D$23:$H$24,2,FALSE)</f>
        <v>1441.4549999999999</v>
      </c>
      <c r="K11" s="748">
        <f>HLOOKUP($C$7,'Arable Model tables'!$D$27:$H$28,2,FALSE)</f>
        <v>1771.4549999999999</v>
      </c>
      <c r="L11" s="748">
        <f t="shared" si="1"/>
        <v>-123.89444231578955</v>
      </c>
      <c r="M11" s="748">
        <f t="shared" si="2"/>
        <v>206.10555768421045</v>
      </c>
      <c r="N11" s="748">
        <f t="shared" si="3"/>
        <v>-619.47221157894774</v>
      </c>
      <c r="O11" s="748">
        <f t="shared" si="4"/>
        <v>1030.5277884210523</v>
      </c>
      <c r="P11" s="748">
        <f>INDEX('Arable Model tables'!$D$33:$H$48,MATCH($B11,'Arable Model tables'!$C$33:$C$48,0),MATCH($C$7,'Arable Model tables'!$D$32:$H$32,0))</f>
        <v>-110.07860730631637</v>
      </c>
      <c r="Q11" s="748">
        <f>INDEX('Arable Model tables'!$K$33:$O$48,MATCH($B11,'Arable Model tables'!$J$33:$J$48,0),MATCH($C$7,'Arable Model tables'!$K$32:$O$32,0))</f>
        <v>183.12211850586101</v>
      </c>
      <c r="R11" s="748">
        <f>INDEX('Arable Model tables'!$D$53:$H$68,MATCH($B11,'Arable Model tables'!$C$53:$C$68,0),MATCH($C$7,'Arable Model tables'!$D$52:$H$52,0))</f>
        <v>-584.42227596489215</v>
      </c>
      <c r="S11" s="748">
        <f>INDEX('Arable Model tables'!$K$53:$O$68,MATCH($B11,'Arable Model tables'!$J$53:$J$68,0),MATCH($C$7,'Arable Model tables'!$K$52:$O$52,0))</f>
        <v>972.22019696252983</v>
      </c>
    </row>
    <row r="12" spans="1:19" x14ac:dyDescent="0.3">
      <c r="B12" s="745">
        <v>6</v>
      </c>
      <c r="C12" s="986"/>
      <c r="D12" s="748">
        <f>HLOOKUP($C$7,'Arable Model tables'!$D$4:$H$5,2,FALSE)</f>
        <v>5.5</v>
      </c>
      <c r="E12" s="748">
        <f>HLOOKUP($C$7,'Arable Model tables'!$D$8:$H$9,2,FALSE)</f>
        <v>210</v>
      </c>
      <c r="F12" s="748">
        <f>'Arable Model tables'!$D$12</f>
        <v>330</v>
      </c>
      <c r="G12" s="748">
        <f>HLOOKUP($C$7,'Arable Model tables'!$D$15:$H$16,2,FALSE)</f>
        <v>622.34710631578946</v>
      </c>
      <c r="H12" s="748">
        <f>HLOOKUP($C$7,'Arable Model tables'!$D$19:$H$20,2,FALSE)</f>
        <v>943.00233600000001</v>
      </c>
      <c r="I12" s="748">
        <f t="shared" si="0"/>
        <v>1565.3494423157895</v>
      </c>
      <c r="J12" s="748">
        <f>HLOOKUP($C$7,'Arable Model tables'!$D$23:$H$24,2,FALSE)</f>
        <v>1441.4549999999999</v>
      </c>
      <c r="K12" s="748">
        <f>HLOOKUP($C$7,'Arable Model tables'!$D$27:$H$28,2,FALSE)</f>
        <v>1771.4549999999999</v>
      </c>
      <c r="L12" s="748">
        <f t="shared" si="1"/>
        <v>-123.89444231578955</v>
      </c>
      <c r="M12" s="748">
        <f t="shared" si="2"/>
        <v>206.10555768421045</v>
      </c>
      <c r="N12" s="748">
        <f t="shared" si="3"/>
        <v>-743.36665389473728</v>
      </c>
      <c r="O12" s="748">
        <f t="shared" si="4"/>
        <v>1236.6333461052627</v>
      </c>
      <c r="P12" s="748">
        <f>INDEX('Arable Model tables'!$D$33:$H$48,MATCH($B12,'Arable Model tables'!$C$33:$C$48,0),MATCH($C$7,'Arable Model tables'!$D$32:$H$32,0))</f>
        <v>-106.87243427797716</v>
      </c>
      <c r="Q12" s="748">
        <f>INDEX('Arable Model tables'!$K$33:$O$48,MATCH($B12,'Arable Model tables'!$J$33:$J$48,0),MATCH($C$7,'Arable Model tables'!$K$32:$O$32,0))</f>
        <v>177.788464568797</v>
      </c>
      <c r="R12" s="748">
        <f>INDEX('Arable Model tables'!$D$53:$H$68,MATCH($B12,'Arable Model tables'!$C$53:$C$68,0),MATCH($C$7,'Arable Model tables'!$D$52:$H$52,0))</f>
        <v>-691.29471024286931</v>
      </c>
      <c r="S12" s="748">
        <f>INDEX('Arable Model tables'!$K$53:$O$68,MATCH($B12,'Arable Model tables'!$J$53:$J$68,0),MATCH($C$7,'Arable Model tables'!$K$52:$O$52,0))</f>
        <v>1150.0086615313269</v>
      </c>
    </row>
    <row r="13" spans="1:19" x14ac:dyDescent="0.3">
      <c r="B13" s="745">
        <v>7</v>
      </c>
      <c r="C13" s="986"/>
      <c r="D13" s="748">
        <f>HLOOKUP($C$7,'Arable Model tables'!$D$4:$H$5,2,FALSE)</f>
        <v>5.5</v>
      </c>
      <c r="E13" s="748">
        <f>HLOOKUP($C$7,'Arable Model tables'!$D$8:$H$9,2,FALSE)</f>
        <v>210</v>
      </c>
      <c r="F13" s="748">
        <f>'Arable Model tables'!$D$12</f>
        <v>330</v>
      </c>
      <c r="G13" s="748">
        <f>HLOOKUP($C$7,'Arable Model tables'!$D$15:$H$16,2,FALSE)</f>
        <v>622.34710631578946</v>
      </c>
      <c r="H13" s="748">
        <f>HLOOKUP($C$7,'Arable Model tables'!$D$19:$H$20,2,FALSE)</f>
        <v>943.00233600000001</v>
      </c>
      <c r="I13" s="748">
        <f t="shared" si="0"/>
        <v>1565.3494423157895</v>
      </c>
      <c r="J13" s="748">
        <f>HLOOKUP($C$7,'Arable Model tables'!$D$23:$H$24,2,FALSE)</f>
        <v>1441.4549999999999</v>
      </c>
      <c r="K13" s="748">
        <f>HLOOKUP($C$7,'Arable Model tables'!$D$27:$H$28,2,FALSE)</f>
        <v>1771.4549999999999</v>
      </c>
      <c r="L13" s="748">
        <f t="shared" si="1"/>
        <v>-123.89444231578955</v>
      </c>
      <c r="M13" s="748">
        <f t="shared" si="2"/>
        <v>206.10555768421045</v>
      </c>
      <c r="N13" s="748">
        <f t="shared" si="3"/>
        <v>-867.26109621052683</v>
      </c>
      <c r="O13" s="748">
        <f t="shared" si="4"/>
        <v>1442.7389037894732</v>
      </c>
      <c r="P13" s="748">
        <f>INDEX('Arable Model tables'!$D$33:$H$48,MATCH($B13,'Arable Model tables'!$C$33:$C$48,0),MATCH($C$7,'Arable Model tables'!$D$32:$H$32,0))</f>
        <v>-103.75964493007473</v>
      </c>
      <c r="Q13" s="748">
        <f>INDEX('Arable Model tables'!$K$33:$O$48,MATCH($B13,'Arable Model tables'!$J$33:$J$48,0),MATCH($C$7,'Arable Model tables'!$K$32:$O$32,0))</f>
        <v>172.6101597755312</v>
      </c>
      <c r="R13" s="748">
        <f>INDEX('Arable Model tables'!$D$53:$H$68,MATCH($B13,'Arable Model tables'!$C$53:$C$68,0),MATCH($C$7,'Arable Model tables'!$D$52:$H$52,0))</f>
        <v>-795.05435517294404</v>
      </c>
      <c r="S13" s="748">
        <f>INDEX('Arable Model tables'!$K$53:$O$68,MATCH($B13,'Arable Model tables'!$J$53:$J$68,0),MATCH($C$7,'Arable Model tables'!$K$52:$O$52,0))</f>
        <v>1322.6188213068581</v>
      </c>
    </row>
    <row r="14" spans="1:19" x14ac:dyDescent="0.3">
      <c r="B14" s="745">
        <v>8</v>
      </c>
      <c r="C14" s="986"/>
      <c r="D14" s="748">
        <f>HLOOKUP($C$7,'Arable Model tables'!$D$4:$H$5,2,FALSE)</f>
        <v>5.5</v>
      </c>
      <c r="E14" s="748">
        <f>HLOOKUP($C$7,'Arable Model tables'!$D$8:$H$9,2,FALSE)</f>
        <v>210</v>
      </c>
      <c r="F14" s="748">
        <f>'Arable Model tables'!$D$12</f>
        <v>330</v>
      </c>
      <c r="G14" s="748">
        <f>HLOOKUP($C$7,'Arable Model tables'!$D$15:$H$16,2,FALSE)</f>
        <v>622.34710631578946</v>
      </c>
      <c r="H14" s="748">
        <f>HLOOKUP($C$7,'Arable Model tables'!$D$19:$H$20,2,FALSE)</f>
        <v>943.00233600000001</v>
      </c>
      <c r="I14" s="748">
        <f t="shared" si="0"/>
        <v>1565.3494423157895</v>
      </c>
      <c r="J14" s="748">
        <f>HLOOKUP($C$7,'Arable Model tables'!$D$23:$H$24,2,FALSE)</f>
        <v>1441.4549999999999</v>
      </c>
      <c r="K14" s="748">
        <f>HLOOKUP($C$7,'Arable Model tables'!$D$27:$H$28,2,FALSE)</f>
        <v>1771.4549999999999</v>
      </c>
      <c r="L14" s="748">
        <f t="shared" si="1"/>
        <v>-123.89444231578955</v>
      </c>
      <c r="M14" s="748">
        <f t="shared" si="2"/>
        <v>206.10555768421045</v>
      </c>
      <c r="N14" s="748">
        <f t="shared" si="3"/>
        <v>-991.15553852631638</v>
      </c>
      <c r="O14" s="748">
        <f t="shared" si="4"/>
        <v>1648.8444614736836</v>
      </c>
      <c r="P14" s="748">
        <f>INDEX('Arable Model tables'!$D$33:$H$48,MATCH($B14,'Arable Model tables'!$C$33:$C$48,0),MATCH($C$7,'Arable Model tables'!$D$32:$H$32,0))</f>
        <v>-100.73751934958727</v>
      </c>
      <c r="Q14" s="748">
        <f>INDEX('Arable Model tables'!$K$33:$O$48,MATCH($B14,'Arable Model tables'!$J$33:$J$48,0),MATCH($C$7,'Arable Model tables'!$K$32:$O$32,0))</f>
        <v>167.58267939371945</v>
      </c>
      <c r="R14" s="748">
        <f>INDEX('Arable Model tables'!$D$53:$H$68,MATCH($B14,'Arable Model tables'!$C$53:$C$68,0),MATCH($C$7,'Arable Model tables'!$D$52:$H$52,0))</f>
        <v>-895.79187452253132</v>
      </c>
      <c r="S14" s="748">
        <f>INDEX('Arable Model tables'!$K$53:$O$68,MATCH($B14,'Arable Model tables'!$J$53:$J$68,0),MATCH($C$7,'Arable Model tables'!$K$52:$O$52,0))</f>
        <v>1490.2015007005775</v>
      </c>
    </row>
    <row r="15" spans="1:19" x14ac:dyDescent="0.3">
      <c r="B15" s="745">
        <v>9</v>
      </c>
      <c r="C15" s="986"/>
      <c r="D15" s="748">
        <f>HLOOKUP($C$7,'Arable Model tables'!$D$4:$H$5,2,FALSE)</f>
        <v>5.5</v>
      </c>
      <c r="E15" s="748">
        <f>HLOOKUP($C$7,'Arable Model tables'!$D$8:$H$9,2,FALSE)</f>
        <v>210</v>
      </c>
      <c r="F15" s="748">
        <f>'Arable Model tables'!$D$12</f>
        <v>330</v>
      </c>
      <c r="G15" s="748">
        <f>HLOOKUP($C$7,'Arable Model tables'!$D$15:$H$16,2,FALSE)</f>
        <v>622.34710631578946</v>
      </c>
      <c r="H15" s="748">
        <f>HLOOKUP($C$7,'Arable Model tables'!$D$19:$H$20,2,FALSE)</f>
        <v>943.00233600000001</v>
      </c>
      <c r="I15" s="748">
        <f t="shared" si="0"/>
        <v>1565.3494423157895</v>
      </c>
      <c r="J15" s="748">
        <f>HLOOKUP($C$7,'Arable Model tables'!$D$23:$H$24,2,FALSE)</f>
        <v>1441.4549999999999</v>
      </c>
      <c r="K15" s="748">
        <f>HLOOKUP($C$7,'Arable Model tables'!$D$27:$H$28,2,FALSE)</f>
        <v>1771.4549999999999</v>
      </c>
      <c r="L15" s="748">
        <f t="shared" si="1"/>
        <v>-123.89444231578955</v>
      </c>
      <c r="M15" s="748">
        <f t="shared" si="2"/>
        <v>206.10555768421045</v>
      </c>
      <c r="N15" s="748">
        <f t="shared" si="3"/>
        <v>-1115.0499808421059</v>
      </c>
      <c r="O15" s="748">
        <f t="shared" si="4"/>
        <v>1854.9500191578941</v>
      </c>
      <c r="P15" s="748">
        <f>INDEX('Arable Model tables'!$D$33:$H$48,MATCH($B15,'Arable Model tables'!$C$33:$C$48,0),MATCH($C$7,'Arable Model tables'!$D$32:$H$32,0))</f>
        <v>-97.803416844259345</v>
      </c>
      <c r="Q15" s="748">
        <f>INDEX('Arable Model tables'!$K$33:$O$48,MATCH($B15,'Arable Model tables'!$J$33:$J$48,0),MATCH($C$7,'Arable Model tables'!$K$32:$O$32,0))</f>
        <v>162.70163047933949</v>
      </c>
      <c r="R15" s="748">
        <f>INDEX('Arable Model tables'!$D$53:$H$68,MATCH($B15,'Arable Model tables'!$C$53:$C$68,0),MATCH($C$7,'Arable Model tables'!$D$52:$H$52,0))</f>
        <v>-993.59529136679066</v>
      </c>
      <c r="S15" s="748">
        <f>INDEX('Arable Model tables'!$K$53:$O$68,MATCH($B15,'Arable Model tables'!$J$53:$J$68,0),MATCH($C$7,'Arable Model tables'!$K$52:$O$52,0))</f>
        <v>1652.903131179917</v>
      </c>
    </row>
    <row r="16" spans="1:19" x14ac:dyDescent="0.3">
      <c r="B16" s="745">
        <v>10</v>
      </c>
      <c r="C16" s="986"/>
      <c r="D16" s="748">
        <f>HLOOKUP($C$7,'Arable Model tables'!$D$4:$H$5,2,FALSE)</f>
        <v>5.5</v>
      </c>
      <c r="E16" s="748">
        <f>HLOOKUP($C$7,'Arable Model tables'!$D$8:$H$9,2,FALSE)</f>
        <v>210</v>
      </c>
      <c r="F16" s="748">
        <f>'Arable Model tables'!$D$12</f>
        <v>330</v>
      </c>
      <c r="G16" s="748">
        <f>HLOOKUP($C$7,'Arable Model tables'!$D$15:$H$16,2,FALSE)</f>
        <v>622.34710631578946</v>
      </c>
      <c r="H16" s="748">
        <f>HLOOKUP($C$7,'Arable Model tables'!$D$19:$H$20,2,FALSE)</f>
        <v>943.00233600000001</v>
      </c>
      <c r="I16" s="748">
        <f t="shared" si="0"/>
        <v>1565.3494423157895</v>
      </c>
      <c r="J16" s="748">
        <f>HLOOKUP($C$7,'Arable Model tables'!$D$23:$H$24,2,FALSE)</f>
        <v>1441.4549999999999</v>
      </c>
      <c r="K16" s="748">
        <f>HLOOKUP($C$7,'Arable Model tables'!$D$27:$H$28,2,FALSE)</f>
        <v>1771.4549999999999</v>
      </c>
      <c r="L16" s="748">
        <f t="shared" si="1"/>
        <v>-123.89444231578955</v>
      </c>
      <c r="M16" s="748">
        <f t="shared" si="2"/>
        <v>206.10555768421045</v>
      </c>
      <c r="N16" s="748">
        <f t="shared" si="3"/>
        <v>-1238.9444231578955</v>
      </c>
      <c r="O16" s="748">
        <f t="shared" si="4"/>
        <v>2061.0555768421045</v>
      </c>
      <c r="P16" s="748">
        <f>INDEX('Arable Model tables'!$D$33:$H$48,MATCH($B16,'Arable Model tables'!$C$33:$C$48,0),MATCH($C$7,'Arable Model tables'!$D$32:$H$32,0))</f>
        <v>-94.95477363520331</v>
      </c>
      <c r="Q16" s="748">
        <f>INDEX('Arable Model tables'!$K$33:$O$48,MATCH($B16,'Arable Model tables'!$J$33:$J$48,0),MATCH($C$7,'Arable Model tables'!$K$32:$O$32,0))</f>
        <v>157.96274803819358</v>
      </c>
      <c r="R16" s="748">
        <f>INDEX('Arable Model tables'!$D$53:$H$68,MATCH($B16,'Arable Model tables'!$C$53:$C$68,0),MATCH($C$7,'Arable Model tables'!$D$52:$H$52,0))</f>
        <v>-1088.550065001994</v>
      </c>
      <c r="S16" s="748">
        <f>INDEX('Arable Model tables'!$K$53:$O$68,MATCH($B16,'Arable Model tables'!$J$53:$J$68,0),MATCH($C$7,'Arable Model tables'!$K$52:$O$52,0))</f>
        <v>1810.8658792181104</v>
      </c>
    </row>
    <row r="17" spans="2:19" x14ac:dyDescent="0.3">
      <c r="B17" s="745">
        <v>11</v>
      </c>
      <c r="C17" s="986"/>
      <c r="D17" s="748">
        <f>HLOOKUP($C$7,'Arable Model tables'!$D$4:$H$5,2,FALSE)</f>
        <v>5.5</v>
      </c>
      <c r="E17" s="748">
        <f>HLOOKUP($C$7,'Arable Model tables'!$D$8:$H$9,2,FALSE)</f>
        <v>210</v>
      </c>
      <c r="F17" s="748">
        <f>'Arable Model tables'!$D$12</f>
        <v>330</v>
      </c>
      <c r="G17" s="748">
        <f>HLOOKUP($C$7,'Arable Model tables'!$D$15:$H$16,2,FALSE)</f>
        <v>622.34710631578946</v>
      </c>
      <c r="H17" s="748">
        <f>HLOOKUP($C$7,'Arable Model tables'!$D$19:$H$20,2,FALSE)</f>
        <v>943.00233600000001</v>
      </c>
      <c r="I17" s="748">
        <f t="shared" si="0"/>
        <v>1565.3494423157895</v>
      </c>
      <c r="J17" s="748">
        <f>HLOOKUP($C$7,'Arable Model tables'!$D$23:$H$24,2,FALSE)</f>
        <v>1441.4549999999999</v>
      </c>
      <c r="K17" s="748">
        <f>HLOOKUP($C$7,'Arable Model tables'!$D$27:$H$28,2,FALSE)</f>
        <v>1771.4549999999999</v>
      </c>
      <c r="L17" s="748">
        <f t="shared" si="1"/>
        <v>-123.89444231578955</v>
      </c>
      <c r="M17" s="748">
        <f t="shared" si="2"/>
        <v>206.10555768421045</v>
      </c>
      <c r="N17" s="748">
        <f t="shared" si="3"/>
        <v>-1362.838865473685</v>
      </c>
      <c r="O17" s="748">
        <f t="shared" si="4"/>
        <v>2267.161134526315</v>
      </c>
      <c r="P17" s="748">
        <f>INDEX('Arable Model tables'!$D$33:$H$48,MATCH($B17,'Arable Model tables'!$C$33:$C$48,0),MATCH($C$7,'Arable Model tables'!$D$32:$H$32,0))</f>
        <v>-92.189100616702262</v>
      </c>
      <c r="Q17" s="748">
        <f>INDEX('Arable Model tables'!$K$33:$O$48,MATCH($B17,'Arable Model tables'!$J$33:$J$48,0),MATCH($C$7,'Arable Model tables'!$K$32:$O$32,0))</f>
        <v>153.36189129921706</v>
      </c>
      <c r="R17" s="748">
        <f>INDEX('Arable Model tables'!$D$53:$H$68,MATCH($B17,'Arable Model tables'!$C$53:$C$68,0),MATCH($C$7,'Arable Model tables'!$D$52:$H$52,0))</f>
        <v>-1180.7391656186962</v>
      </c>
      <c r="S17" s="748">
        <f>INDEX('Arable Model tables'!$K$53:$O$68,MATCH($B17,'Arable Model tables'!$J$53:$J$68,0),MATCH($C$7,'Arable Model tables'!$K$52:$O$52,0))</f>
        <v>1964.2277705173274</v>
      </c>
    </row>
    <row r="18" spans="2:19" x14ac:dyDescent="0.3">
      <c r="B18" s="745">
        <v>12</v>
      </c>
      <c r="C18" s="986"/>
      <c r="D18" s="748">
        <f>HLOOKUP($C$7,'Arable Model tables'!$D$4:$H$5,2,FALSE)</f>
        <v>5.5</v>
      </c>
      <c r="E18" s="748">
        <f>HLOOKUP($C$7,'Arable Model tables'!$D$8:$H$9,2,FALSE)</f>
        <v>210</v>
      </c>
      <c r="F18" s="748">
        <f>'Arable Model tables'!$D$12</f>
        <v>330</v>
      </c>
      <c r="G18" s="748">
        <f>HLOOKUP($C$7,'Arable Model tables'!$D$15:$H$16,2,FALSE)</f>
        <v>622.34710631578946</v>
      </c>
      <c r="H18" s="748">
        <f>HLOOKUP($C$7,'Arable Model tables'!$D$19:$H$20,2,FALSE)</f>
        <v>943.00233600000001</v>
      </c>
      <c r="I18" s="748">
        <f t="shared" si="0"/>
        <v>1565.3494423157895</v>
      </c>
      <c r="J18" s="748">
        <f>HLOOKUP($C$7,'Arable Model tables'!$D$23:$H$24,2,FALSE)</f>
        <v>1441.4549999999999</v>
      </c>
      <c r="K18" s="748">
        <f>HLOOKUP($C$7,'Arable Model tables'!$D$27:$H$28,2,FALSE)</f>
        <v>1771.4549999999999</v>
      </c>
      <c r="L18" s="748">
        <f t="shared" si="1"/>
        <v>-123.89444231578955</v>
      </c>
      <c r="M18" s="748">
        <f t="shared" si="2"/>
        <v>206.10555768421045</v>
      </c>
      <c r="N18" s="748">
        <f t="shared" si="3"/>
        <v>-1486.7333077894746</v>
      </c>
      <c r="O18" s="748">
        <f t="shared" si="4"/>
        <v>2473.2666922105254</v>
      </c>
      <c r="P18" s="748">
        <f>INDEX('Arable Model tables'!$D$33:$H$48,MATCH($B18,'Arable Model tables'!$C$33:$C$48,0),MATCH($C$7,'Arable Model tables'!$D$32:$H$32,0))</f>
        <v>-89.503981181264407</v>
      </c>
      <c r="Q18" s="748">
        <f>INDEX('Arable Model tables'!$K$33:$O$48,MATCH($B18,'Arable Model tables'!$J$33:$J$48,0),MATCH($C$7,'Arable Model tables'!$K$32:$O$32,0))</f>
        <v>148.89504009632714</v>
      </c>
      <c r="R18" s="748">
        <f>INDEX('Arable Model tables'!$D$53:$H$68,MATCH($B18,'Arable Model tables'!$C$53:$C$68,0),MATCH($C$7,'Arable Model tables'!$D$52:$H$52,0))</f>
        <v>-1270.2431467999606</v>
      </c>
      <c r="S18" s="748">
        <f>INDEX('Arable Model tables'!$K$53:$O$68,MATCH($B18,'Arable Model tables'!$J$53:$J$68,0),MATCH($C$7,'Arable Model tables'!$K$52:$O$52,0))</f>
        <v>2113.1228106136546</v>
      </c>
    </row>
    <row r="19" spans="2:19" x14ac:dyDescent="0.3">
      <c r="B19" s="745">
        <v>13</v>
      </c>
      <c r="C19" s="986"/>
      <c r="D19" s="748">
        <f>HLOOKUP($C$7,'Arable Model tables'!$D$4:$H$5,2,FALSE)</f>
        <v>5.5</v>
      </c>
      <c r="E19" s="748">
        <f>HLOOKUP($C$7,'Arable Model tables'!$D$8:$H$9,2,FALSE)</f>
        <v>210</v>
      </c>
      <c r="F19" s="748">
        <f>'Arable Model tables'!$D$12</f>
        <v>330</v>
      </c>
      <c r="G19" s="748">
        <f>HLOOKUP($C$7,'Arable Model tables'!$D$15:$H$16,2,FALSE)</f>
        <v>622.34710631578946</v>
      </c>
      <c r="H19" s="748">
        <f>HLOOKUP($C$7,'Arable Model tables'!$D$19:$H$20,2,FALSE)</f>
        <v>943.00233600000001</v>
      </c>
      <c r="I19" s="748">
        <f t="shared" si="0"/>
        <v>1565.3494423157895</v>
      </c>
      <c r="J19" s="748">
        <f>HLOOKUP($C$7,'Arable Model tables'!$D$23:$H$24,2,FALSE)</f>
        <v>1441.4549999999999</v>
      </c>
      <c r="K19" s="748">
        <f>HLOOKUP($C$7,'Arable Model tables'!$D$27:$H$28,2,FALSE)</f>
        <v>1771.4549999999999</v>
      </c>
      <c r="L19" s="748">
        <f t="shared" si="1"/>
        <v>-123.89444231578955</v>
      </c>
      <c r="M19" s="748">
        <f t="shared" si="2"/>
        <v>206.10555768421045</v>
      </c>
      <c r="N19" s="748">
        <f t="shared" si="3"/>
        <v>-1610.6277501052641</v>
      </c>
      <c r="O19" s="748">
        <f t="shared" si="4"/>
        <v>2679.3722498947359</v>
      </c>
      <c r="P19" s="748">
        <f>INDEX('Arable Model tables'!$D$33:$H$48,MATCH($B19,'Arable Model tables'!$C$33:$C$48,0),MATCH($C$7,'Arable Model tables'!$D$32:$H$32,0))</f>
        <v>-86.897069108023743</v>
      </c>
      <c r="Q19" s="748">
        <f>INDEX('Arable Model tables'!$K$33:$O$48,MATCH($B19,'Arable Model tables'!$J$33:$J$48,0),MATCH($C$7,'Arable Model tables'!$K$32:$O$32,0))</f>
        <v>144.55829135565742</v>
      </c>
      <c r="R19" s="748">
        <f>INDEX('Arable Model tables'!$D$53:$H$68,MATCH($B19,'Arable Model tables'!$C$53:$C$68,0),MATCH($C$7,'Arable Model tables'!$D$52:$H$52,0))</f>
        <v>-1357.1402159079844</v>
      </c>
      <c r="S19" s="748">
        <f>INDEX('Arable Model tables'!$K$53:$O$68,MATCH($B19,'Arable Model tables'!$J$53:$J$68,0),MATCH($C$7,'Arable Model tables'!$K$52:$O$52,0))</f>
        <v>2257.6811019693118</v>
      </c>
    </row>
    <row r="20" spans="2:19" x14ac:dyDescent="0.3">
      <c r="B20" s="745">
        <v>14</v>
      </c>
      <c r="C20" s="986"/>
      <c r="D20" s="748">
        <f>HLOOKUP($C$7,'Arable Model tables'!$D$4:$H$5,2,FALSE)</f>
        <v>5.5</v>
      </c>
      <c r="E20" s="748">
        <f>HLOOKUP($C$7,'Arable Model tables'!$D$8:$H$9,2,FALSE)</f>
        <v>210</v>
      </c>
      <c r="F20" s="748">
        <f>'Arable Model tables'!$D$12</f>
        <v>330</v>
      </c>
      <c r="G20" s="748">
        <f>HLOOKUP($C$7,'Arable Model tables'!$D$15:$H$16,2,FALSE)</f>
        <v>622.34710631578946</v>
      </c>
      <c r="H20" s="748">
        <f>HLOOKUP($C$7,'Arable Model tables'!$D$19:$H$20,2,FALSE)</f>
        <v>943.00233600000001</v>
      </c>
      <c r="I20" s="748">
        <f t="shared" si="0"/>
        <v>1565.3494423157895</v>
      </c>
      <c r="J20" s="748">
        <f>HLOOKUP($C$7,'Arable Model tables'!$D$23:$H$24,2,FALSE)</f>
        <v>1441.4549999999999</v>
      </c>
      <c r="K20" s="748">
        <f>HLOOKUP($C$7,'Arable Model tables'!$D$27:$H$28,2,FALSE)</f>
        <v>1771.4549999999999</v>
      </c>
      <c r="L20" s="748">
        <f t="shared" si="1"/>
        <v>-123.89444231578955</v>
      </c>
      <c r="M20" s="748">
        <f t="shared" si="2"/>
        <v>206.10555768421045</v>
      </c>
      <c r="N20" s="748">
        <f t="shared" si="3"/>
        <v>-1734.5221924210537</v>
      </c>
      <c r="O20" s="748">
        <f t="shared" si="4"/>
        <v>2885.4778075789463</v>
      </c>
      <c r="P20" s="748">
        <f>INDEX('Arable Model tables'!$D$33:$H$48,MATCH($B20,'Arable Model tables'!$C$33:$C$48,0),MATCH($C$7,'Arable Model tables'!$D$32:$H$32,0))</f>
        <v>-84.366086512644415</v>
      </c>
      <c r="Q20" s="748">
        <f>INDEX('Arable Model tables'!$K$33:$O$48,MATCH($B20,'Arable Model tables'!$J$33:$J$48,0),MATCH($C$7,'Arable Model tables'!$K$32:$O$32,0))</f>
        <v>140.34785568510429</v>
      </c>
      <c r="R20" s="748">
        <f>INDEX('Arable Model tables'!$D$53:$H$68,MATCH($B20,'Arable Model tables'!$C$53:$C$68,0),MATCH($C$7,'Arable Model tables'!$D$52:$H$52,0))</f>
        <v>-1441.5063024206288</v>
      </c>
      <c r="S20" s="748">
        <f>INDEX('Arable Model tables'!$K$53:$O$68,MATCH($B20,'Arable Model tables'!$J$53:$J$68,0),MATCH($C$7,'Arable Model tables'!$K$52:$O$52,0))</f>
        <v>2398.028957654416</v>
      </c>
    </row>
    <row r="21" spans="2:19" x14ac:dyDescent="0.3">
      <c r="B21" s="745">
        <v>15</v>
      </c>
      <c r="C21" s="986"/>
      <c r="D21" s="748">
        <f>HLOOKUP($C$7,'Arable Model tables'!$D$4:$H$5,2,FALSE)</f>
        <v>5.5</v>
      </c>
      <c r="E21" s="748">
        <f>HLOOKUP($C$7,'Arable Model tables'!$D$8:$H$9,2,FALSE)</f>
        <v>210</v>
      </c>
      <c r="F21" s="748">
        <f>'Arable Model tables'!$D$12</f>
        <v>330</v>
      </c>
      <c r="G21" s="748">
        <f>HLOOKUP($C$7,'Arable Model tables'!$D$15:$H$16,2,FALSE)</f>
        <v>622.34710631578946</v>
      </c>
      <c r="H21" s="748">
        <f>HLOOKUP($C$7,'Arable Model tables'!$D$19:$H$20,2,FALSE)</f>
        <v>943.00233600000001</v>
      </c>
      <c r="I21" s="748">
        <f t="shared" si="0"/>
        <v>1565.3494423157895</v>
      </c>
      <c r="J21" s="748">
        <f>HLOOKUP($C$7,'Arable Model tables'!$D$23:$H$24,2,FALSE)</f>
        <v>1441.4549999999999</v>
      </c>
      <c r="K21" s="748">
        <f>HLOOKUP($C$7,'Arable Model tables'!$D$27:$H$28,2,FALSE)</f>
        <v>1771.4549999999999</v>
      </c>
      <c r="L21" s="748">
        <f t="shared" si="1"/>
        <v>-123.89444231578955</v>
      </c>
      <c r="M21" s="748">
        <f t="shared" si="2"/>
        <v>206.10555768421045</v>
      </c>
      <c r="N21" s="748">
        <f t="shared" si="3"/>
        <v>-1858.4166347368432</v>
      </c>
      <c r="O21" s="748">
        <f t="shared" si="4"/>
        <v>3091.5833652631568</v>
      </c>
      <c r="P21" s="748">
        <f>INDEX('Arable Model tables'!$D$33:$H$48,MATCH($B21,'Arable Model tables'!$C$33:$C$48,0),MATCH($C$7,'Arable Model tables'!$D$32:$H$32,0))</f>
        <v>-81.908821856936243</v>
      </c>
      <c r="Q21" s="748">
        <f>INDEX('Arable Model tables'!$K$33:$O$48,MATCH($B21,'Arable Model tables'!$J$33:$J$48,0),MATCH($C$7,'Arable Model tables'!$K$32:$O$32,0))</f>
        <v>136.26005406320812</v>
      </c>
      <c r="R21" s="748">
        <f>INDEX('Arable Model tables'!$D$53:$H$68,MATCH($B21,'Arable Model tables'!$C$53:$C$68,0),MATCH($C$7,'Arable Model tables'!$D$52:$H$52,0))</f>
        <v>-1523.4151242775652</v>
      </c>
      <c r="S21" s="748">
        <f>INDEX('Arable Model tables'!$K$53:$O$68,MATCH($B21,'Arable Model tables'!$J$53:$J$68,0),MATCH($C$7,'Arable Model tables'!$K$52:$O$52,0))</f>
        <v>2534.2890117176239</v>
      </c>
    </row>
    <row r="22" spans="2:19" x14ac:dyDescent="0.3">
      <c r="B22" s="746">
        <v>16</v>
      </c>
      <c r="C22" s="987"/>
      <c r="D22" s="749">
        <f>HLOOKUP($C$7,'Arable Model tables'!$D$4:$H$5,2,FALSE)</f>
        <v>5.5</v>
      </c>
      <c r="E22" s="749">
        <f>HLOOKUP($C$7,'Arable Model tables'!$D$8:$H$9,2,FALSE)</f>
        <v>210</v>
      </c>
      <c r="F22" s="749">
        <f>'Arable Model tables'!$D$12</f>
        <v>330</v>
      </c>
      <c r="G22" s="749">
        <f>HLOOKUP($C$7,'Arable Model tables'!$D$15:$H$16,2,FALSE)</f>
        <v>622.34710631578946</v>
      </c>
      <c r="H22" s="749">
        <f>HLOOKUP($C$7,'Arable Model tables'!$D$19:$H$20,2,FALSE)</f>
        <v>943.00233600000001</v>
      </c>
      <c r="I22" s="749">
        <f t="shared" si="0"/>
        <v>1565.3494423157895</v>
      </c>
      <c r="J22" s="749">
        <f>HLOOKUP($C$7,'Arable Model tables'!$D$23:$H$24,2,FALSE)</f>
        <v>1441.4549999999999</v>
      </c>
      <c r="K22" s="749">
        <f>HLOOKUP($C$7,'Arable Model tables'!$D$27:$H$28,2,FALSE)</f>
        <v>1771.4549999999999</v>
      </c>
      <c r="L22" s="749">
        <f t="shared" si="1"/>
        <v>-123.89444231578955</v>
      </c>
      <c r="M22" s="749">
        <f t="shared" si="2"/>
        <v>206.10555768421045</v>
      </c>
      <c r="N22" s="749">
        <f t="shared" si="3"/>
        <v>-1982.3110770526328</v>
      </c>
      <c r="O22" s="749">
        <f t="shared" si="4"/>
        <v>3297.6889229473672</v>
      </c>
      <c r="P22" s="749">
        <f>INDEX('Arable Model tables'!$D$33:$H$48,MATCH($B22,'Arable Model tables'!$C$33:$C$48,0),MATCH($C$7,'Arable Model tables'!$D$32:$H$32,0))</f>
        <v>-79.523128016442911</v>
      </c>
      <c r="Q22" s="749">
        <f>INDEX('Arable Model tables'!$K$33:$O$48,MATCH($B22,'Arable Model tables'!$J$33:$J$48,0),MATCH($C$7,'Arable Model tables'!$K$32:$O$32,0))</f>
        <v>132.29131462447393</v>
      </c>
      <c r="R22" s="749">
        <f>INDEX('Arable Model tables'!$D$53:$H$68,MATCH($B22,'Arable Model tables'!$C$53:$C$68,0),MATCH($C$7,'Arable Model tables'!$D$52:$H$52,0))</f>
        <v>-1602.9382522940082</v>
      </c>
      <c r="S22" s="749">
        <f>INDEX('Arable Model tables'!$K$53:$O$68,MATCH($B22,'Arable Model tables'!$J$53:$J$68,0),MATCH($C$7,'Arable Model tables'!$K$52:$O$52,0))</f>
        <v>2666.580326342098</v>
      </c>
    </row>
    <row r="23" spans="2:19" x14ac:dyDescent="0.3">
      <c r="C23" s="363"/>
      <c r="M23" s="39"/>
      <c r="N23" s="39"/>
      <c r="O23" s="39"/>
      <c r="P23" s="39"/>
      <c r="Q23" s="39"/>
    </row>
    <row r="25" spans="2:19" x14ac:dyDescent="0.3">
      <c r="D25" s="24"/>
      <c r="E25" s="24"/>
      <c r="F25" s="24"/>
    </row>
    <row r="26" spans="2:19" ht="30" x14ac:dyDescent="0.3">
      <c r="B26" s="300"/>
      <c r="C26" s="750" t="s">
        <v>345</v>
      </c>
      <c r="D26" s="750" t="s">
        <v>346</v>
      </c>
      <c r="E26" s="750" t="s">
        <v>347</v>
      </c>
      <c r="F26" s="750" t="s">
        <v>348</v>
      </c>
    </row>
    <row r="27" spans="2:19" x14ac:dyDescent="0.3">
      <c r="B27" s="299"/>
      <c r="C27" s="742" t="s">
        <v>567</v>
      </c>
      <c r="D27" s="742" t="s">
        <v>567</v>
      </c>
      <c r="E27" s="742" t="s">
        <v>567</v>
      </c>
      <c r="F27" s="751" t="s">
        <v>582</v>
      </c>
    </row>
    <row r="28" spans="2:19" x14ac:dyDescent="0.3">
      <c r="B28" s="86" t="s">
        <v>284</v>
      </c>
      <c r="C28" s="361">
        <v>0</v>
      </c>
      <c r="D28" s="752">
        <f>'Energy NPV'!C6</f>
        <v>0.03</v>
      </c>
      <c r="E28" s="86"/>
      <c r="F28" s="86"/>
    </row>
    <row r="29" spans="2:19" x14ac:dyDescent="0.3">
      <c r="B29" s="86" t="s">
        <v>344</v>
      </c>
      <c r="C29" s="785">
        <f>N22</f>
        <v>-1982.3110770526328</v>
      </c>
      <c r="D29" s="785">
        <f>R22</f>
        <v>-1602.9382522940082</v>
      </c>
      <c r="E29" s="785">
        <f>D29*((1+$D$28)^16)/(((1+$D$28)^16)-1)</f>
        <v>-4253.7091861754425</v>
      </c>
      <c r="F29" s="785">
        <f>E29*$D$28</f>
        <v>-127.61127558526327</v>
      </c>
    </row>
    <row r="30" spans="2:19" x14ac:dyDescent="0.3">
      <c r="B30" s="86" t="s">
        <v>343</v>
      </c>
      <c r="C30" s="785">
        <f>O22</f>
        <v>3297.6889229473672</v>
      </c>
      <c r="D30" s="785">
        <f>S22</f>
        <v>2666.580326342098</v>
      </c>
      <c r="E30" s="785">
        <f>D30*((1+$D$28)^16)/(((1+$D$28)^16)-1)</f>
        <v>7076.290813824563</v>
      </c>
      <c r="F30" s="785">
        <f>E30*$D$28</f>
        <v>212.28872441473689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'Arable Model tables'!$D$4:$H$4</xm:f>
          </x14:formula1>
          <xm:sqref>C7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3:N97"/>
  <sheetViews>
    <sheetView topLeftCell="A39" workbookViewId="0">
      <selection activeCell="C59" sqref="C59"/>
    </sheetView>
  </sheetViews>
  <sheetFormatPr defaultColWidth="9" defaultRowHeight="14" x14ac:dyDescent="0.3"/>
  <cols>
    <col min="2" max="2" width="14.5" customWidth="1"/>
  </cols>
  <sheetData>
    <row r="3" spans="2:14" x14ac:dyDescent="0.3"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2:14" x14ac:dyDescent="0.3">
      <c r="B4" s="505"/>
      <c r="C4" s="434"/>
      <c r="H4" s="366"/>
      <c r="I4" s="366"/>
      <c r="J4" s="366"/>
      <c r="K4" s="366"/>
      <c r="L4" s="366"/>
      <c r="M4" s="366"/>
      <c r="N4" s="366"/>
    </row>
    <row r="5" spans="2:14" x14ac:dyDescent="0.3">
      <c r="B5" s="756" t="s">
        <v>217</v>
      </c>
      <c r="C5" s="432" t="s">
        <v>381</v>
      </c>
      <c r="D5" s="513" t="s">
        <v>91</v>
      </c>
      <c r="E5" s="513" t="s">
        <v>92</v>
      </c>
      <c r="F5" s="731" t="s">
        <v>93</v>
      </c>
      <c r="G5" s="731" t="s">
        <v>436</v>
      </c>
      <c r="H5" s="366"/>
      <c r="I5" s="366"/>
      <c r="J5" s="366"/>
      <c r="K5" s="366"/>
      <c r="L5" s="366"/>
      <c r="M5" s="366"/>
      <c r="N5" s="366"/>
    </row>
    <row r="6" spans="2:14" x14ac:dyDescent="0.3">
      <c r="B6" s="434"/>
      <c r="C6" s="728">
        <v>1</v>
      </c>
      <c r="D6" s="753"/>
      <c r="E6" s="753">
        <f>'Energy NPV'!$D39</f>
        <v>0.6</v>
      </c>
      <c r="F6" s="753">
        <f>'Energy NPV'!$D65</f>
        <v>1.761785888496743</v>
      </c>
      <c r="G6" s="753">
        <f>'Energy NPV'!$D91</f>
        <v>0</v>
      </c>
      <c r="H6" s="366"/>
      <c r="I6" s="366"/>
      <c r="J6" s="366"/>
      <c r="K6" s="366"/>
      <c r="L6" s="366"/>
      <c r="M6" s="366"/>
      <c r="N6" s="366"/>
    </row>
    <row r="7" spans="2:14" x14ac:dyDescent="0.3">
      <c r="B7" s="434"/>
      <c r="C7" s="419">
        <v>2</v>
      </c>
      <c r="D7" s="754"/>
      <c r="E7" s="754">
        <f>'Energy NPV'!$D40</f>
        <v>3.9250000000000007</v>
      </c>
      <c r="F7" s="754">
        <f>'Energy NPV'!$D66</f>
        <v>7.1188775071016606</v>
      </c>
      <c r="G7" s="754">
        <f>'Energy NPV'!$D92</f>
        <v>9.1411042944785272</v>
      </c>
      <c r="H7" s="366"/>
      <c r="I7" s="366"/>
      <c r="J7" s="366"/>
      <c r="K7" s="366"/>
      <c r="L7" s="366"/>
      <c r="M7" s="366"/>
      <c r="N7" s="366"/>
    </row>
    <row r="8" spans="2:14" x14ac:dyDescent="0.3">
      <c r="B8" s="434"/>
      <c r="C8" s="419">
        <v>3</v>
      </c>
      <c r="D8" s="754"/>
      <c r="E8" s="754">
        <f>'Energy NPV'!$D41</f>
        <v>11.099999999999998</v>
      </c>
      <c r="F8" s="754">
        <f>'Energy NPV'!$D67</f>
        <v>9.4057559323979216</v>
      </c>
      <c r="G8" s="754">
        <f>'Energy NPV'!$D93</f>
        <v>13.52760736196319</v>
      </c>
      <c r="H8" s="366"/>
      <c r="I8" s="366"/>
      <c r="J8" s="366"/>
      <c r="K8" s="366"/>
      <c r="L8" s="366"/>
      <c r="M8" s="366"/>
      <c r="N8" s="366"/>
    </row>
    <row r="9" spans="2:14" x14ac:dyDescent="0.3">
      <c r="B9" s="434"/>
      <c r="C9" s="419">
        <v>4</v>
      </c>
      <c r="D9" s="754">
        <f>'Energy Inputs'!$D$24</f>
        <v>26</v>
      </c>
      <c r="E9" s="754">
        <f>'Energy NPV'!$D42</f>
        <v>12.54</v>
      </c>
      <c r="F9" s="754">
        <f>'Energy NPV'!$D68</f>
        <v>10</v>
      </c>
      <c r="G9" s="754">
        <f>'Energy NPV'!$D94</f>
        <v>14.478527607361965</v>
      </c>
      <c r="H9" s="366"/>
      <c r="I9" s="366"/>
      <c r="J9" s="366"/>
      <c r="K9" s="366"/>
      <c r="L9" s="366"/>
      <c r="M9" s="366"/>
      <c r="N9" s="366"/>
    </row>
    <row r="10" spans="2:14" x14ac:dyDescent="0.3">
      <c r="B10" s="434"/>
      <c r="C10" s="419">
        <v>5</v>
      </c>
      <c r="D10" s="105"/>
      <c r="E10" s="754">
        <f>'Energy NPV'!$D43</f>
        <v>12.54</v>
      </c>
      <c r="F10" s="754">
        <f>'Energy NPV'!$D69</f>
        <v>10</v>
      </c>
      <c r="G10" s="754">
        <f>'Energy NPV'!$D95</f>
        <v>15</v>
      </c>
      <c r="H10" s="366"/>
      <c r="I10" s="366"/>
      <c r="J10" s="366"/>
      <c r="K10" s="366"/>
      <c r="L10" s="366"/>
      <c r="M10" s="366"/>
      <c r="N10" s="366"/>
    </row>
    <row r="11" spans="2:14" x14ac:dyDescent="0.3">
      <c r="B11" s="434"/>
      <c r="C11" s="419">
        <v>6</v>
      </c>
      <c r="D11" s="754"/>
      <c r="E11" s="754">
        <f>'Energy NPV'!$D44</f>
        <v>12.54</v>
      </c>
      <c r="F11" s="754">
        <f>'Energy NPV'!$D70</f>
        <v>10</v>
      </c>
      <c r="G11" s="754">
        <f>'Energy NPV'!$D96</f>
        <v>15</v>
      </c>
      <c r="H11" s="366"/>
      <c r="I11" s="366"/>
      <c r="J11" s="366"/>
      <c r="K11" s="366"/>
      <c r="L11" s="366"/>
      <c r="M11" s="366"/>
      <c r="N11" s="366"/>
    </row>
    <row r="12" spans="2:14" x14ac:dyDescent="0.3">
      <c r="B12" s="434"/>
      <c r="C12" s="419">
        <v>7</v>
      </c>
      <c r="D12" s="754">
        <f>'Energy Inputs'!$D$24</f>
        <v>26</v>
      </c>
      <c r="E12" s="754">
        <f>'Energy NPV'!$D45</f>
        <v>12.54</v>
      </c>
      <c r="F12" s="754">
        <f>'Energy NPV'!$D71</f>
        <v>10</v>
      </c>
      <c r="G12" s="754">
        <f>'Energy NPV'!$D97</f>
        <v>15</v>
      </c>
      <c r="H12" s="366"/>
      <c r="I12" s="366"/>
      <c r="J12" s="366"/>
      <c r="K12" s="366"/>
      <c r="L12" s="366"/>
      <c r="M12" s="366"/>
      <c r="N12" s="366"/>
    </row>
    <row r="13" spans="2:14" x14ac:dyDescent="0.3">
      <c r="B13" s="434"/>
      <c r="C13" s="419">
        <v>8</v>
      </c>
      <c r="D13" s="105"/>
      <c r="E13" s="754">
        <f>'Energy NPV'!$D46</f>
        <v>12.54</v>
      </c>
      <c r="F13" s="754">
        <f>'Energy NPV'!$D72</f>
        <v>10</v>
      </c>
      <c r="G13" s="754">
        <f>'Energy NPV'!$D98</f>
        <v>15</v>
      </c>
      <c r="H13" s="366"/>
      <c r="I13" s="366"/>
      <c r="J13" s="366"/>
      <c r="K13" s="366"/>
      <c r="L13" s="366"/>
      <c r="M13" s="366"/>
      <c r="N13" s="366"/>
    </row>
    <row r="14" spans="2:14" x14ac:dyDescent="0.3">
      <c r="B14" s="434"/>
      <c r="C14" s="419">
        <v>9</v>
      </c>
      <c r="D14" s="754"/>
      <c r="E14" s="754">
        <f>'Energy NPV'!$D47</f>
        <v>12.54</v>
      </c>
      <c r="F14" s="754">
        <f>'Energy NPV'!$D73</f>
        <v>10</v>
      </c>
      <c r="G14" s="754">
        <f>'Energy NPV'!$D99</f>
        <v>15</v>
      </c>
      <c r="H14" s="366"/>
      <c r="I14" s="366"/>
      <c r="J14" s="366"/>
      <c r="K14" s="366"/>
      <c r="L14" s="366"/>
      <c r="M14" s="366"/>
      <c r="N14" s="366"/>
    </row>
    <row r="15" spans="2:14" x14ac:dyDescent="0.3">
      <c r="B15" s="434"/>
      <c r="C15" s="419">
        <v>10</v>
      </c>
      <c r="D15" s="754">
        <f>'Energy Inputs'!$D$24</f>
        <v>26</v>
      </c>
      <c r="E15" s="754">
        <f>'Energy NPV'!$D48</f>
        <v>12.54</v>
      </c>
      <c r="F15" s="754">
        <f>'Energy NPV'!$D74</f>
        <v>10</v>
      </c>
      <c r="G15" s="754">
        <f>'Energy NPV'!$D100</f>
        <v>15</v>
      </c>
      <c r="H15" s="366"/>
      <c r="I15" s="366"/>
      <c r="J15" s="366"/>
      <c r="K15" s="366"/>
      <c r="L15" s="366"/>
      <c r="M15" s="366"/>
      <c r="N15" s="366"/>
    </row>
    <row r="16" spans="2:14" x14ac:dyDescent="0.3">
      <c r="B16" s="434"/>
      <c r="C16" s="419">
        <v>11</v>
      </c>
      <c r="D16" s="105"/>
      <c r="E16" s="754">
        <f>'Energy NPV'!$D49</f>
        <v>12.54</v>
      </c>
      <c r="F16" s="754">
        <f>'Energy NPV'!$D75</f>
        <v>10</v>
      </c>
      <c r="G16" s="754">
        <f>'Energy NPV'!$D101</f>
        <v>15</v>
      </c>
      <c r="H16" s="366"/>
      <c r="I16" s="366"/>
      <c r="J16" s="366"/>
      <c r="K16" s="366"/>
      <c r="L16" s="366"/>
      <c r="M16" s="366"/>
      <c r="N16" s="366"/>
    </row>
    <row r="17" spans="2:14" x14ac:dyDescent="0.3">
      <c r="B17" s="434"/>
      <c r="C17" s="419">
        <v>12</v>
      </c>
      <c r="D17" s="754"/>
      <c r="E17" s="754">
        <f>'Energy NPV'!$D50</f>
        <v>12.54</v>
      </c>
      <c r="F17" s="754">
        <f>'Energy NPV'!$D76</f>
        <v>10</v>
      </c>
      <c r="G17" s="754">
        <f>'Energy NPV'!$D102</f>
        <v>15</v>
      </c>
      <c r="H17" s="366"/>
      <c r="I17" s="366"/>
      <c r="J17" s="366"/>
      <c r="K17" s="366"/>
      <c r="L17" s="366"/>
      <c r="M17" s="366"/>
      <c r="N17" s="366"/>
    </row>
    <row r="18" spans="2:14" x14ac:dyDescent="0.3">
      <c r="B18" s="434"/>
      <c r="C18" s="419">
        <v>13</v>
      </c>
      <c r="D18" s="754">
        <f>'Energy Inputs'!$D$24</f>
        <v>26</v>
      </c>
      <c r="E18" s="754">
        <f>'Energy NPV'!$D51</f>
        <v>12.54</v>
      </c>
      <c r="F18" s="754">
        <f>'Energy NPV'!$D77</f>
        <v>10</v>
      </c>
      <c r="G18" s="754">
        <f>'Energy NPV'!$D103</f>
        <v>15</v>
      </c>
      <c r="H18" s="366"/>
      <c r="I18" s="366"/>
      <c r="J18" s="366"/>
      <c r="K18" s="366"/>
      <c r="L18" s="366"/>
      <c r="M18" s="366"/>
      <c r="N18" s="366"/>
    </row>
    <row r="19" spans="2:14" x14ac:dyDescent="0.3">
      <c r="B19" s="434"/>
      <c r="C19" s="419">
        <v>14</v>
      </c>
      <c r="D19" s="105"/>
      <c r="E19" s="754">
        <f>'Energy NPV'!$D52</f>
        <v>12.54</v>
      </c>
      <c r="F19" s="754">
        <f>'Energy NPV'!$D78</f>
        <v>10</v>
      </c>
      <c r="G19" s="754">
        <f>'Energy NPV'!$D104</f>
        <v>15</v>
      </c>
      <c r="H19" s="366"/>
      <c r="I19" s="366"/>
      <c r="J19" s="366"/>
      <c r="K19" s="366"/>
      <c r="L19" s="366"/>
      <c r="M19" s="366"/>
      <c r="N19" s="366"/>
    </row>
    <row r="20" spans="2:14" x14ac:dyDescent="0.3">
      <c r="B20" s="434"/>
      <c r="C20" s="419">
        <v>15</v>
      </c>
      <c r="D20" s="754"/>
      <c r="E20" s="754">
        <f>'Energy NPV'!$D53</f>
        <v>12.54</v>
      </c>
      <c r="F20" s="754">
        <f>'Energy NPV'!$D79</f>
        <v>10</v>
      </c>
      <c r="G20" s="754">
        <f>'Energy NPV'!$D105</f>
        <v>15</v>
      </c>
      <c r="H20" s="366"/>
      <c r="I20" s="366"/>
      <c r="J20" s="366"/>
      <c r="K20" s="366"/>
      <c r="L20" s="366"/>
      <c r="M20" s="366"/>
      <c r="N20" s="366"/>
    </row>
    <row r="21" spans="2:14" x14ac:dyDescent="0.3">
      <c r="B21" s="434"/>
      <c r="C21" s="560">
        <v>16</v>
      </c>
      <c r="D21" s="755">
        <f>'Energy Inputs'!$D$24</f>
        <v>26</v>
      </c>
      <c r="E21" s="755">
        <f>'Energy NPV'!$D54</f>
        <v>12.54</v>
      </c>
      <c r="F21" s="755">
        <f>'Energy NPV'!$D80</f>
        <v>10</v>
      </c>
      <c r="G21" s="755">
        <f>'Energy NPV'!$D106</f>
        <v>15</v>
      </c>
      <c r="H21" s="366"/>
      <c r="I21" s="366"/>
      <c r="J21" s="366"/>
      <c r="K21" s="366"/>
      <c r="L21" s="366"/>
      <c r="M21" s="366"/>
      <c r="N21" s="366"/>
    </row>
    <row r="22" spans="2:14" x14ac:dyDescent="0.3">
      <c r="B22" s="366"/>
      <c r="C22" s="366"/>
      <c r="D22" s="366"/>
      <c r="E22" s="366"/>
      <c r="F22" s="366"/>
      <c r="G22" s="366"/>
      <c r="H22" s="366"/>
      <c r="I22" s="366"/>
      <c r="J22" s="366"/>
      <c r="K22" s="366"/>
      <c r="L22" s="366"/>
      <c r="M22" s="366"/>
      <c r="N22" s="366"/>
    </row>
    <row r="23" spans="2:14" x14ac:dyDescent="0.3">
      <c r="B23" s="366"/>
      <c r="C23" s="366"/>
      <c r="D23" s="366"/>
      <c r="E23" s="366"/>
      <c r="F23" s="366"/>
      <c r="G23" s="366"/>
      <c r="H23" s="366"/>
      <c r="I23" s="366"/>
      <c r="J23" s="366"/>
      <c r="K23" s="366"/>
      <c r="L23" s="366"/>
      <c r="M23" s="366"/>
      <c r="N23" s="366"/>
    </row>
    <row r="24" spans="2:14" x14ac:dyDescent="0.3">
      <c r="B24" s="505"/>
      <c r="C24" s="434"/>
      <c r="D24" s="513" t="s">
        <v>91</v>
      </c>
      <c r="E24" s="513" t="s">
        <v>92</v>
      </c>
      <c r="F24" s="731" t="s">
        <v>93</v>
      </c>
      <c r="G24" s="731" t="s">
        <v>436</v>
      </c>
      <c r="H24" s="366"/>
      <c r="I24" s="366"/>
      <c r="J24" s="366"/>
      <c r="K24" s="366"/>
      <c r="L24" s="366"/>
      <c r="M24" s="366"/>
      <c r="N24" s="366"/>
    </row>
    <row r="25" spans="2:14" x14ac:dyDescent="0.3">
      <c r="B25" s="725" t="s">
        <v>246</v>
      </c>
      <c r="C25" s="725" t="s">
        <v>576</v>
      </c>
      <c r="D25" s="732">
        <f>'Energy Inputs'!D58</f>
        <v>43.75</v>
      </c>
      <c r="E25" s="732">
        <f>'Energy Inputs'!E58</f>
        <v>43.75</v>
      </c>
      <c r="F25" s="732">
        <f>'Energy Inputs'!F58</f>
        <v>43.75</v>
      </c>
      <c r="G25" s="732">
        <f>'Energy Inputs'!G58</f>
        <v>43.75</v>
      </c>
      <c r="H25" s="366"/>
      <c r="I25" s="366"/>
      <c r="J25" s="366"/>
      <c r="K25" s="366"/>
      <c r="L25" s="366"/>
      <c r="M25" s="366"/>
      <c r="N25" s="366"/>
    </row>
    <row r="26" spans="2:14" x14ac:dyDescent="0.3">
      <c r="B26" s="366"/>
      <c r="C26" s="366"/>
      <c r="D26" s="366"/>
      <c r="E26" s="366"/>
      <c r="F26" s="366"/>
      <c r="G26" s="366"/>
      <c r="H26" s="366"/>
      <c r="I26" s="366"/>
      <c r="J26" s="366"/>
      <c r="K26" s="366"/>
      <c r="L26" s="366"/>
      <c r="M26" s="366"/>
      <c r="N26" s="366"/>
    </row>
    <row r="27" spans="2:14" x14ac:dyDescent="0.3">
      <c r="B27" s="366"/>
      <c r="C27" s="366"/>
      <c r="D27" s="366"/>
      <c r="E27" s="366"/>
      <c r="F27" s="366"/>
      <c r="G27" s="366"/>
      <c r="H27" s="366"/>
      <c r="I27" s="366"/>
      <c r="J27" s="366"/>
      <c r="K27" s="366"/>
      <c r="L27" s="366"/>
      <c r="M27" s="366"/>
      <c r="N27" s="366"/>
    </row>
    <row r="28" spans="2:14" x14ac:dyDescent="0.3">
      <c r="B28" s="725" t="s">
        <v>214</v>
      </c>
      <c r="C28" s="779" t="s">
        <v>567</v>
      </c>
      <c r="D28" s="155">
        <f>'Energy Inputs'!D10</f>
        <v>330</v>
      </c>
      <c r="E28" s="366"/>
      <c r="F28" s="366"/>
      <c r="G28" s="366"/>
      <c r="H28" s="366"/>
      <c r="I28" s="366"/>
      <c r="J28" s="366"/>
      <c r="K28" s="366"/>
      <c r="L28" s="366"/>
      <c r="M28" s="366"/>
      <c r="N28" s="366"/>
    </row>
    <row r="29" spans="2:14" x14ac:dyDescent="0.3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366"/>
      <c r="M29" s="366"/>
      <c r="N29" s="366"/>
    </row>
    <row r="30" spans="2:14" x14ac:dyDescent="0.3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366"/>
      <c r="M30" s="366"/>
      <c r="N30" s="366"/>
    </row>
    <row r="31" spans="2:14" x14ac:dyDescent="0.3">
      <c r="B31" s="517" t="s">
        <v>79</v>
      </c>
      <c r="C31" s="681"/>
      <c r="D31" s="513" t="s">
        <v>91</v>
      </c>
      <c r="E31" s="513" t="s">
        <v>92</v>
      </c>
      <c r="F31" s="731" t="s">
        <v>93</v>
      </c>
      <c r="G31" s="731" t="s">
        <v>436</v>
      </c>
      <c r="H31" s="366"/>
      <c r="I31" s="366"/>
      <c r="J31" s="366"/>
      <c r="K31" s="366"/>
      <c r="L31" s="366"/>
      <c r="M31" s="366"/>
      <c r="N31" s="366"/>
    </row>
    <row r="32" spans="2:14" x14ac:dyDescent="0.3">
      <c r="B32" s="355" t="s">
        <v>9</v>
      </c>
      <c r="C32" s="356" t="s">
        <v>567</v>
      </c>
      <c r="D32" s="111">
        <f>'Margins summary'!P20</f>
        <v>1887.233334</v>
      </c>
      <c r="E32" s="111">
        <f>'Margins summary'!R20</f>
        <v>2254.8232439999997</v>
      </c>
      <c r="F32" s="111">
        <f>'Margins summary'!T20</f>
        <v>5743.7583439999999</v>
      </c>
      <c r="G32" s="111">
        <f>'Margins summary'!V20</f>
        <v>2769.6868439999998</v>
      </c>
      <c r="H32" s="366"/>
      <c r="I32" s="366"/>
      <c r="J32" s="366"/>
      <c r="K32" s="366"/>
      <c r="L32" s="366"/>
      <c r="M32" s="366"/>
      <c r="N32" s="366"/>
    </row>
    <row r="33" spans="2:14" x14ac:dyDescent="0.3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366"/>
      <c r="M33" s="366"/>
      <c r="N33" s="366"/>
    </row>
    <row r="34" spans="2:14" x14ac:dyDescent="0.3"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</row>
    <row r="35" spans="2:14" x14ac:dyDescent="0.3">
      <c r="B35" s="517" t="s">
        <v>85</v>
      </c>
      <c r="C35" s="681"/>
      <c r="H35" s="366"/>
      <c r="I35" s="366"/>
      <c r="J35" s="366"/>
      <c r="K35" s="366"/>
      <c r="L35" s="366"/>
      <c r="M35" s="366"/>
      <c r="N35" s="366"/>
    </row>
    <row r="36" spans="2:14" x14ac:dyDescent="0.3">
      <c r="B36" s="357" t="s">
        <v>9</v>
      </c>
      <c r="C36" s="356" t="s">
        <v>567</v>
      </c>
      <c r="D36" s="513" t="s">
        <v>91</v>
      </c>
      <c r="E36" s="513" t="s">
        <v>92</v>
      </c>
      <c r="F36" s="731" t="s">
        <v>93</v>
      </c>
      <c r="G36" s="731" t="s">
        <v>436</v>
      </c>
      <c r="H36" s="366"/>
      <c r="I36" s="366"/>
      <c r="J36" s="366"/>
      <c r="K36" s="366"/>
      <c r="L36" s="366"/>
      <c r="M36" s="366"/>
      <c r="N36" s="366"/>
    </row>
    <row r="37" spans="2:14" x14ac:dyDescent="0.3">
      <c r="B37" s="366"/>
      <c r="C37" s="728">
        <v>1</v>
      </c>
      <c r="D37" s="753"/>
      <c r="E37" s="107">
        <v>0</v>
      </c>
      <c r="F37" s="107">
        <v>0</v>
      </c>
      <c r="G37" s="107">
        <v>0</v>
      </c>
      <c r="H37" s="366"/>
      <c r="I37" s="366"/>
      <c r="J37" s="366"/>
      <c r="K37" s="366"/>
      <c r="L37" s="366"/>
      <c r="M37" s="366"/>
      <c r="N37" s="366"/>
    </row>
    <row r="38" spans="2:14" x14ac:dyDescent="0.3">
      <c r="B38" s="366"/>
      <c r="C38" s="419">
        <v>2</v>
      </c>
      <c r="D38" s="754"/>
      <c r="E38" s="532">
        <f>'Margins summary'!$S$22</f>
        <v>438.63511066666666</v>
      </c>
      <c r="F38" s="532">
        <f>'Margins summary'!$U$22</f>
        <v>340.26047733333331</v>
      </c>
      <c r="G38" s="532">
        <f>'Margins summary'!$W$22</f>
        <v>441.28059399999995</v>
      </c>
      <c r="H38" s="366"/>
      <c r="I38" s="366"/>
      <c r="J38" s="366"/>
      <c r="K38" s="366"/>
      <c r="L38" s="366"/>
      <c r="M38" s="366"/>
      <c r="N38" s="366"/>
    </row>
    <row r="39" spans="2:14" x14ac:dyDescent="0.3">
      <c r="B39" s="366"/>
      <c r="C39" s="419">
        <v>3</v>
      </c>
      <c r="D39" s="754"/>
      <c r="E39" s="532">
        <f>'Margins summary'!$S$22</f>
        <v>438.63511066666666</v>
      </c>
      <c r="F39" s="532">
        <f>'Margins summary'!$U$22</f>
        <v>340.26047733333331</v>
      </c>
      <c r="G39" s="532">
        <f>'Margins summary'!$W$22</f>
        <v>441.28059399999995</v>
      </c>
      <c r="H39" s="366"/>
      <c r="I39" s="366"/>
      <c r="J39" s="366"/>
      <c r="K39" s="366"/>
      <c r="L39" s="366"/>
      <c r="M39" s="366"/>
      <c r="N39" s="366"/>
    </row>
    <row r="40" spans="2:14" x14ac:dyDescent="0.3">
      <c r="B40" s="366"/>
      <c r="C40" s="419">
        <v>4</v>
      </c>
      <c r="D40" s="301">
        <f>'Margins summary'!$P$22/5</f>
        <v>1064.5889344</v>
      </c>
      <c r="E40" s="532">
        <f>'Margins summary'!$S$22</f>
        <v>438.63511066666666</v>
      </c>
      <c r="F40" s="532">
        <f>'Margins summary'!$U$22</f>
        <v>340.26047733333331</v>
      </c>
      <c r="G40" s="532">
        <f>'Margins summary'!$W$22</f>
        <v>441.28059399999995</v>
      </c>
      <c r="H40" s="366"/>
      <c r="I40" s="366"/>
      <c r="J40" s="366"/>
      <c r="K40" s="366"/>
      <c r="L40" s="366"/>
      <c r="M40" s="366"/>
      <c r="N40" s="366"/>
    </row>
    <row r="41" spans="2:14" x14ac:dyDescent="0.3">
      <c r="B41" s="366"/>
      <c r="C41" s="419">
        <v>5</v>
      </c>
      <c r="D41" s="754"/>
      <c r="E41" s="532">
        <f>'Margins summary'!$S$22</f>
        <v>438.63511066666666</v>
      </c>
      <c r="F41" s="532">
        <f>'Margins summary'!$U$22</f>
        <v>340.26047733333331</v>
      </c>
      <c r="G41" s="532">
        <f>'Margins summary'!$W$22</f>
        <v>441.28059399999995</v>
      </c>
      <c r="H41" s="366"/>
      <c r="I41" s="366"/>
      <c r="J41" s="366"/>
      <c r="K41" s="366"/>
      <c r="L41" s="366"/>
      <c r="M41" s="366"/>
      <c r="N41" s="366"/>
    </row>
    <row r="42" spans="2:14" x14ac:dyDescent="0.3">
      <c r="B42" s="366"/>
      <c r="C42" s="419">
        <v>6</v>
      </c>
      <c r="D42" s="754"/>
      <c r="E42" s="532">
        <f>'Margins summary'!$S$22</f>
        <v>438.63511066666666</v>
      </c>
      <c r="F42" s="532">
        <f>'Margins summary'!$U$22</f>
        <v>340.26047733333331</v>
      </c>
      <c r="G42" s="532">
        <f>'Margins summary'!$W$22</f>
        <v>441.28059399999995</v>
      </c>
      <c r="H42" s="366"/>
      <c r="I42" s="366"/>
      <c r="J42" s="366"/>
      <c r="K42" s="366"/>
      <c r="L42" s="366"/>
      <c r="M42" s="366"/>
      <c r="N42" s="366"/>
    </row>
    <row r="43" spans="2:14" x14ac:dyDescent="0.3">
      <c r="B43" s="366"/>
      <c r="C43" s="419">
        <v>7</v>
      </c>
      <c r="D43" s="301">
        <f>'Margins summary'!$P$22/5</f>
        <v>1064.5889344</v>
      </c>
      <c r="E43" s="532">
        <f>'Margins summary'!$S$22</f>
        <v>438.63511066666666</v>
      </c>
      <c r="F43" s="532">
        <f>'Margins summary'!$U$22</f>
        <v>340.26047733333331</v>
      </c>
      <c r="G43" s="532">
        <f>'Margins summary'!$W$22</f>
        <v>441.28059399999995</v>
      </c>
      <c r="H43" s="366"/>
      <c r="I43" s="366"/>
      <c r="J43" s="366"/>
      <c r="K43" s="366"/>
      <c r="L43" s="366"/>
      <c r="M43" s="366"/>
      <c r="N43" s="366"/>
    </row>
    <row r="44" spans="2:14" x14ac:dyDescent="0.3">
      <c r="B44" s="366"/>
      <c r="C44" s="419">
        <v>8</v>
      </c>
      <c r="D44" s="754"/>
      <c r="E44" s="532">
        <f>'Margins summary'!$S$22</f>
        <v>438.63511066666666</v>
      </c>
      <c r="F44" s="532">
        <f>'Margins summary'!$U$22</f>
        <v>340.26047733333331</v>
      </c>
      <c r="G44" s="532">
        <f>'Margins summary'!$W$22</f>
        <v>441.28059399999995</v>
      </c>
      <c r="H44" s="366"/>
      <c r="I44" s="366"/>
      <c r="J44" s="366"/>
      <c r="K44" s="366"/>
      <c r="L44" s="366"/>
      <c r="M44" s="366"/>
      <c r="N44" s="366"/>
    </row>
    <row r="45" spans="2:14" x14ac:dyDescent="0.3">
      <c r="B45" s="366"/>
      <c r="C45" s="419">
        <v>9</v>
      </c>
      <c r="D45" s="754"/>
      <c r="E45" s="532">
        <f>'Margins summary'!$S$22</f>
        <v>438.63511066666666</v>
      </c>
      <c r="F45" s="532">
        <f>'Margins summary'!$U$22</f>
        <v>340.26047733333331</v>
      </c>
      <c r="G45" s="532">
        <f>'Margins summary'!$W$22</f>
        <v>441.28059399999995</v>
      </c>
      <c r="H45" s="366"/>
      <c r="I45" s="366"/>
      <c r="J45" s="366"/>
      <c r="K45" s="366"/>
      <c r="L45" s="366"/>
      <c r="M45" s="366"/>
      <c r="N45" s="366"/>
    </row>
    <row r="46" spans="2:14" x14ac:dyDescent="0.3">
      <c r="B46" s="366"/>
      <c r="C46" s="419">
        <v>10</v>
      </c>
      <c r="D46" s="301">
        <f>'Margins summary'!$P$22/5</f>
        <v>1064.5889344</v>
      </c>
      <c r="E46" s="532">
        <f>'Margins summary'!$S$22</f>
        <v>438.63511066666666</v>
      </c>
      <c r="F46" s="532">
        <f>'Margins summary'!$U$22</f>
        <v>340.26047733333331</v>
      </c>
      <c r="G46" s="532">
        <f>'Margins summary'!$W$22</f>
        <v>441.28059399999995</v>
      </c>
      <c r="H46" s="366"/>
      <c r="I46" s="366"/>
      <c r="J46" s="366"/>
      <c r="K46" s="366"/>
      <c r="L46" s="366"/>
      <c r="M46" s="366"/>
      <c r="N46" s="366"/>
    </row>
    <row r="47" spans="2:14" x14ac:dyDescent="0.3">
      <c r="B47" s="366"/>
      <c r="C47" s="419">
        <v>11</v>
      </c>
      <c r="D47" s="105"/>
      <c r="E47" s="532">
        <f>'Margins summary'!$S$22</f>
        <v>438.63511066666666</v>
      </c>
      <c r="F47" s="532">
        <f>'Margins summary'!$U$22</f>
        <v>340.26047733333331</v>
      </c>
      <c r="G47" s="532">
        <f>'Margins summary'!$W$22</f>
        <v>441.28059399999995</v>
      </c>
      <c r="H47" s="366"/>
      <c r="I47" s="366"/>
      <c r="J47" s="366"/>
      <c r="K47" s="366"/>
      <c r="L47" s="366"/>
      <c r="M47" s="366"/>
      <c r="N47" s="366"/>
    </row>
    <row r="48" spans="2:14" x14ac:dyDescent="0.3">
      <c r="B48" s="366"/>
      <c r="C48" s="419">
        <v>12</v>
      </c>
      <c r="D48" s="754"/>
      <c r="E48" s="532">
        <f>'Margins summary'!$S$22</f>
        <v>438.63511066666666</v>
      </c>
      <c r="F48" s="532">
        <f>'Margins summary'!$U$22</f>
        <v>340.26047733333331</v>
      </c>
      <c r="G48" s="532">
        <f>'Margins summary'!$W$22</f>
        <v>441.28059399999995</v>
      </c>
      <c r="H48" s="366"/>
      <c r="I48" s="366"/>
      <c r="J48" s="366"/>
      <c r="K48" s="366"/>
      <c r="L48" s="366"/>
      <c r="M48" s="366"/>
      <c r="N48" s="366"/>
    </row>
    <row r="49" spans="2:14" x14ac:dyDescent="0.3">
      <c r="B49" s="366"/>
      <c r="C49" s="419">
        <v>13</v>
      </c>
      <c r="D49" s="301">
        <f>'Margins summary'!$P$22/5</f>
        <v>1064.5889344</v>
      </c>
      <c r="E49" s="532">
        <f>'Margins summary'!$S$22</f>
        <v>438.63511066666666</v>
      </c>
      <c r="F49" s="532">
        <f>'Margins summary'!$U$22</f>
        <v>340.26047733333331</v>
      </c>
      <c r="G49" s="532">
        <f>'Margins summary'!$W$22</f>
        <v>441.28059399999995</v>
      </c>
      <c r="H49" s="366"/>
      <c r="I49" s="366"/>
      <c r="J49" s="366"/>
      <c r="K49" s="366"/>
      <c r="L49" s="366"/>
      <c r="M49" s="366"/>
      <c r="N49" s="366"/>
    </row>
    <row r="50" spans="2:14" x14ac:dyDescent="0.3">
      <c r="B50" s="366"/>
      <c r="C50" s="419">
        <v>14</v>
      </c>
      <c r="D50" s="105"/>
      <c r="E50" s="532">
        <f>'Margins summary'!$S$22</f>
        <v>438.63511066666666</v>
      </c>
      <c r="F50" s="532">
        <f>'Margins summary'!$U$22</f>
        <v>340.26047733333331</v>
      </c>
      <c r="G50" s="532">
        <f>'Margins summary'!$W$22</f>
        <v>441.28059399999995</v>
      </c>
      <c r="H50" s="366"/>
      <c r="I50" s="366"/>
      <c r="J50" s="366"/>
      <c r="K50" s="366"/>
      <c r="L50" s="366"/>
      <c r="M50" s="366"/>
      <c r="N50" s="366"/>
    </row>
    <row r="51" spans="2:14" x14ac:dyDescent="0.3">
      <c r="B51" s="366"/>
      <c r="C51" s="419">
        <v>15</v>
      </c>
      <c r="D51" s="754"/>
      <c r="E51" s="532">
        <f>'Margins summary'!$S$22</f>
        <v>438.63511066666666</v>
      </c>
      <c r="F51" s="532">
        <f>'Margins summary'!$U$22</f>
        <v>340.26047733333331</v>
      </c>
      <c r="G51" s="532">
        <f>'Margins summary'!$W$22</f>
        <v>441.28059399999995</v>
      </c>
      <c r="H51" s="366"/>
      <c r="I51" s="366"/>
      <c r="J51" s="366"/>
      <c r="K51" s="366"/>
      <c r="L51" s="366"/>
      <c r="M51" s="366"/>
      <c r="N51" s="366"/>
    </row>
    <row r="52" spans="2:14" x14ac:dyDescent="0.3">
      <c r="B52" s="366"/>
      <c r="C52" s="560">
        <v>16</v>
      </c>
      <c r="D52" s="299">
        <f>'Margins summary'!$P$22/5</f>
        <v>1064.5889344</v>
      </c>
      <c r="E52" s="536">
        <f>'Margins summary'!$S$22</f>
        <v>438.63511066666666</v>
      </c>
      <c r="F52" s="536">
        <f>'Margins summary'!$U$22</f>
        <v>340.26047733333331</v>
      </c>
      <c r="G52" s="536">
        <f>'Margins summary'!$W$22</f>
        <v>441.28059399999995</v>
      </c>
      <c r="H52" s="366"/>
      <c r="I52" s="366"/>
      <c r="J52" s="366"/>
      <c r="K52" s="366"/>
      <c r="L52" s="366"/>
      <c r="M52" s="366"/>
      <c r="N52" s="366"/>
    </row>
    <row r="53" spans="2:14" x14ac:dyDescent="0.3">
      <c r="B53" s="366"/>
      <c r="C53" s="366"/>
      <c r="D53" s="366"/>
      <c r="E53" s="366"/>
      <c r="F53" s="366"/>
      <c r="G53" s="366"/>
      <c r="H53" s="366"/>
      <c r="I53" s="366"/>
      <c r="J53" s="366"/>
      <c r="K53" s="366"/>
      <c r="L53" s="366"/>
      <c r="M53" s="366"/>
      <c r="N53" s="366"/>
    </row>
    <row r="54" spans="2:14" x14ac:dyDescent="0.3">
      <c r="B54" s="366"/>
      <c r="C54" s="366"/>
      <c r="D54" s="366"/>
      <c r="E54" s="366"/>
      <c r="F54" s="366"/>
      <c r="G54" s="366"/>
      <c r="H54" s="366"/>
      <c r="I54" s="366"/>
      <c r="J54" s="366"/>
      <c r="K54" s="366"/>
      <c r="L54" s="366"/>
      <c r="M54" s="366"/>
      <c r="N54" s="366"/>
    </row>
    <row r="55" spans="2:14" x14ac:dyDescent="0.3">
      <c r="B55" s="517" t="s">
        <v>261</v>
      </c>
      <c r="C55" s="681"/>
      <c r="D55" s="513" t="s">
        <v>91</v>
      </c>
      <c r="E55" s="513" t="s">
        <v>92</v>
      </c>
      <c r="F55" s="731" t="s">
        <v>93</v>
      </c>
      <c r="G55" s="731" t="s">
        <v>436</v>
      </c>
      <c r="H55" s="366"/>
      <c r="I55" s="366"/>
      <c r="J55" s="366"/>
      <c r="K55" s="366"/>
      <c r="L55" s="366"/>
      <c r="M55" s="366"/>
      <c r="N55" s="366"/>
    </row>
    <row r="56" spans="2:14" x14ac:dyDescent="0.3">
      <c r="B56" s="357" t="s">
        <v>9</v>
      </c>
      <c r="C56" s="356" t="s">
        <v>567</v>
      </c>
      <c r="D56" s="100">
        <f>'Energy margins'!J67</f>
        <v>500</v>
      </c>
      <c r="E56" s="100">
        <f>'Energy margins'!Q67</f>
        <v>192.1</v>
      </c>
      <c r="F56" s="100">
        <f>'Energy margins'!X67</f>
        <v>192.1</v>
      </c>
      <c r="G56" s="100">
        <f>'Energy margins'!AE67</f>
        <v>192.1</v>
      </c>
      <c r="H56" s="366"/>
      <c r="I56" s="366"/>
      <c r="J56" s="366"/>
      <c r="K56" s="366"/>
      <c r="L56" s="366"/>
      <c r="M56" s="366"/>
      <c r="N56" s="366"/>
    </row>
    <row r="57" spans="2:14" x14ac:dyDescent="0.3">
      <c r="B57" s="366"/>
      <c r="C57" s="366"/>
      <c r="D57" s="119"/>
      <c r="E57" s="119"/>
      <c r="F57" s="119"/>
      <c r="G57" s="119"/>
      <c r="H57" s="366"/>
      <c r="I57" s="366"/>
      <c r="J57" s="366"/>
      <c r="K57" s="366"/>
      <c r="L57" s="366"/>
      <c r="M57" s="366"/>
      <c r="N57" s="366"/>
    </row>
    <row r="58" spans="2:14" x14ac:dyDescent="0.3">
      <c r="B58" s="366"/>
      <c r="C58" s="366"/>
      <c r="D58" s="366"/>
      <c r="E58" s="366"/>
      <c r="F58" s="366"/>
      <c r="G58" s="366"/>
      <c r="H58" s="366"/>
      <c r="I58" s="366"/>
      <c r="J58" s="366"/>
      <c r="K58" s="366"/>
      <c r="L58" s="366"/>
      <c r="M58" s="366"/>
      <c r="N58" s="366"/>
    </row>
    <row r="59" spans="2:14" x14ac:dyDescent="0.3">
      <c r="B59" s="366"/>
      <c r="C59" s="517" t="s">
        <v>686</v>
      </c>
      <c r="D59" s="680"/>
      <c r="E59" s="680"/>
      <c r="F59" s="680"/>
      <c r="G59" s="681"/>
      <c r="H59" s="366"/>
      <c r="I59" s="517" t="s">
        <v>687</v>
      </c>
      <c r="J59" s="680"/>
      <c r="K59" s="680"/>
      <c r="L59" s="680"/>
      <c r="M59" s="681"/>
      <c r="N59" s="366"/>
    </row>
    <row r="60" spans="2:14" x14ac:dyDescent="0.3">
      <c r="B60" s="358"/>
      <c r="C60" s="563"/>
      <c r="D60" s="513" t="s">
        <v>91</v>
      </c>
      <c r="E60" s="513" t="s">
        <v>92</v>
      </c>
      <c r="F60" s="731" t="s">
        <v>93</v>
      </c>
      <c r="G60" s="731" t="s">
        <v>436</v>
      </c>
      <c r="H60" s="366"/>
      <c r="I60" s="563"/>
      <c r="J60" s="513" t="s">
        <v>91</v>
      </c>
      <c r="K60" s="513" t="s">
        <v>92</v>
      </c>
      <c r="L60" s="731" t="s">
        <v>93</v>
      </c>
      <c r="M60" s="731" t="s">
        <v>436</v>
      </c>
      <c r="N60" s="366"/>
    </row>
    <row r="61" spans="2:14" x14ac:dyDescent="0.3">
      <c r="B61" s="366"/>
      <c r="C61" s="728">
        <v>1</v>
      </c>
      <c r="D61" s="558">
        <f>'Energy NPV'!AC13</f>
        <v>-1887.233334</v>
      </c>
      <c r="E61" s="558">
        <f>'Energy NPV'!AC39</f>
        <v>-2228.5732439999997</v>
      </c>
      <c r="F61" s="558">
        <f>'Energy NPV'!AC65</f>
        <v>-5779.6802113782669</v>
      </c>
      <c r="G61" s="558">
        <f>'Energy NPV'!AC91</f>
        <v>-2769.6868439999998</v>
      </c>
      <c r="H61" s="366"/>
      <c r="I61" s="728">
        <v>1</v>
      </c>
      <c r="J61" s="558">
        <f>'Energy NPV'!AD13</f>
        <v>-1557.233334</v>
      </c>
      <c r="K61" s="558">
        <f>'Energy NPV'!AD39</f>
        <v>-1898.5732439999997</v>
      </c>
      <c r="L61" s="558">
        <f>'Energy NPV'!AD65</f>
        <v>-5449.6802113782669</v>
      </c>
      <c r="M61" s="558">
        <f>'Energy NPV'!AD91</f>
        <v>-2439.6868439999998</v>
      </c>
      <c r="N61" s="366"/>
    </row>
    <row r="62" spans="2:14" x14ac:dyDescent="0.3">
      <c r="B62" s="366"/>
      <c r="C62" s="419">
        <v>2</v>
      </c>
      <c r="D62" s="559">
        <f>'Energy NPV'!AC14</f>
        <v>377.89093786407767</v>
      </c>
      <c r="E62" s="559">
        <f>'Energy NPV'!AC40</f>
        <v>-354.50824660194166</v>
      </c>
      <c r="F62" s="559">
        <f>'Energy NPV'!AC66</f>
        <v>-181.0507311303906</v>
      </c>
      <c r="G62" s="559">
        <f>'Energy NPV'!AC92</f>
        <v>-194.70488457918862</v>
      </c>
      <c r="H62" s="366"/>
      <c r="I62" s="419">
        <v>2</v>
      </c>
      <c r="J62" s="559">
        <f>'Energy NPV'!AD14</f>
        <v>698.27928737864079</v>
      </c>
      <c r="K62" s="559">
        <f>'Energy NPV'!AD40</f>
        <v>-34.119897087378561</v>
      </c>
      <c r="L62" s="559">
        <f>'Energy NPV'!AD66</f>
        <v>139.33761838417252</v>
      </c>
      <c r="M62" s="559">
        <f>'Energy NPV'!AD92</f>
        <v>125.68346493537443</v>
      </c>
      <c r="N62" s="366"/>
    </row>
    <row r="63" spans="2:14" x14ac:dyDescent="0.3">
      <c r="B63" s="366"/>
      <c r="C63" s="419">
        <v>3</v>
      </c>
      <c r="D63" s="559">
        <f>'Energy NPV'!AC15</f>
        <v>-104.19360919973606</v>
      </c>
      <c r="E63" s="559">
        <f>'Energy NPV'!AC41</f>
        <v>-48.296016589688037</v>
      </c>
      <c r="F63" s="559">
        <f>'Energy NPV'!AC67</f>
        <v>-81.469810498247639</v>
      </c>
      <c r="G63" s="559">
        <f>'Energy NPV'!AC93</f>
        <v>-8.140750225384382</v>
      </c>
      <c r="H63" s="366"/>
      <c r="I63" s="419">
        <v>3</v>
      </c>
      <c r="J63" s="559">
        <f>'Energy NPV'!AD15</f>
        <v>206.86304081440289</v>
      </c>
      <c r="K63" s="559">
        <f>'Energy NPV'!AD41</f>
        <v>262.76063342445093</v>
      </c>
      <c r="L63" s="559">
        <f>'Energy NPV'!AD67</f>
        <v>229.58683951589126</v>
      </c>
      <c r="M63" s="559">
        <f>'Energy NPV'!AD93</f>
        <v>302.91589978875459</v>
      </c>
      <c r="N63" s="366"/>
    </row>
    <row r="64" spans="2:14" x14ac:dyDescent="0.3">
      <c r="B64" s="366"/>
      <c r="C64" s="419">
        <v>4</v>
      </c>
      <c r="D64" s="559">
        <f>'Energy NPV'!AC16</f>
        <v>457.35729601263625</v>
      </c>
      <c r="E64" s="559">
        <f>'Energy NPV'!AC42</f>
        <v>114.48582857383411</v>
      </c>
      <c r="F64" s="559">
        <f>'Energy NPV'!AC68</f>
        <v>111.18683440603192</v>
      </c>
      <c r="G64" s="559">
        <f>'Energy NPV'!AC94</f>
        <v>196.66050058439669</v>
      </c>
      <c r="H64" s="366"/>
      <c r="I64" s="419">
        <v>4</v>
      </c>
      <c r="J64" s="559">
        <f>'Energy NPV'!AD16</f>
        <v>759.35404359917891</v>
      </c>
      <c r="K64" s="559">
        <f>'Energy NPV'!AD42</f>
        <v>416.48257616037677</v>
      </c>
      <c r="L64" s="559">
        <f>'Energy NPV'!AD68</f>
        <v>413.18358199257455</v>
      </c>
      <c r="M64" s="559">
        <f>'Energy NPV'!AD94</f>
        <v>498.65724817093934</v>
      </c>
      <c r="N64" s="366"/>
    </row>
    <row r="65" spans="2:14" x14ac:dyDescent="0.3">
      <c r="B65" s="366"/>
      <c r="C65" s="419">
        <v>5</v>
      </c>
      <c r="D65" s="559">
        <f>'Energy NPV'!AC17</f>
        <v>0</v>
      </c>
      <c r="E65" s="559">
        <f>'Energy NPV'!AC43</f>
        <v>111.15128987750884</v>
      </c>
      <c r="F65" s="559">
        <f>'Energy NPV'!AC69</f>
        <v>107.94838291847759</v>
      </c>
      <c r="G65" s="559">
        <f>'Energy NPV'!AC95</f>
        <v>211.20283900754194</v>
      </c>
      <c r="H65" s="366"/>
      <c r="I65" s="419">
        <v>5</v>
      </c>
      <c r="J65" s="559">
        <f>'Energy NPV'!AD17</f>
        <v>293.20072581217738</v>
      </c>
      <c r="K65" s="559">
        <f>'Energy NPV'!AD43</f>
        <v>404.3520156896862</v>
      </c>
      <c r="L65" s="559">
        <f>'Energy NPV'!AD69</f>
        <v>401.14910873065497</v>
      </c>
      <c r="M65" s="559">
        <f>'Energy NPV'!AD95</f>
        <v>504.40356481971929</v>
      </c>
      <c r="N65" s="366"/>
    </row>
    <row r="66" spans="2:14" x14ac:dyDescent="0.3">
      <c r="B66" s="366"/>
      <c r="C66" s="419">
        <v>6</v>
      </c>
      <c r="D66" s="559">
        <f>'Energy NPV'!AC18</f>
        <v>431.10311623398655</v>
      </c>
      <c r="E66" s="559">
        <f>'Energy NPV'!AC44</f>
        <v>107.91387366748432</v>
      </c>
      <c r="F66" s="559">
        <f>'Energy NPV'!AC70</f>
        <v>104.80425526065787</v>
      </c>
      <c r="G66" s="559">
        <f>'Energy NPV'!AC96</f>
        <v>205.05130000732228</v>
      </c>
      <c r="H66" s="366"/>
      <c r="I66" s="419">
        <v>6</v>
      </c>
      <c r="J66" s="559">
        <f>'Energy NPV'!AD18</f>
        <v>715.76401508076071</v>
      </c>
      <c r="K66" s="559">
        <f>'Energy NPV'!AD44</f>
        <v>392.57477251425848</v>
      </c>
      <c r="L66" s="559">
        <f>'Energy NPV'!AD70</f>
        <v>389.465154107432</v>
      </c>
      <c r="M66" s="559">
        <f>'Energy NPV'!AD96</f>
        <v>489.71219885409641</v>
      </c>
      <c r="N66" s="366"/>
    </row>
    <row r="67" spans="2:14" x14ac:dyDescent="0.3">
      <c r="B67" s="366"/>
      <c r="C67" s="419">
        <v>7</v>
      </c>
      <c r="D67" s="559">
        <f>'Energy NPV'!AC19</f>
        <v>0</v>
      </c>
      <c r="E67" s="559">
        <f>'Energy NPV'!AC45</f>
        <v>104.77075113347992</v>
      </c>
      <c r="F67" s="559">
        <f>'Energy NPV'!AC71</f>
        <v>101.75170413656103</v>
      </c>
      <c r="G67" s="559">
        <f>'Energy NPV'!AC97</f>
        <v>199.07893204594396</v>
      </c>
      <c r="H67" s="366"/>
      <c r="I67" s="419">
        <v>7</v>
      </c>
      <c r="J67" s="559">
        <f>'Energy NPV'!AD19</f>
        <v>276.36980470560593</v>
      </c>
      <c r="K67" s="559">
        <f>'Energy NPV'!AD45</f>
        <v>381.14055583908589</v>
      </c>
      <c r="L67" s="559">
        <f>'Energy NPV'!AD71</f>
        <v>378.12150884216697</v>
      </c>
      <c r="M67" s="559">
        <f>'Energy NPV'!AD97</f>
        <v>475.44873675154992</v>
      </c>
      <c r="N67" s="366"/>
    </row>
    <row r="68" spans="2:14" x14ac:dyDescent="0.3">
      <c r="B68" s="366"/>
      <c r="C68" s="419">
        <v>8</v>
      </c>
      <c r="D68" s="559">
        <f>'Energy NPV'!AC20</f>
        <v>406.35603377696907</v>
      </c>
      <c r="E68" s="559">
        <f>'Energy NPV'!AC46</f>
        <v>101.71917585774749</v>
      </c>
      <c r="F68" s="559">
        <f>'Energy NPV'!AC72</f>
        <v>98.788062268505854</v>
      </c>
      <c r="G68" s="559">
        <f>'Energy NPV'!AC98</f>
        <v>193.28051654946015</v>
      </c>
      <c r="H68" s="366"/>
      <c r="I68" s="419">
        <v>8</v>
      </c>
      <c r="J68" s="559">
        <f>'Energy NPV'!AD20</f>
        <v>674.67623252027579</v>
      </c>
      <c r="K68" s="559">
        <f>'Energy NPV'!AD46</f>
        <v>370.03937460105425</v>
      </c>
      <c r="L68" s="559">
        <f>'Energy NPV'!AD72</f>
        <v>367.1082610118126</v>
      </c>
      <c r="M68" s="559">
        <f>'Energy NPV'!AD98</f>
        <v>461.60071529276689</v>
      </c>
      <c r="N68" s="366"/>
    </row>
    <row r="69" spans="2:14" x14ac:dyDescent="0.3">
      <c r="B69" s="366"/>
      <c r="C69" s="419">
        <v>9</v>
      </c>
      <c r="D69" s="559">
        <f>'Energy NPV'!AC21</f>
        <v>0</v>
      </c>
      <c r="E69" s="559">
        <f>'Energy NPV'!AC47</f>
        <v>98.756481415288846</v>
      </c>
      <c r="F69" s="559">
        <f>'Energy NPV'!AC73</f>
        <v>95.910740066510542</v>
      </c>
      <c r="G69" s="559">
        <f>'Energy NPV'!AC99</f>
        <v>187.65098694122347</v>
      </c>
      <c r="H69" s="366"/>
      <c r="I69" s="419">
        <v>9</v>
      </c>
      <c r="J69" s="559">
        <f>'Energy NPV'!AD21</f>
        <v>260.50504732359883</v>
      </c>
      <c r="K69" s="559">
        <f>'Energy NPV'!AD47</f>
        <v>359.26152873888765</v>
      </c>
      <c r="L69" s="559">
        <f>'Energy NPV'!AD73</f>
        <v>356.41578739010936</v>
      </c>
      <c r="M69" s="559">
        <f>'Energy NPV'!AD99</f>
        <v>448.15603426482227</v>
      </c>
      <c r="N69" s="366"/>
    </row>
    <row r="70" spans="2:14" x14ac:dyDescent="0.3">
      <c r="B70" s="366"/>
      <c r="C70" s="419">
        <v>10</v>
      </c>
      <c r="D70" s="559">
        <f>'Energy NPV'!AC22</f>
        <v>383.02953508998877</v>
      </c>
      <c r="E70" s="559">
        <f>'Energy NPV'!AC48</f>
        <v>95.880079043969744</v>
      </c>
      <c r="F70" s="559">
        <f>'Energy NPV'!AC74</f>
        <v>93.11722336554422</v>
      </c>
      <c r="G70" s="559">
        <f>'Energy NPV'!AC100</f>
        <v>182.18542421478006</v>
      </c>
      <c r="H70" s="366"/>
      <c r="I70" s="419">
        <v>10</v>
      </c>
      <c r="J70" s="559">
        <f>'Energy NPV'!AD22</f>
        <v>635.94705676338572</v>
      </c>
      <c r="K70" s="559">
        <f>'Energy NPV'!AD48</f>
        <v>348.79760071736661</v>
      </c>
      <c r="L70" s="559">
        <f>'Energy NPV'!AD74</f>
        <v>346.03474503894108</v>
      </c>
      <c r="M70" s="559">
        <f>'Energy NPV'!AD100</f>
        <v>435.10294588817692</v>
      </c>
      <c r="N70" s="366"/>
    </row>
    <row r="71" spans="2:14" x14ac:dyDescent="0.3">
      <c r="B71" s="366"/>
      <c r="C71" s="419">
        <v>11</v>
      </c>
      <c r="D71" s="559">
        <f>'Energy NPV'!AC23</f>
        <v>0</v>
      </c>
      <c r="E71" s="559">
        <f>'Energy NPV'!AC49</f>
        <v>93.087455382494895</v>
      </c>
      <c r="F71" s="559">
        <f>'Energy NPV'!AC75</f>
        <v>90.405071228683695</v>
      </c>
      <c r="G71" s="559">
        <f>'Energy NPV'!AC101</f>
        <v>176.87905263570877</v>
      </c>
      <c r="H71" s="366"/>
      <c r="I71" s="419">
        <v>11</v>
      </c>
      <c r="J71" s="559">
        <f>'Energy NPV'!AD23</f>
        <v>0</v>
      </c>
      <c r="K71" s="559">
        <f>'Energy NPV'!AD49</f>
        <v>338.63844729841423</v>
      </c>
      <c r="L71" s="559">
        <f>'Energy NPV'!AD75</f>
        <v>335.95606314460304</v>
      </c>
      <c r="M71" s="559">
        <f>'Energy NPV'!AD101</f>
        <v>422.4300445516281</v>
      </c>
      <c r="N71" s="366"/>
    </row>
    <row r="72" spans="2:14" x14ac:dyDescent="0.3">
      <c r="B72" s="366"/>
      <c r="C72" s="419">
        <v>12</v>
      </c>
      <c r="D72" s="559">
        <f>'Energy NPV'!AC24</f>
        <v>361.04207285322724</v>
      </c>
      <c r="E72" s="559">
        <f>'Energy NPV'!AC50</f>
        <v>90.376170274266883</v>
      </c>
      <c r="F72" s="559">
        <f>'Energy NPV'!AC76</f>
        <v>87.771913814256024</v>
      </c>
      <c r="G72" s="559">
        <f>'Energy NPV'!AC102</f>
        <v>171.72723556864929</v>
      </c>
      <c r="H72" s="366"/>
      <c r="I72" s="419">
        <v>12</v>
      </c>
      <c r="J72" s="559">
        <f>'Energy NPV'!AD24</f>
        <v>361.04207285322724</v>
      </c>
      <c r="K72" s="559">
        <f>'Energy NPV'!AD50</f>
        <v>328.77519155185843</v>
      </c>
      <c r="L72" s="559">
        <f>'Energy NPV'!AD76</f>
        <v>326.17093509184758</v>
      </c>
      <c r="M72" s="559">
        <f>'Energy NPV'!AD102</f>
        <v>410.12625684624084</v>
      </c>
      <c r="N72" s="366"/>
    </row>
    <row r="73" spans="2:14" x14ac:dyDescent="0.3">
      <c r="B73" s="366"/>
      <c r="C73" s="419">
        <v>13</v>
      </c>
      <c r="D73" s="559">
        <f>'Energy NPV'!AC25</f>
        <v>0</v>
      </c>
      <c r="E73" s="559">
        <f>'Energy NPV'!AC51</f>
        <v>87.743854635210582</v>
      </c>
      <c r="F73" s="559">
        <f>'Energy NPV'!AC77</f>
        <v>85.215450305102948</v>
      </c>
      <c r="G73" s="559">
        <f>'Energy NPV'!AC103</f>
        <v>166.72547142587314</v>
      </c>
      <c r="H73" s="366"/>
      <c r="I73" s="419">
        <v>13</v>
      </c>
      <c r="J73" s="559">
        <f>'Energy NPV'!AD25</f>
        <v>0</v>
      </c>
      <c r="K73" s="559">
        <f>'Energy NPV'!AD51</f>
        <v>319.19921509889173</v>
      </c>
      <c r="L73" s="559">
        <f>'Energy NPV'!AD77</f>
        <v>316.67081076878412</v>
      </c>
      <c r="M73" s="559">
        <f>'Energy NPV'!AD103</f>
        <v>398.18083188955427</v>
      </c>
      <c r="N73" s="366"/>
    </row>
    <row r="74" spans="2:14" x14ac:dyDescent="0.3">
      <c r="B74" s="366"/>
      <c r="C74" s="419">
        <v>14</v>
      </c>
      <c r="D74" s="559">
        <f>'Energy NPV'!AC26</f>
        <v>340.31678089662296</v>
      </c>
      <c r="E74" s="559">
        <f>'Energy NPV'!AC52</f>
        <v>85.188208383699603</v>
      </c>
      <c r="F74" s="559">
        <f>'Energy NPV'!AC78</f>
        <v>82.733446898158206</v>
      </c>
      <c r="G74" s="559">
        <f>'Energy NPV'!AC104</f>
        <v>161.86938973385742</v>
      </c>
      <c r="H74" s="366"/>
      <c r="I74" s="419">
        <v>14</v>
      </c>
      <c r="J74" s="559">
        <f>'Energy NPV'!AD26</f>
        <v>340.31678089662296</v>
      </c>
      <c r="K74" s="559">
        <f>'Energy NPV'!AD52</f>
        <v>309.90215058144832</v>
      </c>
      <c r="L74" s="559">
        <f>'Energy NPV'!AD78</f>
        <v>307.44738909590689</v>
      </c>
      <c r="M74" s="559">
        <f>'Energy NPV'!AD104</f>
        <v>386.5833319316061</v>
      </c>
      <c r="N74" s="366"/>
    </row>
    <row r="75" spans="2:14" x14ac:dyDescent="0.3">
      <c r="B75" s="366"/>
      <c r="C75" s="419">
        <v>15</v>
      </c>
      <c r="D75" s="559">
        <f>'Energy NPV'!AC27</f>
        <v>0</v>
      </c>
      <c r="E75" s="559">
        <f>'Energy NPV'!AC53</f>
        <v>82.706998430776295</v>
      </c>
      <c r="F75" s="559">
        <f>'Energy NPV'!AC79</f>
        <v>80.32373485258077</v>
      </c>
      <c r="G75" s="559">
        <f>'Energy NPV'!AC105</f>
        <v>157.15474731442467</v>
      </c>
      <c r="H75" s="366"/>
      <c r="I75" s="419">
        <v>15</v>
      </c>
      <c r="J75" s="559">
        <f>'Energy NPV'!AD27</f>
        <v>0</v>
      </c>
      <c r="K75" s="559">
        <f>'Energy NPV'!AD53</f>
        <v>300.87587435092064</v>
      </c>
      <c r="L75" s="559">
        <f>'Energy NPV'!AD79</f>
        <v>298.49261077272513</v>
      </c>
      <c r="M75" s="559">
        <f>'Energy NPV'!AD105</f>
        <v>375.32362323456903</v>
      </c>
      <c r="N75" s="366"/>
    </row>
    <row r="76" spans="2:14" x14ac:dyDescent="0.3">
      <c r="B76" s="366"/>
      <c r="C76" s="560">
        <v>16</v>
      </c>
      <c r="D76" s="566">
        <f>'Energy NPV'!AC28</f>
        <v>-0.14976821563387438</v>
      </c>
      <c r="E76" s="566">
        <f>'Energy NPV'!AC54</f>
        <v>-43.003623366000454</v>
      </c>
      <c r="F76" s="566">
        <f>'Energy NPV'!AC80</f>
        <v>27.212928555658259</v>
      </c>
      <c r="G76" s="566">
        <f>'Energy NPV'!AC106</f>
        <v>29.275744482201826</v>
      </c>
      <c r="H76" s="366"/>
      <c r="I76" s="560">
        <v>16</v>
      </c>
      <c r="J76" s="566">
        <f>'Energy NPV'!AD28</f>
        <v>-0.14976821563387438</v>
      </c>
      <c r="K76" s="566">
        <f>'Energy NPV'!AD54</f>
        <v>168.81081927491638</v>
      </c>
      <c r="L76" s="566">
        <f>'Energy NPV'!AD80</f>
        <v>239.0273711965751</v>
      </c>
      <c r="M76" s="566">
        <f>'Energy NPV'!AD106</f>
        <v>241.09018712311865</v>
      </c>
      <c r="N76" s="366"/>
    </row>
    <row r="77" spans="2:14" x14ac:dyDescent="0.3">
      <c r="B77" s="366"/>
      <c r="C77" s="366"/>
      <c r="D77" s="366"/>
      <c r="E77" s="366"/>
      <c r="F77" s="366"/>
      <c r="G77" s="366"/>
      <c r="H77" s="366"/>
      <c r="I77" s="366"/>
      <c r="J77" s="366"/>
      <c r="K77" s="366"/>
      <c r="L77" s="366"/>
      <c r="M77" s="366"/>
      <c r="N77" s="366"/>
    </row>
    <row r="78" spans="2:14" x14ac:dyDescent="0.3">
      <c r="B78" s="366"/>
      <c r="C78" s="366"/>
      <c r="D78" s="366"/>
      <c r="E78" s="366"/>
      <c r="F78" s="366"/>
      <c r="G78" s="366"/>
      <c r="H78" s="366"/>
      <c r="I78" s="366"/>
      <c r="J78" s="366"/>
      <c r="K78" s="366"/>
      <c r="L78" s="366"/>
      <c r="M78" s="366"/>
      <c r="N78" s="366"/>
    </row>
    <row r="79" spans="2:14" x14ac:dyDescent="0.3">
      <c r="B79" s="366"/>
      <c r="C79" s="517" t="s">
        <v>688</v>
      </c>
      <c r="D79" s="680"/>
      <c r="E79" s="680"/>
      <c r="F79" s="680"/>
      <c r="G79" s="681"/>
      <c r="H79" s="366"/>
      <c r="I79" s="517" t="s">
        <v>686</v>
      </c>
      <c r="J79" s="680"/>
      <c r="K79" s="680"/>
      <c r="L79" s="680"/>
      <c r="M79" s="681"/>
      <c r="N79" s="366"/>
    </row>
    <row r="80" spans="2:14" x14ac:dyDescent="0.3">
      <c r="B80" s="366"/>
      <c r="C80" s="729"/>
      <c r="D80" s="513" t="s">
        <v>91</v>
      </c>
      <c r="E80" s="513" t="s">
        <v>92</v>
      </c>
      <c r="F80" s="731" t="s">
        <v>93</v>
      </c>
      <c r="G80" s="731" t="s">
        <v>436</v>
      </c>
      <c r="H80" s="366"/>
      <c r="I80" s="729"/>
      <c r="J80" s="513" t="s">
        <v>91</v>
      </c>
      <c r="K80" s="513" t="s">
        <v>92</v>
      </c>
      <c r="L80" s="731" t="s">
        <v>93</v>
      </c>
      <c r="M80" s="731" t="s">
        <v>436</v>
      </c>
      <c r="N80" s="366"/>
    </row>
    <row r="81" spans="2:14" x14ac:dyDescent="0.3">
      <c r="B81" s="366"/>
      <c r="C81" s="728">
        <v>1</v>
      </c>
      <c r="D81" s="558">
        <f>'Energy NPV'!AH13</f>
        <v>-1887.233334</v>
      </c>
      <c r="E81" s="558">
        <f>'Energy NPV'!AH39</f>
        <v>-2228.5732439999997</v>
      </c>
      <c r="F81" s="558">
        <f>'Energy NPV'!AH65</f>
        <v>-5779.6802113782669</v>
      </c>
      <c r="G81" s="558">
        <f>'Energy NPV'!AH91</f>
        <v>-2769.6868439999998</v>
      </c>
      <c r="H81" s="366"/>
      <c r="I81" s="728">
        <v>1</v>
      </c>
      <c r="J81" s="558">
        <f>'Energy NPV'!AI13</f>
        <v>-1557.233334</v>
      </c>
      <c r="K81" s="558">
        <f>'Energy NPV'!AI39</f>
        <v>-1898.5732439999997</v>
      </c>
      <c r="L81" s="558">
        <f>'Energy NPV'!AI65</f>
        <v>-5449.6802113782669</v>
      </c>
      <c r="M81" s="558">
        <f>'Energy NPV'!AI91</f>
        <v>-2439.6868439999998</v>
      </c>
      <c r="N81" s="366"/>
    </row>
    <row r="82" spans="2:14" x14ac:dyDescent="0.3">
      <c r="B82" s="366"/>
      <c r="C82" s="419">
        <v>2</v>
      </c>
      <c r="D82" s="559">
        <f>'Energy NPV'!AH14</f>
        <v>-1509.3423961359224</v>
      </c>
      <c r="E82" s="559">
        <f>'Energy NPV'!AH40</f>
        <v>-2583.0814906019414</v>
      </c>
      <c r="F82" s="559">
        <f>'Energy NPV'!AH66</f>
        <v>-5960.7309425086578</v>
      </c>
      <c r="G82" s="559">
        <f>'Energy NPV'!AH92</f>
        <v>-2964.3917285791886</v>
      </c>
      <c r="H82" s="366"/>
      <c r="I82" s="419">
        <v>2</v>
      </c>
      <c r="J82" s="559">
        <f>'Energy NPV'!AI14</f>
        <v>-858.95404662135923</v>
      </c>
      <c r="K82" s="559">
        <f>'Energy NPV'!AI40</f>
        <v>-1932.6931410873783</v>
      </c>
      <c r="L82" s="559">
        <f>'Energy NPV'!AI66</f>
        <v>-5310.342592994094</v>
      </c>
      <c r="M82" s="559">
        <f>'Energy NPV'!AI92</f>
        <v>-2314.0033790646253</v>
      </c>
      <c r="N82" s="366"/>
    </row>
    <row r="83" spans="2:14" x14ac:dyDescent="0.3">
      <c r="B83" s="366"/>
      <c r="C83" s="419">
        <v>3</v>
      </c>
      <c r="D83" s="559">
        <f>'Energy NPV'!AH15</f>
        <v>-1613.5360053356585</v>
      </c>
      <c r="E83" s="559">
        <f>'Energy NPV'!AH41</f>
        <v>-2631.3775071916293</v>
      </c>
      <c r="F83" s="559">
        <f>'Energy NPV'!AH67</f>
        <v>-6042.2007530069059</v>
      </c>
      <c r="G83" s="559">
        <f>'Energy NPV'!AH93</f>
        <v>-2972.5324788045727</v>
      </c>
      <c r="H83" s="366"/>
      <c r="I83" s="419">
        <v>3</v>
      </c>
      <c r="J83" s="559">
        <f>'Energy NPV'!AI15</f>
        <v>-652.09100580695633</v>
      </c>
      <c r="K83" s="559">
        <f>'Energy NPV'!AI41</f>
        <v>-1669.9325076629275</v>
      </c>
      <c r="L83" s="559">
        <f>'Energy NPV'!AI67</f>
        <v>-5080.7557534782027</v>
      </c>
      <c r="M83" s="559">
        <f>'Energy NPV'!AI93</f>
        <v>-2011.0874792758707</v>
      </c>
      <c r="N83" s="366"/>
    </row>
    <row r="84" spans="2:14" x14ac:dyDescent="0.3">
      <c r="B84" s="366"/>
      <c r="C84" s="419">
        <v>4</v>
      </c>
      <c r="D84" s="559">
        <f>'Energy NPV'!AH16</f>
        <v>-1156.1787093230223</v>
      </c>
      <c r="E84" s="559">
        <f>'Energy NPV'!AH42</f>
        <v>-2516.8916786177952</v>
      </c>
      <c r="F84" s="559">
        <f>'Energy NPV'!AH68</f>
        <v>-5931.0139186008737</v>
      </c>
      <c r="G84" s="559">
        <f>'Energy NPV'!AH94</f>
        <v>-2775.8719782201761</v>
      </c>
      <c r="H84" s="366"/>
      <c r="I84" s="419">
        <v>4</v>
      </c>
      <c r="J84" s="559">
        <f>'Energy NPV'!AI16</f>
        <v>107.26303779222258</v>
      </c>
      <c r="K84" s="559">
        <f>'Energy NPV'!AI42</f>
        <v>-1253.4499315025507</v>
      </c>
      <c r="L84" s="559">
        <f>'Energy NPV'!AI68</f>
        <v>-4667.5721714856281</v>
      </c>
      <c r="M84" s="559">
        <f>'Energy NPV'!AI94</f>
        <v>-1512.4302311049314</v>
      </c>
      <c r="N84" s="366"/>
    </row>
    <row r="85" spans="2:14" x14ac:dyDescent="0.3">
      <c r="B85" s="366"/>
      <c r="C85" s="419">
        <v>5</v>
      </c>
      <c r="D85" s="559">
        <f>'Energy NPV'!AH17</f>
        <v>-1156.1787093230223</v>
      </c>
      <c r="E85" s="559">
        <f>'Energy NPV'!AH43</f>
        <v>-2405.7403887402861</v>
      </c>
      <c r="F85" s="559">
        <f>'Energy NPV'!AH69</f>
        <v>-5823.0655356823963</v>
      </c>
      <c r="G85" s="559">
        <f>'Energy NPV'!AH95</f>
        <v>-2564.669139212634</v>
      </c>
      <c r="H85" s="366"/>
      <c r="I85" s="419">
        <v>5</v>
      </c>
      <c r="J85" s="559">
        <f>'Energy NPV'!AI17</f>
        <v>400.46376360439996</v>
      </c>
      <c r="K85" s="559">
        <f>'Energy NPV'!AI43</f>
        <v>-849.09791581286458</v>
      </c>
      <c r="L85" s="559">
        <f>'Energy NPV'!AI69</f>
        <v>-4266.4230627549732</v>
      </c>
      <c r="M85" s="559">
        <f>'Energy NPV'!AI95</f>
        <v>-1008.0266662852121</v>
      </c>
      <c r="N85" s="366"/>
    </row>
    <row r="86" spans="2:14" x14ac:dyDescent="0.3">
      <c r="B86" s="366"/>
      <c r="C86" s="419">
        <v>6</v>
      </c>
      <c r="D86" s="559">
        <f>'Energy NPV'!AH18</f>
        <v>-725.07559308903569</v>
      </c>
      <c r="E86" s="559">
        <f>'Energy NPV'!AH44</f>
        <v>-2297.8265150728016</v>
      </c>
      <c r="F86" s="559">
        <f>'Energy NPV'!AH70</f>
        <v>-5718.2612804217388</v>
      </c>
      <c r="G86" s="559">
        <f>'Energy NPV'!AH96</f>
        <v>-2359.6178392053116</v>
      </c>
      <c r="H86" s="366"/>
      <c r="I86" s="419">
        <v>6</v>
      </c>
      <c r="J86" s="559">
        <f>'Energy NPV'!AI18</f>
        <v>1116.2277786851607</v>
      </c>
      <c r="K86" s="559">
        <f>'Energy NPV'!AI44</f>
        <v>-456.5231432986061</v>
      </c>
      <c r="L86" s="559">
        <f>'Energy NPV'!AI70</f>
        <v>-3876.9579086475414</v>
      </c>
      <c r="M86" s="559">
        <f>'Energy NPV'!AI96</f>
        <v>-518.31446743111565</v>
      </c>
      <c r="N86" s="366"/>
    </row>
    <row r="87" spans="2:14" x14ac:dyDescent="0.3">
      <c r="B87" s="366"/>
      <c r="C87" s="419">
        <v>7</v>
      </c>
      <c r="D87" s="559">
        <f>'Energy NPV'!AH19</f>
        <v>-725.07559308903569</v>
      </c>
      <c r="E87" s="559">
        <f>'Energy NPV'!AH45</f>
        <v>-2193.0557639393219</v>
      </c>
      <c r="F87" s="559">
        <f>'Energy NPV'!AH71</f>
        <v>-5616.5095762851779</v>
      </c>
      <c r="G87" s="559">
        <f>'Energy NPV'!AH97</f>
        <v>-2160.5389071593677</v>
      </c>
      <c r="H87" s="366"/>
      <c r="I87" s="419">
        <v>7</v>
      </c>
      <c r="J87" s="559">
        <f>'Energy NPV'!AI19</f>
        <v>1392.5975833907667</v>
      </c>
      <c r="K87" s="559">
        <f>'Energy NPV'!AI45</f>
        <v>-75.382587459520209</v>
      </c>
      <c r="L87" s="559">
        <f>'Energy NPV'!AI71</f>
        <v>-3498.8363998053746</v>
      </c>
      <c r="M87" s="559">
        <f>'Energy NPV'!AI97</f>
        <v>-42.865730679565729</v>
      </c>
      <c r="N87" s="366"/>
    </row>
    <row r="88" spans="2:14" x14ac:dyDescent="0.3">
      <c r="B88" s="366"/>
      <c r="C88" s="419">
        <v>8</v>
      </c>
      <c r="D88" s="559">
        <f>'Energy NPV'!AH20</f>
        <v>-318.71955931206662</v>
      </c>
      <c r="E88" s="559">
        <f>'Energy NPV'!AH46</f>
        <v>-2091.3365880815745</v>
      </c>
      <c r="F88" s="559">
        <f>'Energy NPV'!AH72</f>
        <v>-5517.7215140166718</v>
      </c>
      <c r="G88" s="559">
        <f>'Energy NPV'!AH98</f>
        <v>-1967.2583906099076</v>
      </c>
      <c r="H88" s="366"/>
      <c r="I88" s="419">
        <v>8</v>
      </c>
      <c r="J88" s="559">
        <f>'Energy NPV'!AI20</f>
        <v>2067.2738159110422</v>
      </c>
      <c r="K88" s="559">
        <f>'Energy NPV'!AI46</f>
        <v>294.65678714153404</v>
      </c>
      <c r="L88" s="559">
        <f>'Energy NPV'!AI72</f>
        <v>-3131.7281387935618</v>
      </c>
      <c r="M88" s="559">
        <f>'Energy NPV'!AI98</f>
        <v>418.73498461320116</v>
      </c>
      <c r="N88" s="366"/>
    </row>
    <row r="89" spans="2:14" x14ac:dyDescent="0.3">
      <c r="B89" s="366"/>
      <c r="C89" s="419">
        <v>9</v>
      </c>
      <c r="D89" s="559">
        <f>'Energy NPV'!AH21</f>
        <v>-318.71955931206662</v>
      </c>
      <c r="E89" s="559">
        <f>'Energy NPV'!AH47</f>
        <v>-1992.5801066662857</v>
      </c>
      <c r="F89" s="559">
        <f>'Energy NPV'!AH73</f>
        <v>-5421.8107739501611</v>
      </c>
      <c r="G89" s="559">
        <f>'Energy NPV'!AH99</f>
        <v>-1779.6074036686841</v>
      </c>
      <c r="H89" s="366"/>
      <c r="I89" s="419">
        <v>9</v>
      </c>
      <c r="J89" s="559">
        <f>'Energy NPV'!AI21</f>
        <v>2327.778863234641</v>
      </c>
      <c r="K89" s="559">
        <f>'Energy NPV'!AI47</f>
        <v>653.91831588042169</v>
      </c>
      <c r="L89" s="559">
        <f>'Energy NPV'!AI73</f>
        <v>-2775.3123514034523</v>
      </c>
      <c r="M89" s="559">
        <f>'Energy NPV'!AI99</f>
        <v>866.89101887802349</v>
      </c>
      <c r="N89" s="366"/>
    </row>
    <row r="90" spans="2:14" x14ac:dyDescent="0.3">
      <c r="B90" s="366"/>
      <c r="C90" s="419">
        <v>10</v>
      </c>
      <c r="D90" s="559">
        <f>'Energy NPV'!AH22</f>
        <v>64.309975777922148</v>
      </c>
      <c r="E90" s="559">
        <f>'Energy NPV'!AH48</f>
        <v>-1896.7000276223159</v>
      </c>
      <c r="F90" s="559">
        <f>'Energy NPV'!AH74</f>
        <v>-5328.6935505846168</v>
      </c>
      <c r="G90" s="559">
        <f>'Energy NPV'!AH100</f>
        <v>-1597.421979453904</v>
      </c>
      <c r="H90" s="366"/>
      <c r="I90" s="419">
        <v>10</v>
      </c>
      <c r="J90" s="559">
        <f>'Energy NPV'!AI22</f>
        <v>2963.7259199980267</v>
      </c>
      <c r="K90" s="559">
        <f>'Energy NPV'!AI48</f>
        <v>1002.7159165977882</v>
      </c>
      <c r="L90" s="559">
        <f>'Energy NPV'!AI74</f>
        <v>-2429.2776063645115</v>
      </c>
      <c r="M90" s="559">
        <f>'Energy NPV'!AI100</f>
        <v>1301.9939647662004</v>
      </c>
      <c r="N90" s="366"/>
    </row>
    <row r="91" spans="2:14" x14ac:dyDescent="0.3">
      <c r="B91" s="366"/>
      <c r="C91" s="419">
        <v>11</v>
      </c>
      <c r="D91" s="559">
        <f>'Energy NPV'!AH23</f>
        <v>64.309975777922148</v>
      </c>
      <c r="E91" s="559">
        <f>'Energy NPV'!AH49</f>
        <v>-1803.612572239821</v>
      </c>
      <c r="F91" s="559">
        <f>'Energy NPV'!AH75</f>
        <v>-5238.2884793559333</v>
      </c>
      <c r="G91" s="559">
        <f>'Energy NPV'!AH101</f>
        <v>-1420.5429268181952</v>
      </c>
      <c r="H91" s="366"/>
      <c r="I91" s="419">
        <v>11</v>
      </c>
      <c r="J91" s="559">
        <f>'Energy NPV'!AI23</f>
        <v>2963.7259199980267</v>
      </c>
      <c r="K91" s="559">
        <f>'Energy NPV'!AI49</f>
        <v>1341.3543638962024</v>
      </c>
      <c r="L91" s="559">
        <f>'Energy NPV'!AI75</f>
        <v>-2093.3215432199086</v>
      </c>
      <c r="M91" s="559">
        <f>'Energy NPV'!AI101</f>
        <v>1724.4240093178284</v>
      </c>
      <c r="N91" s="366"/>
    </row>
    <row r="92" spans="2:14" x14ac:dyDescent="0.3">
      <c r="B92" s="366"/>
      <c r="C92" s="419">
        <v>12</v>
      </c>
      <c r="D92" s="559">
        <f>'Energy NPV'!AH24</f>
        <v>425.35204863114939</v>
      </c>
      <c r="E92" s="559">
        <f>'Energy NPV'!AH50</f>
        <v>-1713.2364019655543</v>
      </c>
      <c r="F92" s="559">
        <f>'Energy NPV'!AH76</f>
        <v>-5150.5165655416777</v>
      </c>
      <c r="G92" s="559">
        <f>'Energy NPV'!AH102</f>
        <v>-1248.8156912495458</v>
      </c>
      <c r="H92" s="366"/>
      <c r="I92" s="419">
        <v>12</v>
      </c>
      <c r="J92" s="559">
        <f>'Energy NPV'!AI24</f>
        <v>3324.7679928512539</v>
      </c>
      <c r="K92" s="559">
        <f>'Energy NPV'!AI50</f>
        <v>1670.1295554480607</v>
      </c>
      <c r="L92" s="559">
        <f>'Energy NPV'!AI76</f>
        <v>-1767.1506081280609</v>
      </c>
      <c r="M92" s="559">
        <f>'Energy NPV'!AI102</f>
        <v>2134.5502661640694</v>
      </c>
      <c r="N92" s="366"/>
    </row>
    <row r="93" spans="2:14" x14ac:dyDescent="0.3">
      <c r="B93" s="366"/>
      <c r="C93" s="419">
        <v>13</v>
      </c>
      <c r="D93" s="559">
        <f>'Energy NPV'!AH25</f>
        <v>425.35204863114939</v>
      </c>
      <c r="E93" s="559">
        <f>'Energy NPV'!AH51</f>
        <v>-1625.4925473303438</v>
      </c>
      <c r="F93" s="559">
        <f>'Energy NPV'!AH77</f>
        <v>-5065.3011152365743</v>
      </c>
      <c r="G93" s="559">
        <f>'Energy NPV'!AH103</f>
        <v>-1082.0902198236727</v>
      </c>
      <c r="H93" s="366"/>
      <c r="I93" s="419">
        <v>13</v>
      </c>
      <c r="J93" s="559">
        <f>'Energy NPV'!AI25</f>
        <v>3324.7679928512539</v>
      </c>
      <c r="K93" s="559">
        <f>'Energy NPV'!AI51</f>
        <v>1989.3287705469525</v>
      </c>
      <c r="L93" s="559">
        <f>'Energy NPV'!AI77</f>
        <v>-1450.4797973592767</v>
      </c>
      <c r="M93" s="559">
        <f>'Energy NPV'!AI103</f>
        <v>2532.7310980536236</v>
      </c>
      <c r="N93" s="366"/>
    </row>
    <row r="94" spans="2:14" x14ac:dyDescent="0.3">
      <c r="B94" s="366"/>
      <c r="C94" s="419">
        <v>14</v>
      </c>
      <c r="D94" s="559">
        <f>'Energy NPV'!AH26</f>
        <v>765.66882952777235</v>
      </c>
      <c r="E94" s="559">
        <f>'Energy NPV'!AH52</f>
        <v>-1540.3043389466441</v>
      </c>
      <c r="F94" s="559">
        <f>'Energy NPV'!AH78</f>
        <v>-4982.5676683384163</v>
      </c>
      <c r="G94" s="559">
        <f>'Energy NPV'!AH104</f>
        <v>-920.22083008981531</v>
      </c>
      <c r="H94" s="366"/>
      <c r="I94" s="419">
        <v>14</v>
      </c>
      <c r="J94" s="559">
        <f>'Energy NPV'!AI26</f>
        <v>3665.0847737478771</v>
      </c>
      <c r="K94" s="559">
        <f>'Energy NPV'!AI52</f>
        <v>2299.230921128401</v>
      </c>
      <c r="L94" s="559">
        <f>'Energy NPV'!AI78</f>
        <v>-1143.0324082633699</v>
      </c>
      <c r="M94" s="559">
        <f>'Energy NPV'!AI104</f>
        <v>2919.3144299852297</v>
      </c>
      <c r="N94" s="366"/>
    </row>
    <row r="95" spans="2:14" x14ac:dyDescent="0.3">
      <c r="B95" s="366"/>
      <c r="C95" s="419">
        <v>15</v>
      </c>
      <c r="D95" s="559">
        <f>'Energy NPV'!AH27</f>
        <v>765.66882952777235</v>
      </c>
      <c r="E95" s="559">
        <f>'Energy NPV'!AH53</f>
        <v>-1457.5973405158677</v>
      </c>
      <c r="F95" s="559">
        <f>'Energy NPV'!AH79</f>
        <v>-4902.2439334858354</v>
      </c>
      <c r="G95" s="559">
        <f>'Energy NPV'!AH105</f>
        <v>-763.06608277539067</v>
      </c>
      <c r="H95" s="366"/>
      <c r="I95" s="419">
        <v>15</v>
      </c>
      <c r="J95" s="559">
        <f>'Energy NPV'!AI27</f>
        <v>3665.0847737478771</v>
      </c>
      <c r="K95" s="559">
        <f>'Energy NPV'!AI53</f>
        <v>2600.1067954793216</v>
      </c>
      <c r="L95" s="559">
        <f>'Energy NPV'!AI79</f>
        <v>-844.53979749064479</v>
      </c>
      <c r="M95" s="559">
        <f>'Energy NPV'!AI105</f>
        <v>3294.6380532197986</v>
      </c>
      <c r="N95" s="366"/>
    </row>
    <row r="96" spans="2:14" x14ac:dyDescent="0.3">
      <c r="B96" s="366"/>
      <c r="C96" s="560">
        <v>16</v>
      </c>
      <c r="D96" s="566">
        <f>'Energy NPV'!AH28</f>
        <v>765.51906131213843</v>
      </c>
      <c r="E96" s="566">
        <f>'Energy NPV'!AH54</f>
        <v>-1500.6009638818682</v>
      </c>
      <c r="F96" s="566">
        <f>'Energy NPV'!AH80</f>
        <v>-4875.031004930177</v>
      </c>
      <c r="G96" s="566">
        <f>'Energy NPV'!AH106</f>
        <v>-733.79033829318882</v>
      </c>
      <c r="H96" s="366"/>
      <c r="I96" s="560">
        <v>16</v>
      </c>
      <c r="J96" s="566">
        <f>'Energy NPV'!AI28</f>
        <v>3664.9350055322434</v>
      </c>
      <c r="K96" s="566">
        <f>'Energy NPV'!AI54</f>
        <v>2768.917614754238</v>
      </c>
      <c r="L96" s="566">
        <f>'Energy NPV'!AI80</f>
        <v>-605.51242629406966</v>
      </c>
      <c r="M96" s="566">
        <f>'Energy NPV'!AI106</f>
        <v>3535.7282403429172</v>
      </c>
      <c r="N96" s="366"/>
    </row>
    <row r="97" spans="2:14" x14ac:dyDescent="0.3">
      <c r="B97" s="366"/>
      <c r="C97" s="366"/>
      <c r="D97" s="366"/>
      <c r="E97" s="366"/>
      <c r="F97" s="366"/>
      <c r="G97" s="366"/>
      <c r="H97" s="366"/>
      <c r="I97" s="366"/>
      <c r="J97" s="366"/>
      <c r="K97" s="366"/>
      <c r="L97" s="366"/>
      <c r="M97" s="366"/>
      <c r="N97" s="36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T30"/>
  <sheetViews>
    <sheetView workbookViewId="0">
      <selection activeCell="F4" sqref="F4"/>
    </sheetView>
  </sheetViews>
  <sheetFormatPr defaultColWidth="9" defaultRowHeight="14" x14ac:dyDescent="0.3"/>
  <cols>
    <col min="2" max="2" width="20.08203125" bestFit="1" customWidth="1"/>
    <col min="3" max="30" width="10.58203125" customWidth="1"/>
  </cols>
  <sheetData>
    <row r="4" spans="1:20" ht="40" x14ac:dyDescent="0.3">
      <c r="B4" s="733" t="s">
        <v>286</v>
      </c>
      <c r="C4" s="734" t="s">
        <v>273</v>
      </c>
      <c r="D4" s="735" t="s">
        <v>300</v>
      </c>
      <c r="E4" s="735" t="s">
        <v>329</v>
      </c>
      <c r="F4" s="735" t="s">
        <v>672</v>
      </c>
      <c r="G4" s="736" t="s">
        <v>380</v>
      </c>
      <c r="H4" s="735" t="s">
        <v>382</v>
      </c>
      <c r="I4" s="736" t="s">
        <v>383</v>
      </c>
      <c r="J4" s="735" t="s">
        <v>276</v>
      </c>
      <c r="K4" s="736" t="s">
        <v>437</v>
      </c>
      <c r="L4" s="736" t="s">
        <v>438</v>
      </c>
      <c r="M4" s="736" t="s">
        <v>439</v>
      </c>
      <c r="N4" s="736" t="s">
        <v>440</v>
      </c>
      <c r="O4" s="736" t="s">
        <v>441</v>
      </c>
      <c r="P4" s="736" t="s">
        <v>442</v>
      </c>
      <c r="Q4" s="736" t="s">
        <v>443</v>
      </c>
      <c r="R4" s="736" t="s">
        <v>444</v>
      </c>
      <c r="S4" s="736" t="s">
        <v>445</v>
      </c>
      <c r="T4" s="736" t="s">
        <v>446</v>
      </c>
    </row>
    <row r="5" spans="1:20" x14ac:dyDescent="0.3">
      <c r="B5" s="737"/>
      <c r="C5" s="738"/>
      <c r="D5" s="739"/>
      <c r="E5" s="739"/>
      <c r="F5" s="739"/>
      <c r="G5" s="740"/>
      <c r="H5" s="739"/>
      <c r="I5" s="739"/>
      <c r="J5" s="739"/>
      <c r="K5" s="740"/>
      <c r="L5" s="740"/>
      <c r="M5" s="740"/>
      <c r="N5" s="740"/>
      <c r="O5" s="740"/>
      <c r="P5" s="740"/>
      <c r="Q5" s="740"/>
      <c r="R5" s="740"/>
      <c r="S5" s="740"/>
      <c r="T5" s="740"/>
    </row>
    <row r="6" spans="1:20" x14ac:dyDescent="0.3">
      <c r="A6" s="298"/>
      <c r="B6" s="741"/>
      <c r="C6" s="742"/>
      <c r="D6" s="743" t="s">
        <v>332</v>
      </c>
      <c r="E6" s="743" t="s">
        <v>569</v>
      </c>
      <c r="F6" s="743" t="s">
        <v>567</v>
      </c>
      <c r="G6" s="743" t="s">
        <v>567</v>
      </c>
      <c r="H6" s="743" t="s">
        <v>567</v>
      </c>
      <c r="I6" s="743" t="s">
        <v>567</v>
      </c>
      <c r="J6" s="743" t="s">
        <v>567</v>
      </c>
      <c r="K6" s="743" t="s">
        <v>567</v>
      </c>
      <c r="L6" s="743" t="s">
        <v>567</v>
      </c>
      <c r="M6" s="743" t="s">
        <v>567</v>
      </c>
      <c r="N6" s="743" t="s">
        <v>567</v>
      </c>
      <c r="O6" s="743" t="s">
        <v>567</v>
      </c>
      <c r="P6" s="743" t="s">
        <v>567</v>
      </c>
      <c r="Q6" s="743" t="s">
        <v>567</v>
      </c>
      <c r="R6" s="743" t="s">
        <v>567</v>
      </c>
      <c r="S6" s="743" t="s">
        <v>567</v>
      </c>
      <c r="T6" s="743" t="s">
        <v>567</v>
      </c>
    </row>
    <row r="7" spans="1:20" x14ac:dyDescent="0.3">
      <c r="B7" s="728">
        <v>1</v>
      </c>
      <c r="C7" s="362" t="s">
        <v>93</v>
      </c>
      <c r="D7" s="747">
        <f>INDEX('Energy Model tables'!$D$6:$G$21,MATCH($B7,'Energy Model tables'!$C$6:$C$21,0),MATCH($C$7,'Energy Model tables'!$D$5:$G$5,0))</f>
        <v>1.761785888496743</v>
      </c>
      <c r="E7" s="747">
        <f>HLOOKUP($C$7,'Energy Model tables'!$D$24:$G$25,2,FALSE)</f>
        <v>43.75</v>
      </c>
      <c r="F7" s="747">
        <f>'Energy Model tables'!$D$28</f>
        <v>330</v>
      </c>
      <c r="G7" s="748">
        <f>IF($C7&lt;&gt;"",HLOOKUP($C$7,'Energy Model tables'!$D$31:$G$32,2,FALSE),0)</f>
        <v>5743.7583439999999</v>
      </c>
      <c r="H7" s="747">
        <f>INDEX('Energy Model tables'!$D$37:$G$52,MATCH($B7,'Energy Model tables'!$C$37:$C$52,0),MATCH($C$7,'Energy Model tables'!$D$36:$G$36,0))</f>
        <v>0</v>
      </c>
      <c r="I7" s="748">
        <f>IF($C22&lt;&gt;"",HLOOKUP($C$7,'Energy Model tables'!$D$55:$G$56,2,FALSE),0)</f>
        <v>0</v>
      </c>
      <c r="J7" s="747">
        <f>G7+H7+I7</f>
        <v>5743.7583439999999</v>
      </c>
      <c r="K7" s="747">
        <f>D7*E7</f>
        <v>77.078132621732507</v>
      </c>
      <c r="L7" s="747">
        <f>K7+F7</f>
        <v>407.07813262173249</v>
      </c>
      <c r="M7" s="747">
        <f>K7-J7</f>
        <v>-5666.6802113782669</v>
      </c>
      <c r="N7" s="747">
        <f>L7-J7</f>
        <v>-5336.6802113782669</v>
      </c>
      <c r="O7" s="748">
        <f>M7</f>
        <v>-5666.6802113782669</v>
      </c>
      <c r="P7" s="748">
        <f>N7</f>
        <v>-5336.6802113782669</v>
      </c>
      <c r="Q7" s="747">
        <f>INDEX('Energy Model tables'!$D$61:$G$76,MATCH($B7,'Energy Model tables'!$C$61:$C$76,0),MATCH($C$7,'Energy Model tables'!$D$60:$G$60,0))</f>
        <v>-5779.6802113782669</v>
      </c>
      <c r="R7" s="747">
        <f>INDEX('Energy Model tables'!$J$61:$M$76,MATCH($B7,'Energy Model tables'!$I$61:$I$76,0),MATCH($C$7,'Energy Model tables'!$J$60:$M$60,0))</f>
        <v>-5449.6802113782669</v>
      </c>
      <c r="S7" s="747">
        <f>INDEX('Energy Model tables'!$D$81:$G$96,MATCH($B7,'Energy Model tables'!$C$81:$C$96,0),MATCH($C$7,'Energy Model tables'!$D$80:$G$80,0))</f>
        <v>-5779.6802113782669</v>
      </c>
      <c r="T7" s="747">
        <f>INDEX('Energy Model tables'!$J$81:$M$96,MATCH($B7,'Energy Model tables'!$I$81:$I$96,0),MATCH($C$7,'Energy Model tables'!$J$80:$M$80,0))</f>
        <v>-5449.6802113782669</v>
      </c>
    </row>
    <row r="8" spans="1:20" x14ac:dyDescent="0.3">
      <c r="B8" s="419">
        <v>2</v>
      </c>
      <c r="C8" s="738"/>
      <c r="D8" s="748">
        <f>INDEX('Energy Model tables'!$D$6:$G$21,MATCH($B8,'Energy Model tables'!$C$6:$C$21,0),MATCH($C$7,'Energy Model tables'!$D$5:$G$5,0))</f>
        <v>7.1188775071016606</v>
      </c>
      <c r="E8" s="748">
        <f>HLOOKUP($C$7,'Energy Model tables'!$D$24:$G$25,2,FALSE)</f>
        <v>43.75</v>
      </c>
      <c r="F8" s="748">
        <f>'Energy Model tables'!$D$28</f>
        <v>330</v>
      </c>
      <c r="G8" s="748">
        <f>IF($C8&lt;&gt;"",HLOOKUP($C$7,'Energy Model tables'!$D$31:$G$32,2,FALSE),0)</f>
        <v>0</v>
      </c>
      <c r="H8" s="748">
        <f>INDEX('Energy Model tables'!$D$37:$G$52,MATCH($B8,'Energy Model tables'!$C$37:$C$52,0),MATCH($C$7,'Energy Model tables'!$D$36:$G$36,0))</f>
        <v>340.26047733333331</v>
      </c>
      <c r="I8" s="748">
        <f>IF($C8&lt;&gt;"",HLOOKUP($C$7,'Energy Model tables'!$D$55:$G$56,2,FALSE),0)</f>
        <v>0</v>
      </c>
      <c r="J8" s="748">
        <f t="shared" ref="J8:J22" si="0">G8+H8+I8</f>
        <v>340.26047733333331</v>
      </c>
      <c r="K8" s="748">
        <f t="shared" ref="K8:K22" si="1">D8*E8</f>
        <v>311.45089093569766</v>
      </c>
      <c r="L8" s="748">
        <f t="shared" ref="L8:L22" si="2">K8+F8</f>
        <v>641.45089093569766</v>
      </c>
      <c r="M8" s="748">
        <f t="shared" ref="M8:M22" si="3">K8-J8</f>
        <v>-28.809586397635655</v>
      </c>
      <c r="N8" s="748">
        <f t="shared" ref="N8:N22" si="4">L8-J8</f>
        <v>301.19041360236434</v>
      </c>
      <c r="O8" s="748">
        <f>O7+M8</f>
        <v>-5695.4897977759028</v>
      </c>
      <c r="P8" s="748">
        <f>P7+N8</f>
        <v>-5035.4897977759028</v>
      </c>
      <c r="Q8" s="748">
        <f>INDEX('Energy Model tables'!$D$61:$G$76,MATCH($B8,'Energy Model tables'!$C$61:$C$76,0),MATCH($C$7,'Energy Model tables'!$D$60:$G$60,0))</f>
        <v>-181.0507311303906</v>
      </c>
      <c r="R8" s="748">
        <f>INDEX('Energy Model tables'!$J$61:$M$76,MATCH($B8,'Energy Model tables'!$I$61:$I$76,0),MATCH($C$7,'Energy Model tables'!$J$60:$M$60,0))</f>
        <v>139.33761838417252</v>
      </c>
      <c r="S8" s="748">
        <f>INDEX('Energy Model tables'!$D$81:$G$96,MATCH($B8,'Energy Model tables'!$C$81:$C$96,0),MATCH($C$7,'Energy Model tables'!$D$80:$G$80,0))</f>
        <v>-5960.7309425086578</v>
      </c>
      <c r="T8" s="748">
        <f>INDEX('Energy Model tables'!$J$81:$M$96,MATCH($B8,'Energy Model tables'!$I$81:$I$96,0),MATCH($C$7,'Energy Model tables'!$J$80:$M$80,0))</f>
        <v>-5310.342592994094</v>
      </c>
    </row>
    <row r="9" spans="1:20" x14ac:dyDescent="0.3">
      <c r="B9" s="419">
        <v>3</v>
      </c>
      <c r="C9" s="738"/>
      <c r="D9" s="748">
        <f>INDEX('Energy Model tables'!$D$6:$G$21,MATCH($B9,'Energy Model tables'!$C$6:$C$21,0),MATCH($C$7,'Energy Model tables'!$D$5:$G$5,0))</f>
        <v>9.4057559323979216</v>
      </c>
      <c r="E9" s="748">
        <f>HLOOKUP($C$7,'Energy Model tables'!$D$24:$G$25,2,FALSE)</f>
        <v>43.75</v>
      </c>
      <c r="F9" s="748">
        <f>'Energy Model tables'!$D$28</f>
        <v>330</v>
      </c>
      <c r="G9" s="748">
        <f>IF($C9&lt;&gt;"",HLOOKUP($C$7,'Energy Model tables'!$D$31:$G$32,2,FALSE),0)</f>
        <v>0</v>
      </c>
      <c r="H9" s="748">
        <f>INDEX('Energy Model tables'!$D$37:$G$52,MATCH($B9,'Energy Model tables'!$C$37:$C$52,0),MATCH($C$7,'Energy Model tables'!$D$36:$G$36,0))</f>
        <v>340.26047733333331</v>
      </c>
      <c r="I9" s="748">
        <f>IF($C9&lt;&gt;"",HLOOKUP($C$7,'Energy Model tables'!$D$55:$G$56,2,FALSE),0)</f>
        <v>0</v>
      </c>
      <c r="J9" s="748">
        <f t="shared" si="0"/>
        <v>340.26047733333331</v>
      </c>
      <c r="K9" s="748">
        <f t="shared" si="1"/>
        <v>411.50182204240906</v>
      </c>
      <c r="L9" s="748">
        <f t="shared" si="2"/>
        <v>741.501822042409</v>
      </c>
      <c r="M9" s="748">
        <f t="shared" si="3"/>
        <v>71.241344709075747</v>
      </c>
      <c r="N9" s="748">
        <f t="shared" si="4"/>
        <v>401.24134470907569</v>
      </c>
      <c r="O9" s="748">
        <f t="shared" ref="O9:P22" si="5">O8+M9</f>
        <v>-5624.2484530668271</v>
      </c>
      <c r="P9" s="748">
        <f t="shared" si="5"/>
        <v>-4634.2484530668271</v>
      </c>
      <c r="Q9" s="748">
        <f>INDEX('Energy Model tables'!$D$61:$G$76,MATCH($B9,'Energy Model tables'!$C$61:$C$76,0),MATCH($C$7,'Energy Model tables'!$D$60:$G$60,0))</f>
        <v>-81.469810498247639</v>
      </c>
      <c r="R9" s="748">
        <f>INDEX('Energy Model tables'!$J$61:$M$76,MATCH($B9,'Energy Model tables'!$I$61:$I$76,0),MATCH($C$7,'Energy Model tables'!$J$60:$M$60,0))</f>
        <v>229.58683951589126</v>
      </c>
      <c r="S9" s="748">
        <f>INDEX('Energy Model tables'!$D$81:$G$96,MATCH($B9,'Energy Model tables'!$C$81:$C$96,0),MATCH($C$7,'Energy Model tables'!$D$80:$G$80,0))</f>
        <v>-6042.2007530069059</v>
      </c>
      <c r="T9" s="748">
        <f>INDEX('Energy Model tables'!$J$81:$M$96,MATCH($B9,'Energy Model tables'!$I$81:$I$96,0),MATCH($C$7,'Energy Model tables'!$J$80:$M$80,0))</f>
        <v>-5080.7557534782027</v>
      </c>
    </row>
    <row r="10" spans="1:20" x14ac:dyDescent="0.3">
      <c r="B10" s="419">
        <v>4</v>
      </c>
      <c r="C10" s="738"/>
      <c r="D10" s="748">
        <f>INDEX('Energy Model tables'!$D$6:$G$21,MATCH($B10,'Energy Model tables'!$C$6:$C$21,0),MATCH($C$7,'Energy Model tables'!$D$5:$G$5,0))</f>
        <v>10</v>
      </c>
      <c r="E10" s="748">
        <f>HLOOKUP($C$7,'Energy Model tables'!$D$24:$G$25,2,FALSE)</f>
        <v>43.75</v>
      </c>
      <c r="F10" s="748">
        <f>'Energy Model tables'!$D$28</f>
        <v>330</v>
      </c>
      <c r="G10" s="748">
        <f>IF($C10&lt;&gt;"",HLOOKUP($C$7,'Energy Model tables'!$D$31:$G$32,2,FALSE),0)</f>
        <v>0</v>
      </c>
      <c r="H10" s="748">
        <f>INDEX('Energy Model tables'!$D$37:$G$52,MATCH($B10,'Energy Model tables'!$C$37:$C$52,0),MATCH($C$7,'Energy Model tables'!$D$36:$G$36,0))</f>
        <v>340.26047733333331</v>
      </c>
      <c r="I10" s="748">
        <f>IF($C10&lt;&gt;"",HLOOKUP($C$7,'Energy Model tables'!$D$55:$G$56,2,FALSE),0)</f>
        <v>0</v>
      </c>
      <c r="J10" s="748">
        <f t="shared" si="0"/>
        <v>340.26047733333331</v>
      </c>
      <c r="K10" s="748">
        <f t="shared" si="1"/>
        <v>437.5</v>
      </c>
      <c r="L10" s="748">
        <f t="shared" si="2"/>
        <v>767.5</v>
      </c>
      <c r="M10" s="748">
        <f t="shared" si="3"/>
        <v>97.239522666666687</v>
      </c>
      <c r="N10" s="748">
        <f t="shared" si="4"/>
        <v>427.23952266666669</v>
      </c>
      <c r="O10" s="748">
        <f t="shared" si="5"/>
        <v>-5527.0089304001604</v>
      </c>
      <c r="P10" s="748">
        <f t="shared" si="5"/>
        <v>-4207.0089304001604</v>
      </c>
      <c r="Q10" s="748">
        <f>INDEX('Energy Model tables'!$D$61:$G$76,MATCH($B10,'Energy Model tables'!$C$61:$C$76,0),MATCH($C$7,'Energy Model tables'!$D$60:$G$60,0))</f>
        <v>111.18683440603192</v>
      </c>
      <c r="R10" s="748">
        <f>INDEX('Energy Model tables'!$J$61:$M$76,MATCH($B10,'Energy Model tables'!$I$61:$I$76,0),MATCH($C$7,'Energy Model tables'!$J$60:$M$60,0))</f>
        <v>413.18358199257455</v>
      </c>
      <c r="S10" s="748">
        <f>INDEX('Energy Model tables'!$D$81:$G$96,MATCH($B10,'Energy Model tables'!$C$81:$C$96,0),MATCH($C$7,'Energy Model tables'!$D$80:$G$80,0))</f>
        <v>-5931.0139186008737</v>
      </c>
      <c r="T10" s="748">
        <f>INDEX('Energy Model tables'!$J$81:$M$96,MATCH($B10,'Energy Model tables'!$I$81:$I$96,0),MATCH($C$7,'Energy Model tables'!$J$80:$M$80,0))</f>
        <v>-4667.5721714856281</v>
      </c>
    </row>
    <row r="11" spans="1:20" x14ac:dyDescent="0.3">
      <c r="B11" s="419">
        <v>5</v>
      </c>
      <c r="C11" s="738"/>
      <c r="D11" s="748">
        <f>INDEX('Energy Model tables'!$D$6:$G$21,MATCH($B11,'Energy Model tables'!$C$6:$C$21,0),MATCH($C$7,'Energy Model tables'!$D$5:$G$5,0))</f>
        <v>10</v>
      </c>
      <c r="E11" s="748">
        <f>HLOOKUP($C$7,'Energy Model tables'!$D$24:$G$25,2,FALSE)</f>
        <v>43.75</v>
      </c>
      <c r="F11" s="748">
        <f>'Energy Model tables'!$D$28</f>
        <v>330</v>
      </c>
      <c r="G11" s="748">
        <f>IF($C11&lt;&gt;"",HLOOKUP($C$7,'Energy Model tables'!$D$31:$G$32,2,FALSE),0)</f>
        <v>0</v>
      </c>
      <c r="H11" s="748">
        <f>INDEX('Energy Model tables'!$D$37:$G$52,MATCH($B11,'Energy Model tables'!$C$37:$C$52,0),MATCH($C$7,'Energy Model tables'!$D$36:$G$36,0))</f>
        <v>340.26047733333331</v>
      </c>
      <c r="I11" s="748">
        <f>IF($C11&lt;&gt;"",HLOOKUP($C$7,'Energy Model tables'!$D$55:$G$56,2,FALSE),0)</f>
        <v>0</v>
      </c>
      <c r="J11" s="748">
        <f t="shared" si="0"/>
        <v>340.26047733333331</v>
      </c>
      <c r="K11" s="748">
        <f t="shared" si="1"/>
        <v>437.5</v>
      </c>
      <c r="L11" s="748">
        <f t="shared" si="2"/>
        <v>767.5</v>
      </c>
      <c r="M11" s="748">
        <f t="shared" si="3"/>
        <v>97.239522666666687</v>
      </c>
      <c r="N11" s="748">
        <f t="shared" si="4"/>
        <v>427.23952266666669</v>
      </c>
      <c r="O11" s="748">
        <f t="shared" si="5"/>
        <v>-5429.7694077334936</v>
      </c>
      <c r="P11" s="748">
        <f t="shared" si="5"/>
        <v>-3779.7694077334936</v>
      </c>
      <c r="Q11" s="748">
        <f>INDEX('Energy Model tables'!$D$61:$G$76,MATCH($B11,'Energy Model tables'!$C$61:$C$76,0),MATCH($C$7,'Energy Model tables'!$D$60:$G$60,0))</f>
        <v>107.94838291847759</v>
      </c>
      <c r="R11" s="748">
        <f>INDEX('Energy Model tables'!$J$61:$M$76,MATCH($B11,'Energy Model tables'!$I$61:$I$76,0),MATCH($C$7,'Energy Model tables'!$J$60:$M$60,0))</f>
        <v>401.14910873065497</v>
      </c>
      <c r="S11" s="748">
        <f>INDEX('Energy Model tables'!$D$81:$G$96,MATCH($B11,'Energy Model tables'!$C$81:$C$96,0),MATCH($C$7,'Energy Model tables'!$D$80:$G$80,0))</f>
        <v>-5823.0655356823963</v>
      </c>
      <c r="T11" s="748">
        <f>INDEX('Energy Model tables'!$J$81:$M$96,MATCH($B11,'Energy Model tables'!$I$81:$I$96,0),MATCH($C$7,'Energy Model tables'!$J$80:$M$80,0))</f>
        <v>-4266.4230627549732</v>
      </c>
    </row>
    <row r="12" spans="1:20" x14ac:dyDescent="0.3">
      <c r="B12" s="419">
        <v>6</v>
      </c>
      <c r="C12" s="738"/>
      <c r="D12" s="748">
        <f>INDEX('Energy Model tables'!$D$6:$G$21,MATCH($B12,'Energy Model tables'!$C$6:$C$21,0),MATCH($C$7,'Energy Model tables'!$D$5:$G$5,0))</f>
        <v>10</v>
      </c>
      <c r="E12" s="748">
        <f>HLOOKUP($C$7,'Energy Model tables'!$D$24:$G$25,2,FALSE)</f>
        <v>43.75</v>
      </c>
      <c r="F12" s="748">
        <f>'Energy Model tables'!$D$28</f>
        <v>330</v>
      </c>
      <c r="G12" s="748">
        <f>IF($C12&lt;&gt;"",HLOOKUP($C$7,'Energy Model tables'!$D$31:$G$32,2,FALSE),0)</f>
        <v>0</v>
      </c>
      <c r="H12" s="748">
        <f>INDEX('Energy Model tables'!$D$37:$G$52,MATCH($B12,'Energy Model tables'!$C$37:$C$52,0),MATCH($C$7,'Energy Model tables'!$D$36:$G$36,0))</f>
        <v>340.26047733333331</v>
      </c>
      <c r="I12" s="748">
        <f>IF($C12&lt;&gt;"",HLOOKUP($C$7,'Energy Model tables'!$D$55:$G$56,2,FALSE),0)</f>
        <v>0</v>
      </c>
      <c r="J12" s="748">
        <f t="shared" si="0"/>
        <v>340.26047733333331</v>
      </c>
      <c r="K12" s="748">
        <f t="shared" si="1"/>
        <v>437.5</v>
      </c>
      <c r="L12" s="748">
        <f t="shared" si="2"/>
        <v>767.5</v>
      </c>
      <c r="M12" s="748">
        <f t="shared" si="3"/>
        <v>97.239522666666687</v>
      </c>
      <c r="N12" s="748">
        <f t="shared" si="4"/>
        <v>427.23952266666669</v>
      </c>
      <c r="O12" s="748">
        <f t="shared" si="5"/>
        <v>-5332.5298850668269</v>
      </c>
      <c r="P12" s="748">
        <f t="shared" si="5"/>
        <v>-3352.5298850668269</v>
      </c>
      <c r="Q12" s="748">
        <f>INDEX('Energy Model tables'!$D$61:$G$76,MATCH($B12,'Energy Model tables'!$C$61:$C$76,0),MATCH($C$7,'Energy Model tables'!$D$60:$G$60,0))</f>
        <v>104.80425526065787</v>
      </c>
      <c r="R12" s="748">
        <f>INDEX('Energy Model tables'!$J$61:$M$76,MATCH($B12,'Energy Model tables'!$I$61:$I$76,0),MATCH($C$7,'Energy Model tables'!$J$60:$M$60,0))</f>
        <v>389.465154107432</v>
      </c>
      <c r="S12" s="748">
        <f>INDEX('Energy Model tables'!$D$81:$G$96,MATCH($B12,'Energy Model tables'!$C$81:$C$96,0),MATCH($C$7,'Energy Model tables'!$D$80:$G$80,0))</f>
        <v>-5718.2612804217388</v>
      </c>
      <c r="T12" s="748">
        <f>INDEX('Energy Model tables'!$J$81:$M$96,MATCH($B12,'Energy Model tables'!$I$81:$I$96,0),MATCH($C$7,'Energy Model tables'!$J$80:$M$80,0))</f>
        <v>-3876.9579086475414</v>
      </c>
    </row>
    <row r="13" spans="1:20" x14ac:dyDescent="0.3">
      <c r="B13" s="419">
        <v>7</v>
      </c>
      <c r="C13" s="738"/>
      <c r="D13" s="748">
        <f>INDEX('Energy Model tables'!$D$6:$G$21,MATCH($B13,'Energy Model tables'!$C$6:$C$21,0),MATCH($C$7,'Energy Model tables'!$D$5:$G$5,0))</f>
        <v>10</v>
      </c>
      <c r="E13" s="748">
        <f>HLOOKUP($C$7,'Energy Model tables'!$D$24:$G$25,2,FALSE)</f>
        <v>43.75</v>
      </c>
      <c r="F13" s="748">
        <f>'Energy Model tables'!$D$28</f>
        <v>330</v>
      </c>
      <c r="G13" s="748">
        <f>IF($C13&lt;&gt;"",HLOOKUP($C$7,'Energy Model tables'!$D$31:$G$32,2,FALSE),0)</f>
        <v>0</v>
      </c>
      <c r="H13" s="748">
        <f>INDEX('Energy Model tables'!$D$37:$G$52,MATCH($B13,'Energy Model tables'!$C$37:$C$52,0),MATCH($C$7,'Energy Model tables'!$D$36:$G$36,0))</f>
        <v>340.26047733333331</v>
      </c>
      <c r="I13" s="748">
        <f>IF($C13&lt;&gt;"",HLOOKUP($C$7,'Energy Model tables'!$D$55:$G$56,2,FALSE),0)</f>
        <v>0</v>
      </c>
      <c r="J13" s="748">
        <f t="shared" si="0"/>
        <v>340.26047733333331</v>
      </c>
      <c r="K13" s="748">
        <f t="shared" si="1"/>
        <v>437.5</v>
      </c>
      <c r="L13" s="748">
        <f t="shared" si="2"/>
        <v>767.5</v>
      </c>
      <c r="M13" s="748">
        <f t="shared" si="3"/>
        <v>97.239522666666687</v>
      </c>
      <c r="N13" s="748">
        <f t="shared" si="4"/>
        <v>427.23952266666669</v>
      </c>
      <c r="O13" s="748">
        <f t="shared" si="5"/>
        <v>-5235.2903624001601</v>
      </c>
      <c r="P13" s="748">
        <f t="shared" si="5"/>
        <v>-2925.2903624001601</v>
      </c>
      <c r="Q13" s="748">
        <f>INDEX('Energy Model tables'!$D$61:$G$76,MATCH($B13,'Energy Model tables'!$C$61:$C$76,0),MATCH($C$7,'Energy Model tables'!$D$60:$G$60,0))</f>
        <v>101.75170413656103</v>
      </c>
      <c r="R13" s="748">
        <f>INDEX('Energy Model tables'!$J$61:$M$76,MATCH($B13,'Energy Model tables'!$I$61:$I$76,0),MATCH($C$7,'Energy Model tables'!$J$60:$M$60,0))</f>
        <v>378.12150884216697</v>
      </c>
      <c r="S13" s="748">
        <f>INDEX('Energy Model tables'!$D$81:$G$96,MATCH($B13,'Energy Model tables'!$C$81:$C$96,0),MATCH($C$7,'Energy Model tables'!$D$80:$G$80,0))</f>
        <v>-5616.5095762851779</v>
      </c>
      <c r="T13" s="748">
        <f>INDEX('Energy Model tables'!$J$81:$M$96,MATCH($B13,'Energy Model tables'!$I$81:$I$96,0),MATCH($C$7,'Energy Model tables'!$J$80:$M$80,0))</f>
        <v>-3498.8363998053746</v>
      </c>
    </row>
    <row r="14" spans="1:20" x14ac:dyDescent="0.3">
      <c r="B14" s="419">
        <v>8</v>
      </c>
      <c r="C14" s="738"/>
      <c r="D14" s="748">
        <f>INDEX('Energy Model tables'!$D$6:$G$21,MATCH($B14,'Energy Model tables'!$C$6:$C$21,0),MATCH($C$7,'Energy Model tables'!$D$5:$G$5,0))</f>
        <v>10</v>
      </c>
      <c r="E14" s="748">
        <f>HLOOKUP($C$7,'Energy Model tables'!$D$24:$G$25,2,FALSE)</f>
        <v>43.75</v>
      </c>
      <c r="F14" s="748">
        <f>'Energy Model tables'!$D$28</f>
        <v>330</v>
      </c>
      <c r="G14" s="748">
        <f>IF($C14&lt;&gt;"",HLOOKUP($C$7,'Energy Model tables'!$D$31:$G$32,2,FALSE),0)</f>
        <v>0</v>
      </c>
      <c r="H14" s="748">
        <f>INDEX('Energy Model tables'!$D$37:$G$52,MATCH($B14,'Energy Model tables'!$C$37:$C$52,0),MATCH($C$7,'Energy Model tables'!$D$36:$G$36,0))</f>
        <v>340.26047733333331</v>
      </c>
      <c r="I14" s="748">
        <f>IF($C14&lt;&gt;"",HLOOKUP($C$7,'Energy Model tables'!$D$55:$G$56,2,FALSE),0)</f>
        <v>0</v>
      </c>
      <c r="J14" s="748">
        <f t="shared" si="0"/>
        <v>340.26047733333331</v>
      </c>
      <c r="K14" s="748">
        <f t="shared" si="1"/>
        <v>437.5</v>
      </c>
      <c r="L14" s="748">
        <f t="shared" si="2"/>
        <v>767.5</v>
      </c>
      <c r="M14" s="748">
        <f t="shared" si="3"/>
        <v>97.239522666666687</v>
      </c>
      <c r="N14" s="748">
        <f t="shared" si="4"/>
        <v>427.23952266666669</v>
      </c>
      <c r="O14" s="748">
        <f t="shared" si="5"/>
        <v>-5138.0508397334934</v>
      </c>
      <c r="P14" s="748">
        <f t="shared" si="5"/>
        <v>-2498.0508397334934</v>
      </c>
      <c r="Q14" s="748">
        <f>INDEX('Energy Model tables'!$D$61:$G$76,MATCH($B14,'Energy Model tables'!$C$61:$C$76,0),MATCH($C$7,'Energy Model tables'!$D$60:$G$60,0))</f>
        <v>98.788062268505854</v>
      </c>
      <c r="R14" s="748">
        <f>INDEX('Energy Model tables'!$J$61:$M$76,MATCH($B14,'Energy Model tables'!$I$61:$I$76,0),MATCH($C$7,'Energy Model tables'!$J$60:$M$60,0))</f>
        <v>367.1082610118126</v>
      </c>
      <c r="S14" s="748">
        <f>INDEX('Energy Model tables'!$D$81:$G$96,MATCH($B14,'Energy Model tables'!$C$81:$C$96,0),MATCH($C$7,'Energy Model tables'!$D$80:$G$80,0))</f>
        <v>-5517.7215140166718</v>
      </c>
      <c r="T14" s="748">
        <f>INDEX('Energy Model tables'!$J$81:$M$96,MATCH($B14,'Energy Model tables'!$I$81:$I$96,0),MATCH($C$7,'Energy Model tables'!$J$80:$M$80,0))</f>
        <v>-3131.7281387935618</v>
      </c>
    </row>
    <row r="15" spans="1:20" x14ac:dyDescent="0.3">
      <c r="B15" s="419">
        <v>9</v>
      </c>
      <c r="C15" s="738"/>
      <c r="D15" s="748">
        <f>INDEX('Energy Model tables'!$D$6:$G$21,MATCH($B15,'Energy Model tables'!$C$6:$C$21,0),MATCH($C$7,'Energy Model tables'!$D$5:$G$5,0))</f>
        <v>10</v>
      </c>
      <c r="E15" s="748">
        <f>HLOOKUP($C$7,'Energy Model tables'!$D$24:$G$25,2,FALSE)</f>
        <v>43.75</v>
      </c>
      <c r="F15" s="748">
        <f>'Energy Model tables'!$D$28</f>
        <v>330</v>
      </c>
      <c r="G15" s="748">
        <f>IF($C15&lt;&gt;"",HLOOKUP($C$7,'Energy Model tables'!$D$31:$G$32,2,FALSE),0)</f>
        <v>0</v>
      </c>
      <c r="H15" s="748">
        <f>INDEX('Energy Model tables'!$D$37:$G$52,MATCH($B15,'Energy Model tables'!$C$37:$C$52,0),MATCH($C$7,'Energy Model tables'!$D$36:$G$36,0))</f>
        <v>340.26047733333331</v>
      </c>
      <c r="I15" s="748">
        <f>IF($C15&lt;&gt;"",HLOOKUP($C$7,'Energy Model tables'!$D$55:$G$56,2,FALSE),0)</f>
        <v>0</v>
      </c>
      <c r="J15" s="748">
        <f t="shared" si="0"/>
        <v>340.26047733333331</v>
      </c>
      <c r="K15" s="748">
        <f t="shared" si="1"/>
        <v>437.5</v>
      </c>
      <c r="L15" s="748">
        <f t="shared" si="2"/>
        <v>767.5</v>
      </c>
      <c r="M15" s="748">
        <f t="shared" si="3"/>
        <v>97.239522666666687</v>
      </c>
      <c r="N15" s="748">
        <f t="shared" si="4"/>
        <v>427.23952266666669</v>
      </c>
      <c r="O15" s="748">
        <f t="shared" si="5"/>
        <v>-5040.8113170668266</v>
      </c>
      <c r="P15" s="748">
        <f t="shared" si="5"/>
        <v>-2070.8113170668266</v>
      </c>
      <c r="Q15" s="748">
        <f>INDEX('Energy Model tables'!$D$61:$G$76,MATCH($B15,'Energy Model tables'!$C$61:$C$76,0),MATCH($C$7,'Energy Model tables'!$D$60:$G$60,0))</f>
        <v>95.910740066510542</v>
      </c>
      <c r="R15" s="748">
        <f>INDEX('Energy Model tables'!$J$61:$M$76,MATCH($B15,'Energy Model tables'!$I$61:$I$76,0),MATCH($C$7,'Energy Model tables'!$J$60:$M$60,0))</f>
        <v>356.41578739010936</v>
      </c>
      <c r="S15" s="748">
        <f>INDEX('Energy Model tables'!$D$81:$G$96,MATCH($B15,'Energy Model tables'!$C$81:$C$96,0),MATCH($C$7,'Energy Model tables'!$D$80:$G$80,0))</f>
        <v>-5421.8107739501611</v>
      </c>
      <c r="T15" s="748">
        <f>INDEX('Energy Model tables'!$J$81:$M$96,MATCH($B15,'Energy Model tables'!$I$81:$I$96,0),MATCH($C$7,'Energy Model tables'!$J$80:$M$80,0))</f>
        <v>-2775.3123514034523</v>
      </c>
    </row>
    <row r="16" spans="1:20" x14ac:dyDescent="0.3">
      <c r="B16" s="419">
        <v>10</v>
      </c>
      <c r="C16" s="738"/>
      <c r="D16" s="748">
        <f>INDEX('Energy Model tables'!$D$6:$G$21,MATCH($B16,'Energy Model tables'!$C$6:$C$21,0),MATCH($C$7,'Energy Model tables'!$D$5:$G$5,0))</f>
        <v>10</v>
      </c>
      <c r="E16" s="748">
        <f>HLOOKUP($C$7,'Energy Model tables'!$D$24:$G$25,2,FALSE)</f>
        <v>43.75</v>
      </c>
      <c r="F16" s="748">
        <f>'Energy Model tables'!$D$28</f>
        <v>330</v>
      </c>
      <c r="G16" s="748">
        <f>IF($C16&lt;&gt;"",HLOOKUP($C$7,'Energy Model tables'!$D$31:$G$32,2,FALSE),0)</f>
        <v>0</v>
      </c>
      <c r="H16" s="748">
        <f>INDEX('Energy Model tables'!$D$37:$G$52,MATCH($B16,'Energy Model tables'!$C$37:$C$52,0),MATCH($C$7,'Energy Model tables'!$D$36:$G$36,0))</f>
        <v>340.26047733333331</v>
      </c>
      <c r="I16" s="748">
        <f>IF($C16&lt;&gt;"",HLOOKUP($C$7,'Energy Model tables'!$D$55:$G$56,2,FALSE),0)</f>
        <v>0</v>
      </c>
      <c r="J16" s="748">
        <f t="shared" si="0"/>
        <v>340.26047733333331</v>
      </c>
      <c r="K16" s="748">
        <f t="shared" si="1"/>
        <v>437.5</v>
      </c>
      <c r="L16" s="748">
        <f t="shared" si="2"/>
        <v>767.5</v>
      </c>
      <c r="M16" s="748">
        <f t="shared" si="3"/>
        <v>97.239522666666687</v>
      </c>
      <c r="N16" s="748">
        <f t="shared" si="4"/>
        <v>427.23952266666669</v>
      </c>
      <c r="O16" s="748">
        <f t="shared" si="5"/>
        <v>-4943.5717944001599</v>
      </c>
      <c r="P16" s="748">
        <f t="shared" si="5"/>
        <v>-1643.5717944001599</v>
      </c>
      <c r="Q16" s="748">
        <f>INDEX('Energy Model tables'!$D$61:$G$76,MATCH($B16,'Energy Model tables'!$C$61:$C$76,0),MATCH($C$7,'Energy Model tables'!$D$60:$G$60,0))</f>
        <v>93.11722336554422</v>
      </c>
      <c r="R16" s="748">
        <f>INDEX('Energy Model tables'!$J$61:$M$76,MATCH($B16,'Energy Model tables'!$I$61:$I$76,0),MATCH($C$7,'Energy Model tables'!$J$60:$M$60,0))</f>
        <v>346.03474503894108</v>
      </c>
      <c r="S16" s="748">
        <f>INDEX('Energy Model tables'!$D$81:$G$96,MATCH($B16,'Energy Model tables'!$C$81:$C$96,0),MATCH($C$7,'Energy Model tables'!$D$80:$G$80,0))</f>
        <v>-5328.6935505846168</v>
      </c>
      <c r="T16" s="748">
        <f>INDEX('Energy Model tables'!$J$81:$M$96,MATCH($B16,'Energy Model tables'!$I$81:$I$96,0),MATCH($C$7,'Energy Model tables'!$J$80:$M$80,0))</f>
        <v>-2429.2776063645115</v>
      </c>
    </row>
    <row r="17" spans="2:20" x14ac:dyDescent="0.3">
      <c r="B17" s="419">
        <v>11</v>
      </c>
      <c r="C17" s="738"/>
      <c r="D17" s="748">
        <f>INDEX('Energy Model tables'!$D$6:$G$21,MATCH($B17,'Energy Model tables'!$C$6:$C$21,0),MATCH($C$7,'Energy Model tables'!$D$5:$G$5,0))</f>
        <v>10</v>
      </c>
      <c r="E17" s="748">
        <f>HLOOKUP($C$7,'Energy Model tables'!$D$24:$G$25,2,FALSE)</f>
        <v>43.75</v>
      </c>
      <c r="F17" s="748">
        <f>'Energy Model tables'!$D$28</f>
        <v>330</v>
      </c>
      <c r="G17" s="748">
        <f>IF($C17&lt;&gt;"",HLOOKUP($C$7,'Energy Model tables'!$D$31:$G$32,2,FALSE),0)</f>
        <v>0</v>
      </c>
      <c r="H17" s="748">
        <f>INDEX('Energy Model tables'!$D$37:$G$52,MATCH($B17,'Energy Model tables'!$C$37:$C$52,0),MATCH($C$7,'Energy Model tables'!$D$36:$G$36,0))</f>
        <v>340.26047733333331</v>
      </c>
      <c r="I17" s="748">
        <f>IF($C17&lt;&gt;"",HLOOKUP($C$7,'Energy Model tables'!$D$55:$G$56,2,FALSE),0)</f>
        <v>0</v>
      </c>
      <c r="J17" s="748">
        <f t="shared" si="0"/>
        <v>340.26047733333331</v>
      </c>
      <c r="K17" s="748">
        <f t="shared" si="1"/>
        <v>437.5</v>
      </c>
      <c r="L17" s="748">
        <f t="shared" si="2"/>
        <v>767.5</v>
      </c>
      <c r="M17" s="748">
        <f t="shared" si="3"/>
        <v>97.239522666666687</v>
      </c>
      <c r="N17" s="748">
        <f t="shared" si="4"/>
        <v>427.23952266666669</v>
      </c>
      <c r="O17" s="748">
        <f t="shared" si="5"/>
        <v>-4846.3322717334931</v>
      </c>
      <c r="P17" s="748">
        <f t="shared" si="5"/>
        <v>-1216.3322717334931</v>
      </c>
      <c r="Q17" s="748">
        <f>INDEX('Energy Model tables'!$D$61:$G$76,MATCH($B17,'Energy Model tables'!$C$61:$C$76,0),MATCH($C$7,'Energy Model tables'!$D$60:$G$60,0))</f>
        <v>90.405071228683695</v>
      </c>
      <c r="R17" s="748">
        <f>INDEX('Energy Model tables'!$J$61:$M$76,MATCH($B17,'Energy Model tables'!$I$61:$I$76,0),MATCH($C$7,'Energy Model tables'!$J$60:$M$60,0))</f>
        <v>335.95606314460304</v>
      </c>
      <c r="S17" s="748">
        <f>INDEX('Energy Model tables'!$D$81:$G$96,MATCH($B17,'Energy Model tables'!$C$81:$C$96,0),MATCH($C$7,'Energy Model tables'!$D$80:$G$80,0))</f>
        <v>-5238.2884793559333</v>
      </c>
      <c r="T17" s="748">
        <f>INDEX('Energy Model tables'!$J$81:$M$96,MATCH($B17,'Energy Model tables'!$I$81:$I$96,0),MATCH($C$7,'Energy Model tables'!$J$80:$M$80,0))</f>
        <v>-2093.3215432199086</v>
      </c>
    </row>
    <row r="18" spans="2:20" x14ac:dyDescent="0.3">
      <c r="B18" s="419">
        <v>12</v>
      </c>
      <c r="C18" s="738"/>
      <c r="D18" s="748">
        <f>INDEX('Energy Model tables'!$D$6:$G$21,MATCH($B18,'Energy Model tables'!$C$6:$C$21,0),MATCH($C$7,'Energy Model tables'!$D$5:$G$5,0))</f>
        <v>10</v>
      </c>
      <c r="E18" s="748">
        <f>HLOOKUP($C$7,'Energy Model tables'!$D$24:$G$25,2,FALSE)</f>
        <v>43.75</v>
      </c>
      <c r="F18" s="748">
        <f>'Energy Model tables'!$D$28</f>
        <v>330</v>
      </c>
      <c r="G18" s="748">
        <f>IF($C18&lt;&gt;"",HLOOKUP($C$7,'Energy Model tables'!$D$31:$G$32,2,FALSE),0)</f>
        <v>0</v>
      </c>
      <c r="H18" s="748">
        <f>INDEX('Energy Model tables'!$D$37:$G$52,MATCH($B18,'Energy Model tables'!$C$37:$C$52,0),MATCH($C$7,'Energy Model tables'!$D$36:$G$36,0))</f>
        <v>340.26047733333331</v>
      </c>
      <c r="I18" s="748">
        <f>IF($C18&lt;&gt;"",HLOOKUP($C$7,'Energy Model tables'!$D$55:$G$56,2,FALSE),0)</f>
        <v>0</v>
      </c>
      <c r="J18" s="748">
        <f t="shared" si="0"/>
        <v>340.26047733333331</v>
      </c>
      <c r="K18" s="748">
        <f t="shared" si="1"/>
        <v>437.5</v>
      </c>
      <c r="L18" s="748">
        <f t="shared" si="2"/>
        <v>767.5</v>
      </c>
      <c r="M18" s="748">
        <f t="shared" si="3"/>
        <v>97.239522666666687</v>
      </c>
      <c r="N18" s="748">
        <f t="shared" si="4"/>
        <v>427.23952266666669</v>
      </c>
      <c r="O18" s="748">
        <f t="shared" si="5"/>
        <v>-4749.0927490668264</v>
      </c>
      <c r="P18" s="748">
        <f t="shared" si="5"/>
        <v>-789.0927490668264</v>
      </c>
      <c r="Q18" s="748">
        <f>INDEX('Energy Model tables'!$D$61:$G$76,MATCH($B18,'Energy Model tables'!$C$61:$C$76,0),MATCH($C$7,'Energy Model tables'!$D$60:$G$60,0))</f>
        <v>87.771913814256024</v>
      </c>
      <c r="R18" s="748">
        <f>INDEX('Energy Model tables'!$J$61:$M$76,MATCH($B18,'Energy Model tables'!$I$61:$I$76,0),MATCH($C$7,'Energy Model tables'!$J$60:$M$60,0))</f>
        <v>326.17093509184758</v>
      </c>
      <c r="S18" s="748">
        <f>INDEX('Energy Model tables'!$D$81:$G$96,MATCH($B18,'Energy Model tables'!$C$81:$C$96,0),MATCH($C$7,'Energy Model tables'!$D$80:$G$80,0))</f>
        <v>-5150.5165655416777</v>
      </c>
      <c r="T18" s="748">
        <f>INDEX('Energy Model tables'!$J$81:$M$96,MATCH($B18,'Energy Model tables'!$I$81:$I$96,0),MATCH($C$7,'Energy Model tables'!$J$80:$M$80,0))</f>
        <v>-1767.1506081280609</v>
      </c>
    </row>
    <row r="19" spans="2:20" x14ac:dyDescent="0.3">
      <c r="B19" s="419">
        <v>13</v>
      </c>
      <c r="C19" s="738"/>
      <c r="D19" s="748">
        <f>INDEX('Energy Model tables'!$D$6:$G$21,MATCH($B19,'Energy Model tables'!$C$6:$C$21,0),MATCH($C$7,'Energy Model tables'!$D$5:$G$5,0))</f>
        <v>10</v>
      </c>
      <c r="E19" s="748">
        <f>HLOOKUP($C$7,'Energy Model tables'!$D$24:$G$25,2,FALSE)</f>
        <v>43.75</v>
      </c>
      <c r="F19" s="748">
        <f>'Energy Model tables'!$D$28</f>
        <v>330</v>
      </c>
      <c r="G19" s="748">
        <f>IF($C19&lt;&gt;"",HLOOKUP($C$7,'Energy Model tables'!$D$31:$G$32,2,FALSE),0)</f>
        <v>0</v>
      </c>
      <c r="H19" s="748">
        <f>INDEX('Energy Model tables'!$D$37:$G$52,MATCH($B19,'Energy Model tables'!$C$37:$C$52,0),MATCH($C$7,'Energy Model tables'!$D$36:$G$36,0))</f>
        <v>340.26047733333331</v>
      </c>
      <c r="I19" s="748">
        <f>IF($C19&lt;&gt;"",HLOOKUP($C$7,'Energy Model tables'!$D$55:$G$56,2,FALSE),0)</f>
        <v>0</v>
      </c>
      <c r="J19" s="748">
        <f t="shared" si="0"/>
        <v>340.26047733333331</v>
      </c>
      <c r="K19" s="748">
        <f t="shared" si="1"/>
        <v>437.5</v>
      </c>
      <c r="L19" s="748">
        <f t="shared" si="2"/>
        <v>767.5</v>
      </c>
      <c r="M19" s="748">
        <f t="shared" si="3"/>
        <v>97.239522666666687</v>
      </c>
      <c r="N19" s="748">
        <f t="shared" si="4"/>
        <v>427.23952266666669</v>
      </c>
      <c r="O19" s="748">
        <f t="shared" si="5"/>
        <v>-4651.8532264001597</v>
      </c>
      <c r="P19" s="748">
        <f t="shared" si="5"/>
        <v>-361.85322640015971</v>
      </c>
      <c r="Q19" s="748">
        <f>INDEX('Energy Model tables'!$D$61:$G$76,MATCH($B19,'Energy Model tables'!$C$61:$C$76,0),MATCH($C$7,'Energy Model tables'!$D$60:$G$60,0))</f>
        <v>85.215450305102948</v>
      </c>
      <c r="R19" s="748">
        <f>INDEX('Energy Model tables'!$J$61:$M$76,MATCH($B19,'Energy Model tables'!$I$61:$I$76,0),MATCH($C$7,'Energy Model tables'!$J$60:$M$60,0))</f>
        <v>316.67081076878412</v>
      </c>
      <c r="S19" s="748">
        <f>INDEX('Energy Model tables'!$D$81:$G$96,MATCH($B19,'Energy Model tables'!$C$81:$C$96,0),MATCH($C$7,'Energy Model tables'!$D$80:$G$80,0))</f>
        <v>-5065.3011152365743</v>
      </c>
      <c r="T19" s="748">
        <f>INDEX('Energy Model tables'!$J$81:$M$96,MATCH($B19,'Energy Model tables'!$I$81:$I$96,0),MATCH($C$7,'Energy Model tables'!$J$80:$M$80,0))</f>
        <v>-1450.4797973592767</v>
      </c>
    </row>
    <row r="20" spans="2:20" x14ac:dyDescent="0.3">
      <c r="B20" s="419">
        <v>14</v>
      </c>
      <c r="C20" s="738"/>
      <c r="D20" s="748">
        <f>INDEX('Energy Model tables'!$D$6:$G$21,MATCH($B20,'Energy Model tables'!$C$6:$C$21,0),MATCH($C$7,'Energy Model tables'!$D$5:$G$5,0))</f>
        <v>10</v>
      </c>
      <c r="E20" s="748">
        <f>HLOOKUP($C$7,'Energy Model tables'!$D$24:$G$25,2,FALSE)</f>
        <v>43.75</v>
      </c>
      <c r="F20" s="748">
        <f>'Energy Model tables'!$D$28</f>
        <v>330</v>
      </c>
      <c r="G20" s="748">
        <f>IF($C20&lt;&gt;"",HLOOKUP($C$7,'Energy Model tables'!$D$31:$G$32,2,FALSE),0)</f>
        <v>0</v>
      </c>
      <c r="H20" s="748">
        <f>INDEX('Energy Model tables'!$D$37:$G$52,MATCH($B20,'Energy Model tables'!$C$37:$C$52,0),MATCH($C$7,'Energy Model tables'!$D$36:$G$36,0))</f>
        <v>340.26047733333331</v>
      </c>
      <c r="I20" s="748">
        <f>IF($C20&lt;&gt;"",HLOOKUP($C$7,'Energy Model tables'!$D$55:$G$56,2,FALSE),0)</f>
        <v>0</v>
      </c>
      <c r="J20" s="748">
        <f t="shared" si="0"/>
        <v>340.26047733333331</v>
      </c>
      <c r="K20" s="748">
        <f t="shared" si="1"/>
        <v>437.5</v>
      </c>
      <c r="L20" s="748">
        <f t="shared" si="2"/>
        <v>767.5</v>
      </c>
      <c r="M20" s="748">
        <f t="shared" si="3"/>
        <v>97.239522666666687</v>
      </c>
      <c r="N20" s="748">
        <f t="shared" si="4"/>
        <v>427.23952266666669</v>
      </c>
      <c r="O20" s="748">
        <f t="shared" si="5"/>
        <v>-4554.6137037334929</v>
      </c>
      <c r="P20" s="748">
        <f t="shared" si="5"/>
        <v>65.386296266506974</v>
      </c>
      <c r="Q20" s="748">
        <f>INDEX('Energy Model tables'!$D$61:$G$76,MATCH($B20,'Energy Model tables'!$C$61:$C$76,0),MATCH($C$7,'Energy Model tables'!$D$60:$G$60,0))</f>
        <v>82.733446898158206</v>
      </c>
      <c r="R20" s="748">
        <f>INDEX('Energy Model tables'!$J$61:$M$76,MATCH($B20,'Energy Model tables'!$I$61:$I$76,0),MATCH($C$7,'Energy Model tables'!$J$60:$M$60,0))</f>
        <v>307.44738909590689</v>
      </c>
      <c r="S20" s="748">
        <f>INDEX('Energy Model tables'!$D$81:$G$96,MATCH($B20,'Energy Model tables'!$C$81:$C$96,0),MATCH($C$7,'Energy Model tables'!$D$80:$G$80,0))</f>
        <v>-4982.5676683384163</v>
      </c>
      <c r="T20" s="748">
        <f>INDEX('Energy Model tables'!$J$81:$M$96,MATCH($B20,'Energy Model tables'!$I$81:$I$96,0),MATCH($C$7,'Energy Model tables'!$J$80:$M$80,0))</f>
        <v>-1143.0324082633699</v>
      </c>
    </row>
    <row r="21" spans="2:20" x14ac:dyDescent="0.3">
      <c r="B21" s="419">
        <v>15</v>
      </c>
      <c r="C21" s="738"/>
      <c r="D21" s="748">
        <f>INDEX('Energy Model tables'!$D$6:$G$21,MATCH($B21,'Energy Model tables'!$C$6:$C$21,0),MATCH($C$7,'Energy Model tables'!$D$5:$G$5,0))</f>
        <v>10</v>
      </c>
      <c r="E21" s="748">
        <f>HLOOKUP($C$7,'Energy Model tables'!$D$24:$G$25,2,FALSE)</f>
        <v>43.75</v>
      </c>
      <c r="F21" s="748">
        <f>'Energy Model tables'!$D$28</f>
        <v>330</v>
      </c>
      <c r="G21" s="748">
        <f>IF($C21&lt;&gt;"",HLOOKUP($C$7,'Energy Model tables'!$D$31:$G$32,2,FALSE),0)</f>
        <v>0</v>
      </c>
      <c r="H21" s="748">
        <f>INDEX('Energy Model tables'!$D$37:$G$52,MATCH($B21,'Energy Model tables'!$C$37:$C$52,0),MATCH($C$7,'Energy Model tables'!$D$36:$G$36,0))</f>
        <v>340.26047733333331</v>
      </c>
      <c r="I21" s="748">
        <f>IF($C21&lt;&gt;"",HLOOKUP($C$7,'Energy Model tables'!$D$55:$G$56,2,FALSE),0)</f>
        <v>0</v>
      </c>
      <c r="J21" s="748">
        <f t="shared" si="0"/>
        <v>340.26047733333331</v>
      </c>
      <c r="K21" s="748">
        <f t="shared" si="1"/>
        <v>437.5</v>
      </c>
      <c r="L21" s="748">
        <f t="shared" si="2"/>
        <v>767.5</v>
      </c>
      <c r="M21" s="748">
        <f t="shared" si="3"/>
        <v>97.239522666666687</v>
      </c>
      <c r="N21" s="748">
        <f t="shared" si="4"/>
        <v>427.23952266666669</v>
      </c>
      <c r="O21" s="748">
        <f t="shared" si="5"/>
        <v>-4457.3741810668262</v>
      </c>
      <c r="P21" s="748">
        <f t="shared" si="5"/>
        <v>492.62581893317366</v>
      </c>
      <c r="Q21" s="748">
        <f>INDEX('Energy Model tables'!$D$61:$G$76,MATCH($B21,'Energy Model tables'!$C$61:$C$76,0),MATCH($C$7,'Energy Model tables'!$D$60:$G$60,0))</f>
        <v>80.32373485258077</v>
      </c>
      <c r="R21" s="748">
        <f>INDEX('Energy Model tables'!$J$61:$M$76,MATCH($B21,'Energy Model tables'!$I$61:$I$76,0),MATCH($C$7,'Energy Model tables'!$J$60:$M$60,0))</f>
        <v>298.49261077272513</v>
      </c>
      <c r="S21" s="748">
        <f>INDEX('Energy Model tables'!$D$81:$G$96,MATCH($B21,'Energy Model tables'!$C$81:$C$96,0),MATCH($C$7,'Energy Model tables'!$D$80:$G$80,0))</f>
        <v>-4902.2439334858354</v>
      </c>
      <c r="T21" s="748">
        <f>INDEX('Energy Model tables'!$J$81:$M$96,MATCH($B21,'Energy Model tables'!$I$81:$I$96,0),MATCH($C$7,'Energy Model tables'!$J$80:$M$80,0))</f>
        <v>-844.53979749064479</v>
      </c>
    </row>
    <row r="22" spans="2:20" x14ac:dyDescent="0.3">
      <c r="B22" s="560">
        <v>16</v>
      </c>
      <c r="C22" s="742"/>
      <c r="D22" s="749">
        <f>INDEX('Energy Model tables'!$D$6:$G$21,MATCH($B22,'Energy Model tables'!$C$6:$C$21,0),MATCH($C$7,'Energy Model tables'!$D$5:$G$5,0))</f>
        <v>10</v>
      </c>
      <c r="E22" s="749">
        <f>HLOOKUP($C$7,'Energy Model tables'!$D$24:$G$25,2,FALSE)</f>
        <v>43.75</v>
      </c>
      <c r="F22" s="749">
        <f>'Energy Model tables'!$D$28</f>
        <v>330</v>
      </c>
      <c r="G22" s="749">
        <f>IF($C22&lt;&gt;"",HLOOKUP($C$7,'Energy Model tables'!$D$31:$G$32,2,FALSE),0)</f>
        <v>0</v>
      </c>
      <c r="H22" s="749">
        <f>INDEX('Energy Model tables'!$D$37:$G$52,MATCH($B22,'Energy Model tables'!$C$37:$C$52,0),MATCH($C$7,'Energy Model tables'!$D$36:$G$36,0))</f>
        <v>340.26047733333331</v>
      </c>
      <c r="I22" s="749">
        <f>IF($C7&lt;&gt;"",HLOOKUP($C$7,'Energy Model tables'!$D$55:$G$56,2,FALSE),0)</f>
        <v>192.1</v>
      </c>
      <c r="J22" s="749">
        <f t="shared" si="0"/>
        <v>532.36047733333328</v>
      </c>
      <c r="K22" s="749">
        <f t="shared" si="1"/>
        <v>437.5</v>
      </c>
      <c r="L22" s="749">
        <f t="shared" si="2"/>
        <v>767.5</v>
      </c>
      <c r="M22" s="749">
        <f t="shared" si="3"/>
        <v>-94.860477333333279</v>
      </c>
      <c r="N22" s="749">
        <f t="shared" si="4"/>
        <v>235.13952266666672</v>
      </c>
      <c r="O22" s="749">
        <f t="shared" si="5"/>
        <v>-4552.2346584001598</v>
      </c>
      <c r="P22" s="749">
        <f t="shared" si="5"/>
        <v>727.76534159984044</v>
      </c>
      <c r="Q22" s="749">
        <f>INDEX('Energy Model tables'!$D$61:$G$76,MATCH($B22,'Energy Model tables'!$C$61:$C$76,0),MATCH($C$7,'Energy Model tables'!$D$60:$G$60,0))</f>
        <v>27.212928555658259</v>
      </c>
      <c r="R22" s="749">
        <f>INDEX('Energy Model tables'!$J$61:$M$76,MATCH($B22,'Energy Model tables'!$I$61:$I$76,0),MATCH($C$7,'Energy Model tables'!$J$60:$M$60,0))</f>
        <v>239.0273711965751</v>
      </c>
      <c r="S22" s="749">
        <f>INDEX('Energy Model tables'!$D$81:$G$96,MATCH($B22,'Energy Model tables'!$C$81:$C$96,0),MATCH($C$7,'Energy Model tables'!$D$80:$G$80,0))</f>
        <v>-4875.031004930177</v>
      </c>
      <c r="T22" s="749">
        <f>INDEX('Energy Model tables'!$J$81:$M$96,MATCH($B22,'Energy Model tables'!$I$81:$I$96,0),MATCH($C$7,'Energy Model tables'!$J$80:$M$80,0))</f>
        <v>-605.51242629406966</v>
      </c>
    </row>
    <row r="23" spans="2:20" x14ac:dyDescent="0.3">
      <c r="C23" s="363"/>
      <c r="N23" s="39"/>
      <c r="O23" s="39"/>
      <c r="P23" s="39"/>
      <c r="Q23" s="39"/>
      <c r="R23" s="39"/>
    </row>
    <row r="25" spans="2:20" x14ac:dyDescent="0.3">
      <c r="D25" s="24"/>
      <c r="E25" s="24"/>
      <c r="F25" s="24"/>
    </row>
    <row r="26" spans="2:20" ht="30" x14ac:dyDescent="0.3">
      <c r="B26" s="86"/>
      <c r="C26" s="359" t="s">
        <v>345</v>
      </c>
      <c r="D26" s="360" t="s">
        <v>346</v>
      </c>
      <c r="E26" s="360" t="s">
        <v>347</v>
      </c>
      <c r="F26" s="360" t="s">
        <v>348</v>
      </c>
    </row>
    <row r="27" spans="2:20" x14ac:dyDescent="0.3">
      <c r="B27" s="86"/>
      <c r="C27" s="359" t="s">
        <v>583</v>
      </c>
      <c r="D27" s="360" t="s">
        <v>567</v>
      </c>
      <c r="E27" s="360" t="s">
        <v>567</v>
      </c>
      <c r="F27" s="360" t="s">
        <v>582</v>
      </c>
    </row>
    <row r="28" spans="2:20" x14ac:dyDescent="0.3">
      <c r="B28" s="86" t="s">
        <v>284</v>
      </c>
      <c r="C28" s="361">
        <v>0</v>
      </c>
      <c r="D28" s="752">
        <f>'Energy NPV'!C6</f>
        <v>0.03</v>
      </c>
      <c r="E28" s="86"/>
      <c r="F28" s="86"/>
    </row>
    <row r="29" spans="2:20" x14ac:dyDescent="0.3">
      <c r="B29" s="86" t="s">
        <v>434</v>
      </c>
      <c r="C29" s="785">
        <f>O22</f>
        <v>-4552.2346584001598</v>
      </c>
      <c r="D29" s="785">
        <f>S22</f>
        <v>-4875.031004930177</v>
      </c>
      <c r="E29" s="785">
        <f>D29*((1+$D$28)^16)/(((1+$D$28)^16)-1)</f>
        <v>-12936.845283269247</v>
      </c>
      <c r="F29" s="785">
        <f>E29*$D$28</f>
        <v>-388.10535849807741</v>
      </c>
    </row>
    <row r="30" spans="2:20" x14ac:dyDescent="0.3">
      <c r="B30" s="86" t="s">
        <v>435</v>
      </c>
      <c r="C30" s="785">
        <f>P22</f>
        <v>727.76534159984044</v>
      </c>
      <c r="D30" s="785">
        <f>T22</f>
        <v>-605.51242629406966</v>
      </c>
      <c r="E30" s="785">
        <f>D30*((1+$D$28)^16)/(((1+$D$28)^16)-1)</f>
        <v>-1606.845283269239</v>
      </c>
      <c r="F30" s="785">
        <f>E30*$D$28</f>
        <v>-48.205358498077167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0000000}">
          <x14:formula1>
            <xm:f>'Energy Model tables'!$D$5:$G$5</xm:f>
          </x14:formula1>
          <xm:sqref>C7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AI106"/>
  <sheetViews>
    <sheetView topLeftCell="A58" workbookViewId="0">
      <selection activeCell="D65" sqref="D65"/>
    </sheetView>
  </sheetViews>
  <sheetFormatPr defaultColWidth="9" defaultRowHeight="14" x14ac:dyDescent="0.3"/>
  <cols>
    <col min="1" max="1" width="13.75" customWidth="1"/>
    <col min="2" max="5" width="9" customWidth="1"/>
  </cols>
  <sheetData>
    <row r="2" spans="2:35" ht="14.5" thickBot="1" x14ac:dyDescent="0.35"/>
    <row r="3" spans="2:35" ht="14.5" thickBot="1" x14ac:dyDescent="0.35">
      <c r="B3" s="352" t="s">
        <v>579</v>
      </c>
      <c r="C3" s="353"/>
      <c r="D3" s="353"/>
      <c r="E3" s="229"/>
      <c r="F3" s="200"/>
    </row>
    <row r="6" spans="2:35" x14ac:dyDescent="0.3">
      <c r="B6" s="86" t="s">
        <v>284</v>
      </c>
      <c r="C6" s="770">
        <f>'Arable NPV'!C6</f>
        <v>0.03</v>
      </c>
    </row>
    <row r="7" spans="2:35" x14ac:dyDescent="0.3">
      <c r="B7" s="24"/>
      <c r="C7" s="24"/>
      <c r="D7" s="24"/>
      <c r="E7" s="24"/>
      <c r="F7" s="24"/>
    </row>
    <row r="9" spans="2:35" x14ac:dyDescent="0.3">
      <c r="B9" s="211" t="s">
        <v>91</v>
      </c>
      <c r="C9" s="230"/>
      <c r="D9" s="230"/>
      <c r="E9" s="230"/>
      <c r="F9" s="194"/>
      <c r="G9" s="193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</row>
    <row r="10" spans="2:35" x14ac:dyDescent="0.3">
      <c r="B10" s="203"/>
      <c r="C10" s="148"/>
      <c r="D10" s="148"/>
      <c r="E10" s="148"/>
      <c r="F10" s="1108"/>
      <c r="G10" s="1108"/>
      <c r="H10" s="1108"/>
      <c r="I10" s="148"/>
      <c r="J10" s="961" t="s">
        <v>85</v>
      </c>
      <c r="K10" s="962"/>
      <c r="L10" s="962"/>
      <c r="M10" s="962"/>
      <c r="N10" s="962"/>
      <c r="O10" s="962"/>
      <c r="P10" s="962"/>
      <c r="Q10" s="962"/>
      <c r="R10" s="962"/>
      <c r="S10" s="962"/>
      <c r="T10" s="962"/>
      <c r="U10" s="963"/>
      <c r="V10" s="1108"/>
      <c r="W10" s="1108"/>
      <c r="X10" s="148"/>
      <c r="Y10" s="148"/>
      <c r="Z10" s="1109" t="s">
        <v>270</v>
      </c>
      <c r="AA10" s="1110"/>
      <c r="AB10" s="1110"/>
      <c r="AC10" s="1110"/>
      <c r="AD10" s="1111"/>
      <c r="AE10" s="1109" t="s">
        <v>271</v>
      </c>
      <c r="AF10" s="1110"/>
      <c r="AG10" s="1110"/>
      <c r="AH10" s="1110"/>
      <c r="AI10" s="1111"/>
    </row>
    <row r="11" spans="2:35" ht="51" x14ac:dyDescent="0.3">
      <c r="B11" s="204" t="s">
        <v>272</v>
      </c>
      <c r="C11" s="205" t="s">
        <v>533</v>
      </c>
      <c r="D11" s="205" t="s">
        <v>289</v>
      </c>
      <c r="E11" s="205" t="s">
        <v>290</v>
      </c>
      <c r="F11" s="171" t="s">
        <v>676</v>
      </c>
      <c r="G11" s="171" t="s">
        <v>672</v>
      </c>
      <c r="H11" s="171" t="s">
        <v>677</v>
      </c>
      <c r="I11" s="205" t="s">
        <v>287</v>
      </c>
      <c r="J11" s="933" t="s">
        <v>250</v>
      </c>
      <c r="K11" s="934" t="s">
        <v>32</v>
      </c>
      <c r="L11" s="934" t="s">
        <v>520</v>
      </c>
      <c r="M11" s="934" t="s">
        <v>144</v>
      </c>
      <c r="N11" s="935" t="s">
        <v>539</v>
      </c>
      <c r="O11" s="935" t="s">
        <v>540</v>
      </c>
      <c r="P11" s="935" t="s">
        <v>541</v>
      </c>
      <c r="Q11" s="949" t="s">
        <v>177</v>
      </c>
      <c r="R11" s="949" t="s">
        <v>462</v>
      </c>
      <c r="S11" s="950" t="s">
        <v>463</v>
      </c>
      <c r="T11" s="949" t="s">
        <v>464</v>
      </c>
      <c r="U11" s="936" t="s">
        <v>288</v>
      </c>
      <c r="V11" s="205" t="s">
        <v>291</v>
      </c>
      <c r="W11" s="171" t="s">
        <v>276</v>
      </c>
      <c r="X11" s="171" t="s">
        <v>678</v>
      </c>
      <c r="Y11" s="171" t="s">
        <v>679</v>
      </c>
      <c r="Z11" s="195" t="s">
        <v>277</v>
      </c>
      <c r="AA11" s="171" t="s">
        <v>680</v>
      </c>
      <c r="AB11" s="171" t="s">
        <v>278</v>
      </c>
      <c r="AC11" s="171" t="s">
        <v>681</v>
      </c>
      <c r="AD11" s="198" t="s">
        <v>279</v>
      </c>
      <c r="AE11" s="195" t="s">
        <v>280</v>
      </c>
      <c r="AF11" s="171" t="s">
        <v>682</v>
      </c>
      <c r="AG11" s="171" t="s">
        <v>281</v>
      </c>
      <c r="AH11" s="171" t="s">
        <v>683</v>
      </c>
      <c r="AI11" s="198" t="s">
        <v>282</v>
      </c>
    </row>
    <row r="12" spans="2:35" x14ac:dyDescent="0.3">
      <c r="B12" s="210"/>
      <c r="C12" s="225" t="s">
        <v>534</v>
      </c>
      <c r="D12" s="225" t="s">
        <v>332</v>
      </c>
      <c r="E12" s="225" t="s">
        <v>569</v>
      </c>
      <c r="F12" s="225" t="s">
        <v>567</v>
      </c>
      <c r="G12" s="225" t="s">
        <v>567</v>
      </c>
      <c r="H12" s="225" t="s">
        <v>567</v>
      </c>
      <c r="I12" s="225" t="s">
        <v>567</v>
      </c>
      <c r="J12" s="937" t="s">
        <v>567</v>
      </c>
      <c r="K12" s="938" t="s">
        <v>567</v>
      </c>
      <c r="L12" s="938" t="s">
        <v>567</v>
      </c>
      <c r="M12" s="938" t="s">
        <v>567</v>
      </c>
      <c r="N12" s="938" t="s">
        <v>567</v>
      </c>
      <c r="O12" s="938" t="s">
        <v>567</v>
      </c>
      <c r="P12" s="938" t="s">
        <v>567</v>
      </c>
      <c r="Q12" s="939" t="s">
        <v>567</v>
      </c>
      <c r="R12" s="939" t="s">
        <v>567</v>
      </c>
      <c r="S12" s="939" t="s">
        <v>567</v>
      </c>
      <c r="T12" s="939" t="s">
        <v>569</v>
      </c>
      <c r="U12" s="940" t="s">
        <v>567</v>
      </c>
      <c r="V12" s="226" t="s">
        <v>567</v>
      </c>
      <c r="W12" s="226" t="s">
        <v>567</v>
      </c>
      <c r="X12" s="226" t="s">
        <v>567</v>
      </c>
      <c r="Y12" s="730" t="s">
        <v>567</v>
      </c>
      <c r="Z12" s="226" t="s">
        <v>567</v>
      </c>
      <c r="AA12" s="226" t="s">
        <v>567</v>
      </c>
      <c r="AB12" s="226" t="s">
        <v>567</v>
      </c>
      <c r="AC12" s="226" t="s">
        <v>567</v>
      </c>
      <c r="AD12" s="730" t="s">
        <v>567</v>
      </c>
      <c r="AE12" s="226" t="s">
        <v>567</v>
      </c>
      <c r="AF12" s="226" t="s">
        <v>567</v>
      </c>
      <c r="AG12" s="226" t="s">
        <v>567</v>
      </c>
      <c r="AH12" s="226" t="s">
        <v>567</v>
      </c>
      <c r="AI12" s="730" t="s">
        <v>567</v>
      </c>
    </row>
    <row r="13" spans="2:35" x14ac:dyDescent="0.3">
      <c r="B13" s="899">
        <v>1</v>
      </c>
      <c r="C13" s="928">
        <f>'Energy Inputs'!D30</f>
        <v>0</v>
      </c>
      <c r="D13" s="928">
        <f>C13*'Energy Inputs'!$D$24</f>
        <v>0</v>
      </c>
      <c r="E13" s="213">
        <f>'Energy margins'!$E$12</f>
        <v>43.75</v>
      </c>
      <c r="F13" s="928">
        <f t="shared" ref="F13:F28" si="0">D13*E13</f>
        <v>0</v>
      </c>
      <c r="G13" s="928">
        <f>'Energy Inputs'!$D$10</f>
        <v>330</v>
      </c>
      <c r="H13" s="213">
        <f>F13+G13</f>
        <v>330</v>
      </c>
      <c r="I13" s="929">
        <f>'Margins summary'!P20</f>
        <v>1887.233334</v>
      </c>
      <c r="J13" s="970">
        <f>IF(ISERROR(IF(MOD(IF(AND(B13&gt;='Energy margins'!$F$44,B13&lt;='Energy margins'!$G$44),B13-'Energy margins'!$F$44,""),'Energy margins'!$H$44)=0,'Energy margins'!$E$44,0)),0,IF(MOD(IF(AND(B13&gt;='Energy margins'!$F$44,B13&lt;='Energy margins'!$G$44),B13-'Energy margins'!$F$44,""),'Energy margins'!$H$44)=0,'Energy margins'!$E$44,0))</f>
        <v>0</v>
      </c>
      <c r="K13" s="928">
        <f>IF(ISERROR(IF(MOD(IF(AND(B13&gt;='Energy margins'!$F$45,B13&lt;='Energy margins'!$G$45),B13-'Energy margins'!$F$45,""),'Energy margins'!$H$45)=0,'Energy margins'!$E$45,0)),0,IF(MOD(IF(AND(B13&gt;='Energy margins'!$F$45,B13&lt;='Energy margins'!$G$45),B13-'Energy margins'!$F$45,""),'Energy margins'!$H$45)=0,'Energy margins'!$E$45,0))</f>
        <v>0</v>
      </c>
      <c r="L13" s="928">
        <f>IF(ISERROR(IF(MOD(IF(AND(B13&gt;='Energy margins'!$F$46,B13&lt;='Energy margins'!$G$46),B13-'Energy margins'!$F$46,""),'Energy margins'!$H$46)=0,'Energy margins'!$E$46,0)),0,IF(MOD(IF(AND(B13&gt;='Energy margins'!$F$46,B13&lt;='Energy margins'!$G$46),B13-'Energy margins'!$F$46,""),'Energy margins'!$H$46)=0,'Energy margins'!$E$46,0))</f>
        <v>0</v>
      </c>
      <c r="M13" s="928">
        <f>IF(ISERROR(IF(MOD(IF(AND(B13&gt;='Energy margins'!$F$47,B13&lt;='Energy margins'!$G$47),B13-'Energy margins'!$F$47,""),'Energy margins'!$H$47)=0,'Energy margins'!$E$47,0)),0,IF(MOD(IF(AND(B13&gt;='Energy margins'!$F$47,B13&lt;='Energy margins'!$G$47),B13-'Energy margins'!$F$47,""),'Energy margins'!$H$47)=0,'Energy margins'!$E$47,0))</f>
        <v>0</v>
      </c>
      <c r="N13" s="928">
        <f>IF(ISERROR(IF(MOD(IF(AND(B13&gt;='Energy margins'!$F$50,B13&lt;='Energy margins'!$G$50),B13-'Energy margins'!$F$50,""),'Energy margins'!$H$50)=0,'Energy margins'!$E$50,0)),0,IF(MOD(IF(AND(B13&gt;='Energy margins'!$F$50,B13&lt;='Energy margins'!$G$50),B13-'Energy margins'!$F$50,""),'Energy margins'!$H$50)=0,'Energy margins'!$E$50,0))</f>
        <v>0</v>
      </c>
      <c r="O13" s="928">
        <f>IF(ISERROR(IF(MOD(IF(AND(B13&gt;='Energy margins'!$F$53,B13&lt;='Energy margins'!$G$53),B13-'Energy margins'!$F$53,""),'Energy margins'!$H$53)=0,'Energy margins'!$E$53,0)),0,IF(MOD(IF(AND(B13&gt;='Energy margins'!$F$53,B13&lt;='Energy margins'!$G$53),B13-'Energy margins'!$F$53,""),'Energy margins'!$H$53)=0,'Energy margins'!$E$53,0))</f>
        <v>0</v>
      </c>
      <c r="P13" s="928">
        <f>IF(ISERROR(IF(MOD(IF(AND(B13&gt;='Energy margins'!$F$56,B13&lt;='Energy margins'!$G$56),B13-'Energy margins'!$F$56,""),'Energy margins'!$H$56)=0,'Energy margins'!$E$56,0)),0,IF(MOD(IF(AND(B13&gt;='Energy margins'!$F$56,B13&lt;='Energy margins'!$G$56),B13-'Energy margins'!$F$56,""),'Energy margins'!$H$56)=0,'Energy margins'!$E$56,0))</f>
        <v>0</v>
      </c>
      <c r="Q13" s="928">
        <f>IF(ISERROR(IF(MOD(IF(AND(B13&gt;='Energy margins'!$F$59,B13&lt;='Energy margins'!$G$59),B13-'Energy margins'!$F$59,""),'Energy margins'!$H$59)=0,'Energy margins'!$E$59,0)),0,IF(MOD(IF(AND(B13&gt;='Energy margins'!$F$59,B13&lt;='Energy margins'!$G$59),B13-'Energy margins'!$F$59,""),'Energy margins'!$H$59)=0,'Energy margins'!$E$59,0))</f>
        <v>0</v>
      </c>
      <c r="R13" s="928">
        <f>IF(ISERROR(IF(MOD(IF(AND(B13&gt;='Energy margins'!$F$60,B13&lt;='Energy margins'!$G$60),B13-'Energy margins'!$F$60,""),'Energy margins'!$H$60)=0,'Energy margins'!$E$60,0)),0,IF(MOD(IF(AND(B13&gt;='Energy margins'!$F$60,B13&lt;='Energy margins'!$G$60),B13-'Energy margins'!$F$60,""),'Energy margins'!$H$60)=0,'Energy margins'!$E$60,0))</f>
        <v>0</v>
      </c>
      <c r="S13" s="928">
        <f>IF(ISERROR(IF(MOD(IF(AND(B13&gt;='Energy margins'!$F$61,B13&lt;='Energy margins'!$G$61),B13-'Energy margins'!$F$61,""),'Energy margins'!$H$61)=0,'Energy margins'!$E$61,0)),0,IF(MOD(IF(AND(B13&gt;='Energy margins'!$F$61,B13&lt;='Energy margins'!$G$61),B13-'Energy margins'!$F$61,""),'Energy margins'!$H$61)=0,'Energy margins'!$E$61,0))</f>
        <v>0</v>
      </c>
      <c r="T13" s="928">
        <f>IF(ISERROR(IF(MOD(IF(AND(B13&gt;='Energy margins'!$F$62,B13&lt;='Energy margins'!$G$62),B13-'Energy margins'!$F$62,""),'Energy margins'!$H$62)=0,'Energy margins'!$E$62,0)),0,IF(MOD(IF(AND(B13&gt;='Energy margins'!$F$62,B13&lt;='Energy margins'!$G$62),B13-'Energy margins'!$F$62,""),'Energy margins'!$H$62)=0,'Energy margins'!$E$62,0))</f>
        <v>0</v>
      </c>
      <c r="U13" s="942">
        <f>SUM(J13:T13)</f>
        <v>0</v>
      </c>
      <c r="V13" s="197"/>
      <c r="W13" s="197">
        <f>I13+U13+V13</f>
        <v>1887.233334</v>
      </c>
      <c r="X13" s="197">
        <f t="shared" ref="X13:X28" si="1">F13-W13</f>
        <v>-1887.233334</v>
      </c>
      <c r="Y13" s="197">
        <f t="shared" ref="Y13:Y28" si="2">H13-W13</f>
        <v>-1557.233334</v>
      </c>
      <c r="Z13" s="973">
        <f>F13/((1+$C$6)^($B13-1))</f>
        <v>0</v>
      </c>
      <c r="AA13" s="974">
        <f>G13/(1+$C$6)^($B13-1)</f>
        <v>330</v>
      </c>
      <c r="AB13" s="974">
        <f>W13/((1+$C$6)^($B13-1))</f>
        <v>1887.233334</v>
      </c>
      <c r="AC13" s="974">
        <f t="shared" ref="AC13:AD13" si="3">X13/((1+$C$6)^($B13-1))</f>
        <v>-1887.233334</v>
      </c>
      <c r="AD13" s="974">
        <f t="shared" si="3"/>
        <v>-1557.233334</v>
      </c>
      <c r="AE13" s="973">
        <f>Z13</f>
        <v>0</v>
      </c>
      <c r="AF13" s="974">
        <f>AA13</f>
        <v>330</v>
      </c>
      <c r="AG13" s="974">
        <f>AB13</f>
        <v>1887.233334</v>
      </c>
      <c r="AH13" s="974">
        <f>AC13</f>
        <v>-1887.233334</v>
      </c>
      <c r="AI13" s="975">
        <f>AD13</f>
        <v>-1557.233334</v>
      </c>
    </row>
    <row r="14" spans="2:35" x14ac:dyDescent="0.3">
      <c r="B14" s="900">
        <v>2</v>
      </c>
      <c r="C14" s="918">
        <f>'Energy Inputs'!D31</f>
        <v>1</v>
      </c>
      <c r="D14" s="918">
        <f>C14*'Energy Inputs'!$D$24</f>
        <v>26</v>
      </c>
      <c r="E14" s="197">
        <f>'Energy margins'!$E$12</f>
        <v>43.75</v>
      </c>
      <c r="F14" s="918">
        <f t="shared" si="0"/>
        <v>1137.5</v>
      </c>
      <c r="G14" s="918">
        <f>'Energy Inputs'!$D$10</f>
        <v>330</v>
      </c>
      <c r="H14" s="197">
        <f t="shared" ref="H14:H28" si="4">F14+G14</f>
        <v>1467.5</v>
      </c>
      <c r="I14" s="199"/>
      <c r="J14" s="920">
        <f>IF(ISERROR(IF(MOD(IF(AND(B14&gt;='Energy margins'!$F$44,B14&lt;='Energy margins'!$G$44),B14-'Energy margins'!$F$44,""),'Energy margins'!$H$44)=0,'Energy margins'!$E$44,0)),0,IF(MOD(IF(AND(B14&gt;='Energy margins'!$F$44,B14&lt;='Energy margins'!$G$44),B14-'Energy margins'!$F$44,""),'Energy margins'!$H$44)=0,'Energy margins'!$E$44,0))</f>
        <v>0</v>
      </c>
      <c r="K14" s="918">
        <f>IF(ISERROR(IF(MOD(IF(AND(B14&gt;='Energy margins'!$F$45,B14&lt;='Energy margins'!$G$45),B14-'Energy margins'!$F$45,""),'Energy margins'!$H$45)=0,'Energy margins'!$E$45,0)),0,IF(MOD(IF(AND(B14&gt;='Energy margins'!$F$45,B14&lt;='Energy margins'!$G$45),B14-'Energy margins'!$F$45,""),'Energy margins'!$H$45)=0,'Energy margins'!$E$45,0))</f>
        <v>45.538999999999994</v>
      </c>
      <c r="L14" s="918">
        <f>IF(ISERROR(IF(MOD(IF(AND(B14&gt;='Energy margins'!$F$46,B14&lt;='Energy margins'!$G$46),B14-'Energy margins'!$F$46,""),'Energy margins'!$H$46)=0,'Energy margins'!$E$46,0)),0,IF(MOD(IF(AND(B14&gt;='Energy margins'!$F$46,B14&lt;='Energy margins'!$G$46),B14-'Energy margins'!$F$46,""),'Energy margins'!$H$46)=0,'Energy margins'!$E$46,0))</f>
        <v>65</v>
      </c>
      <c r="M14" s="918">
        <f>IF(ISERROR(IF(MOD(IF(AND(B14&gt;='Energy margins'!$F$47,B14&lt;='Energy margins'!$G$47),B14-'Energy margins'!$F$47,""),'Energy margins'!$H$47)=0,'Energy margins'!$E$47,0)),0,IF(MOD(IF(AND(B14&gt;='Energy margins'!$F$47,B14&lt;='Energy margins'!$G$47),B14-'Energy margins'!$F$47,""),'Energy margins'!$H$47)=0,'Energy margins'!$E$47,0))</f>
        <v>19.974783999999993</v>
      </c>
      <c r="N14" s="918">
        <f>IF(ISERROR(IF(MOD(IF(AND(B14&gt;='Energy margins'!$F$50,B14&lt;='Energy margins'!$G$50),B14-'Energy margins'!$F$50,""),'Energy margins'!$H$50)=0,'Energy margins'!$E$50,0)),0,IF(MOD(IF(AND(B14&gt;='Energy margins'!$F$50,B14&lt;='Energy margins'!$G$50),B14-'Energy margins'!$F$50,""),'Energy margins'!$H$50)=0,'Energy margins'!$E$50,0))</f>
        <v>66.308399999999992</v>
      </c>
      <c r="O14" s="918">
        <f>IF(ISERROR(IF(MOD(IF(AND(B14&gt;='Energy margins'!$F$53,B14&lt;='Energy margins'!$G$53),B14-'Energy margins'!$F$53,""),'Energy margins'!$H$53)=0,'Energy margins'!$E$53,0)),0,IF(MOD(IF(AND(B14&gt;='Energy margins'!$F$53,B14&lt;='Energy margins'!$G$53),B14-'Energy margins'!$F$53,""),'Energy margins'!$H$53)=0,'Energy margins'!$E$53,0))</f>
        <v>39.838149999999999</v>
      </c>
      <c r="P14" s="918">
        <f>IF(ISERROR(IF(MOD(IF(AND(B14&gt;='Energy margins'!$F$56,B14&lt;='Energy margins'!$G$56),B14-'Energy margins'!$F$56,""),'Energy margins'!$H$56)=0,'Energy margins'!$E$56,0)),0,IF(MOD(IF(AND(B14&gt;='Energy margins'!$F$56,B14&lt;='Energy margins'!$G$56),B14-'Energy margins'!$F$56,""),'Energy margins'!$H$56)=0,'Energy margins'!$E$56,0))</f>
        <v>36.611999999999995</v>
      </c>
      <c r="Q14" s="918">
        <f>IF(ISERROR(IF(MOD(IF(AND(B14&gt;='Energy margins'!$F$59,B14&lt;='Energy margins'!$G$59),B14-'Energy margins'!$F$59,""),'Energy margins'!$H$59)=0,'Energy margins'!$E$59,0)),0,IF(MOD(IF(AND(B14&gt;='Energy margins'!$F$59,B14&lt;='Energy margins'!$G$59),B14-'Energy margins'!$F$59,""),'Energy margins'!$H$59)=0,'Energy margins'!$E$59,0))</f>
        <v>475</v>
      </c>
      <c r="R14" s="918">
        <f>IF(ISERROR(IF(MOD(IF(AND(B14&gt;='Energy margins'!$F$60,B14&lt;='Energy margins'!$G$60),B14-'Energy margins'!$F$60,""),'Energy margins'!$H$60)=0,'Energy margins'!$E$60,0)),0,IF(MOD(IF(AND(B14&gt;='Energy margins'!$F$60,B14&lt;='Energy margins'!$G$60),B14-'Energy margins'!$F$60,""),'Energy margins'!$H$60)=0,'Energy margins'!$E$60,0))</f>
        <v>0</v>
      </c>
      <c r="S14" s="918">
        <f>IF(ISERROR(IF(MOD(IF(AND(B14&gt;='Energy margins'!$F$61,B14&lt;='Energy margins'!$G$61),B14-'Energy margins'!$F$61,""),'Energy margins'!$H$61)=0,'Energy margins'!$E$61,0)),0,IF(MOD(IF(AND(B14&gt;='Energy margins'!$F$61,B14&lt;='Energy margins'!$G$61),B14-'Energy margins'!$F$61,""),'Energy margins'!$H$61)=0,'Energy margins'!$E$61,0))</f>
        <v>0</v>
      </c>
      <c r="T14" s="918">
        <f>IF(ISERROR(IF(MOD(IF(AND(B14&gt;='Energy margins'!$F$62,B14&lt;='Energy margins'!$G$62),B14-'Energy margins'!$F$62,""),'Energy margins'!$H$62)=0,'Energy margins'!$E$62,0)),0,IF(MOD(IF(AND(B14&gt;='Energy margins'!$F$62,B14&lt;='Energy margins'!$G$62),B14-'Energy margins'!$F$62,""),'Energy margins'!$H$62)=0,'Energy margins'!$E$62,0))</f>
        <v>0</v>
      </c>
      <c r="U14" s="944">
        <f t="shared" ref="U14:U28" si="5">SUM(J14:T14)</f>
        <v>748.272334</v>
      </c>
      <c r="V14" s="197"/>
      <c r="W14" s="197">
        <f t="shared" ref="W14:W28" si="6">I14+U14+V14</f>
        <v>748.272334</v>
      </c>
      <c r="X14" s="197">
        <f t="shared" si="1"/>
        <v>389.227666</v>
      </c>
      <c r="Y14" s="197">
        <f>H14-W14</f>
        <v>719.227666</v>
      </c>
      <c r="Z14" s="973">
        <f t="shared" ref="Z14:Z28" si="7">F14/((1+$C$6)^($B14-1))</f>
        <v>1104.3689320388348</v>
      </c>
      <c r="AA14" s="974">
        <f t="shared" ref="AA14:AA28" si="8">G14/(1+$C$6)^($B14-1)</f>
        <v>320.38834951456312</v>
      </c>
      <c r="AB14" s="974">
        <f t="shared" ref="AB14:AB28" si="9">W14/((1+$C$6)^($B14-1))</f>
        <v>726.47799417475721</v>
      </c>
      <c r="AC14" s="974">
        <f t="shared" ref="AC14:AC28" si="10">X14/((1+$C$6)^($B14-1))</f>
        <v>377.89093786407767</v>
      </c>
      <c r="AD14" s="974">
        <f t="shared" ref="AD14:AD28" si="11">Y14/((1+$C$6)^($B14-1))</f>
        <v>698.27928737864079</v>
      </c>
      <c r="AE14" s="973">
        <f>AE13+Z14</f>
        <v>1104.3689320388348</v>
      </c>
      <c r="AF14" s="974">
        <f t="shared" ref="AF14:AI28" si="12">AF13+AA14</f>
        <v>650.38834951456306</v>
      </c>
      <c r="AG14" s="974">
        <f t="shared" si="12"/>
        <v>2613.711328174757</v>
      </c>
      <c r="AH14" s="974">
        <f t="shared" si="12"/>
        <v>-1509.3423961359224</v>
      </c>
      <c r="AI14" s="975">
        <f t="shared" si="12"/>
        <v>-858.95404662135923</v>
      </c>
    </row>
    <row r="15" spans="2:35" x14ac:dyDescent="0.3">
      <c r="B15" s="900">
        <v>3</v>
      </c>
      <c r="C15" s="918">
        <f>'Energy Inputs'!D32</f>
        <v>0</v>
      </c>
      <c r="D15" s="918">
        <f>C15*'Energy Inputs'!$D$24</f>
        <v>0</v>
      </c>
      <c r="E15" s="197">
        <f>'Energy margins'!$E$12</f>
        <v>43.75</v>
      </c>
      <c r="F15" s="918">
        <f t="shared" si="0"/>
        <v>0</v>
      </c>
      <c r="G15" s="918">
        <f>'Energy Inputs'!$D$10</f>
        <v>330</v>
      </c>
      <c r="H15" s="197">
        <f t="shared" si="4"/>
        <v>330</v>
      </c>
      <c r="I15" s="199"/>
      <c r="J15" s="920">
        <f>IF(ISERROR(IF(MOD(IF(AND(B15&gt;='Energy margins'!$F$44,B15&lt;='Energy margins'!$G$44),B15-'Energy margins'!$F$44,""),'Energy margins'!$H$44)=0,'Energy margins'!$E$44,0)),0,IF(MOD(IF(AND(B15&gt;='Energy margins'!$F$44,B15&lt;='Energy margins'!$G$44),B15-'Energy margins'!$F$44,""),'Energy margins'!$H$44)=0,'Energy margins'!$E$44,0))</f>
        <v>0</v>
      </c>
      <c r="K15" s="918">
        <f>IF(ISERROR(IF(MOD(IF(AND(B15&gt;='Energy margins'!$F$45,B15&lt;='Energy margins'!$G$45),B15-'Energy margins'!$F$45,""),'Energy margins'!$H$45)=0,'Energy margins'!$E$45,0)),0,IF(MOD(IF(AND(B15&gt;='Energy margins'!$F$45,B15&lt;='Energy margins'!$G$45),B15-'Energy margins'!$F$45,""),'Energy margins'!$H$45)=0,'Energy margins'!$E$45,0))</f>
        <v>45.538999999999994</v>
      </c>
      <c r="L15" s="918">
        <f>IF(ISERROR(IF(MOD(IF(AND(B15&gt;='Energy margins'!$F$46,B15&lt;='Energy margins'!$G$46),B15-'Energy margins'!$F$46,""),'Energy margins'!$H$46)=0,'Energy margins'!$E$46,0)),0,IF(MOD(IF(AND(B15&gt;='Energy margins'!$F$46,B15&lt;='Energy margins'!$G$46),B15-'Energy margins'!$F$46,""),'Energy margins'!$H$46)=0,'Energy margins'!$E$46,0))</f>
        <v>65</v>
      </c>
      <c r="M15" s="918">
        <f>IF(ISERROR(IF(MOD(IF(AND(B15&gt;='Energy margins'!$F$47,B15&lt;='Energy margins'!$G$47),B15-'Energy margins'!$F$47,""),'Energy margins'!$H$47)=0,'Energy margins'!$E$47,0)),0,IF(MOD(IF(AND(B15&gt;='Energy margins'!$F$47,B15&lt;='Energy margins'!$G$47),B15-'Energy margins'!$F$47,""),'Energy margins'!$H$47)=0,'Energy margins'!$E$47,0))</f>
        <v>0</v>
      </c>
      <c r="N15" s="918">
        <f>IF(ISERROR(IF(MOD(IF(AND(B15&gt;='Energy margins'!$F$50,B15&lt;='Energy margins'!$G$50),B15-'Energy margins'!$F$50,""),'Energy margins'!$H$50)=0,'Energy margins'!$E$50,0)),0,IF(MOD(IF(AND(B15&gt;='Energy margins'!$F$50,B15&lt;='Energy margins'!$G$50),B15-'Energy margins'!$F$50,""),'Energy margins'!$H$50)=0,'Energy margins'!$E$50,0))</f>
        <v>0</v>
      </c>
      <c r="O15" s="918">
        <f>IF(ISERROR(IF(MOD(IF(AND(B15&gt;='Energy margins'!$F$53,B15&lt;='Energy margins'!$G$53),B15-'Energy margins'!$F$53,""),'Energy margins'!$H$53)=0,'Energy margins'!$E$53,0)),0,IF(MOD(IF(AND(B15&gt;='Energy margins'!$F$53,B15&lt;='Energy margins'!$G$53),B15-'Energy margins'!$F$53,""),'Energy margins'!$H$53)=0,'Energy margins'!$E$53,0))</f>
        <v>0</v>
      </c>
      <c r="P15" s="918">
        <f>IF(ISERROR(IF(MOD(IF(AND(B15&gt;='Energy margins'!$F$56,B15&lt;='Energy margins'!$G$56),B15-'Energy margins'!$F$56,""),'Energy margins'!$H$56)=0,'Energy margins'!$E$56,0)),0,IF(MOD(IF(AND(B15&gt;='Energy margins'!$F$56,B15&lt;='Energy margins'!$G$56),B15-'Energy margins'!$F$56,""),'Energy margins'!$H$56)=0,'Energy margins'!$E$56,0))</f>
        <v>0</v>
      </c>
      <c r="Q15" s="918">
        <f>IF(ISERROR(IF(MOD(IF(AND(B15&gt;='Energy margins'!$F$59,B15&lt;='Energy margins'!$G$59),B15-'Energy margins'!$F$59,""),'Energy margins'!$H$59)=0,'Energy margins'!$E$59,0)),0,IF(MOD(IF(AND(B15&gt;='Energy margins'!$F$59,B15&lt;='Energy margins'!$G$59),B15-'Energy margins'!$F$59,""),'Energy margins'!$H$59)=0,'Energy margins'!$E$59,0))</f>
        <v>0</v>
      </c>
      <c r="R15" s="918">
        <f>IF(ISERROR(IF(MOD(IF(AND(B15&gt;='Energy margins'!$F$60,B15&lt;='Energy margins'!$G$60),B15-'Energy margins'!$F$60,""),'Energy margins'!$H$60)=0,'Energy margins'!$E$60,0)),0,IF(MOD(IF(AND(B15&gt;='Energy margins'!$F$60,B15&lt;='Energy margins'!$G$60),B15-'Energy margins'!$F$60,""),'Energy margins'!$H$60)=0,'Energy margins'!$E$60,0))</f>
        <v>0</v>
      </c>
      <c r="S15" s="918">
        <f>IF(ISERROR(IF(MOD(IF(AND(B15&gt;='Energy margins'!$F$61,B15&lt;='Energy margins'!$G$61),B15-'Energy margins'!$F$61,""),'Energy margins'!$H$61)=0,'Energy margins'!$E$61,0)),0,IF(MOD(IF(AND(B15&gt;='Energy margins'!$F$61,B15&lt;='Energy margins'!$G$61),B15-'Energy margins'!$F$61,""),'Energy margins'!$H$61)=0,'Energy margins'!$E$61,0))</f>
        <v>0</v>
      </c>
      <c r="T15" s="918">
        <f>IF(ISERROR(IF(MOD(IF(AND(B15&gt;='Energy margins'!$F$62,B15&lt;='Energy margins'!$G$62),B15-'Energy margins'!$F$62,""),'Energy margins'!$H$62)=0,'Energy margins'!$E$62,0)),0,IF(MOD(IF(AND(B15&gt;='Energy margins'!$F$62,B15&lt;='Energy margins'!$G$62),B15-'Energy margins'!$F$62,""),'Energy margins'!$H$62)=0,'Energy margins'!$E$62,0))</f>
        <v>0</v>
      </c>
      <c r="U15" s="944">
        <f t="shared" si="5"/>
        <v>110.53899999999999</v>
      </c>
      <c r="V15" s="197"/>
      <c r="W15" s="197">
        <f t="shared" si="6"/>
        <v>110.53899999999999</v>
      </c>
      <c r="X15" s="197">
        <f t="shared" si="1"/>
        <v>-110.53899999999999</v>
      </c>
      <c r="Y15" s="197">
        <f t="shared" si="2"/>
        <v>219.46100000000001</v>
      </c>
      <c r="Z15" s="973">
        <f t="shared" si="7"/>
        <v>0</v>
      </c>
      <c r="AA15" s="974">
        <f t="shared" si="8"/>
        <v>311.05665001413894</v>
      </c>
      <c r="AB15" s="974">
        <f t="shared" si="9"/>
        <v>104.19360919973606</v>
      </c>
      <c r="AC15" s="974">
        <f t="shared" si="10"/>
        <v>-104.19360919973606</v>
      </c>
      <c r="AD15" s="974">
        <f t="shared" si="11"/>
        <v>206.86304081440289</v>
      </c>
      <c r="AE15" s="973">
        <f t="shared" ref="AE15:AE28" si="13">AE14+Z15</f>
        <v>1104.3689320388348</v>
      </c>
      <c r="AF15" s="974">
        <f t="shared" si="12"/>
        <v>961.44499952870206</v>
      </c>
      <c r="AG15" s="974">
        <f t="shared" si="12"/>
        <v>2717.9049373744929</v>
      </c>
      <c r="AH15" s="974">
        <f t="shared" si="12"/>
        <v>-1613.5360053356585</v>
      </c>
      <c r="AI15" s="975">
        <f t="shared" si="12"/>
        <v>-652.09100580695633</v>
      </c>
    </row>
    <row r="16" spans="2:35" x14ac:dyDescent="0.3">
      <c r="B16" s="900">
        <v>4</v>
      </c>
      <c r="C16" s="918">
        <f>'Energy Inputs'!D33</f>
        <v>1</v>
      </c>
      <c r="D16" s="918">
        <f>C16*'Energy Inputs'!$D$24</f>
        <v>26</v>
      </c>
      <c r="E16" s="197">
        <f>'Energy margins'!$E$12</f>
        <v>43.75</v>
      </c>
      <c r="F16" s="918">
        <f t="shared" si="0"/>
        <v>1137.5</v>
      </c>
      <c r="G16" s="918">
        <f>'Energy Inputs'!$D$10</f>
        <v>330</v>
      </c>
      <c r="H16" s="197">
        <f t="shared" si="4"/>
        <v>1467.5</v>
      </c>
      <c r="I16" s="199"/>
      <c r="J16" s="920">
        <f>IF(ISERROR(IF(MOD(IF(AND(B16&gt;='Energy margins'!$F$44,B16&lt;='Energy margins'!$G$44),B16-'Energy margins'!$F$44,""),'Energy margins'!$H$44)=0,'Energy margins'!$E$44,0)),0,IF(MOD(IF(AND(B16&gt;='Energy margins'!$F$44,B16&lt;='Energy margins'!$G$44),B16-'Energy margins'!$F$44,""),'Energy margins'!$H$44)=0,'Energy margins'!$E$44,0))</f>
        <v>0</v>
      </c>
      <c r="K16" s="918">
        <f>IF(ISERROR(IF(MOD(IF(AND(B16&gt;='Energy margins'!$F$45,B16&lt;='Energy margins'!$G$45),B16-'Energy margins'!$F$45,""),'Energy margins'!$H$45)=0,'Energy margins'!$E$45,0)),0,IF(MOD(IF(AND(B16&gt;='Energy margins'!$F$45,B16&lt;='Energy margins'!$G$45),B16-'Energy margins'!$F$45,""),'Energy margins'!$H$45)=0,'Energy margins'!$E$45,0))</f>
        <v>0</v>
      </c>
      <c r="L16" s="918">
        <f>IF(ISERROR(IF(MOD(IF(AND(B16&gt;='Energy margins'!$F$46,B16&lt;='Energy margins'!$G$46),B16-'Energy margins'!$F$46,""),'Energy margins'!$H$46)=0,'Energy margins'!$E$46,0)),0,IF(MOD(IF(AND(B16&gt;='Energy margins'!$F$46,B16&lt;='Energy margins'!$G$46),B16-'Energy margins'!$F$46,""),'Energy margins'!$H$46)=0,'Energy margins'!$E$46,0))</f>
        <v>0</v>
      </c>
      <c r="M16" s="918">
        <f>IF(ISERROR(IF(MOD(IF(AND(B16&gt;='Energy margins'!$F$47,B16&lt;='Energy margins'!$G$47),B16-'Energy margins'!$F$47,""),'Energy margins'!$H$47)=0,'Energy margins'!$E$47,0)),0,IF(MOD(IF(AND(B16&gt;='Energy margins'!$F$47,B16&lt;='Energy margins'!$G$47),B16-'Energy margins'!$F$47,""),'Energy margins'!$H$47)=0,'Energy margins'!$E$47,0))</f>
        <v>19.974783999999993</v>
      </c>
      <c r="N16" s="918">
        <f>IF(ISERROR(IF(MOD(IF(AND(B16&gt;='Energy margins'!$F$50,B16&lt;='Energy margins'!$G$50),B16-'Energy margins'!$F$50,""),'Energy margins'!$H$50)=0,'Energy margins'!$E$50,0)),0,IF(MOD(IF(AND(B16&gt;='Energy margins'!$F$50,B16&lt;='Energy margins'!$G$50),B16-'Energy margins'!$F$50,""),'Energy margins'!$H$50)=0,'Energy margins'!$E$50,0))</f>
        <v>66.308399999999992</v>
      </c>
      <c r="O16" s="918">
        <f>IF(ISERROR(IF(MOD(IF(AND(B16&gt;='Energy margins'!$F$53,B16&lt;='Energy margins'!$G$53),B16-'Energy margins'!$F$53,""),'Energy margins'!$H$53)=0,'Energy margins'!$E$53,0)),0,IF(MOD(IF(AND(B16&gt;='Energy margins'!$F$53,B16&lt;='Energy margins'!$G$53),B16-'Energy margins'!$F$53,""),'Energy margins'!$H$53)=0,'Energy margins'!$E$53,0))</f>
        <v>39.838149999999999</v>
      </c>
      <c r="P16" s="918">
        <f>IF(ISERROR(IF(MOD(IF(AND(B16&gt;='Energy margins'!$F$56,B16&lt;='Energy margins'!$G$56),B16-'Energy margins'!$F$56,""),'Energy margins'!$H$56)=0,'Energy margins'!$E$56,0)),0,IF(MOD(IF(AND(B16&gt;='Energy margins'!$F$56,B16&lt;='Energy margins'!$G$56),B16-'Energy margins'!$F$56,""),'Energy margins'!$H$56)=0,'Energy margins'!$E$56,0))</f>
        <v>36.611999999999995</v>
      </c>
      <c r="Q16" s="918">
        <f>IF(ISERROR(IF(MOD(IF(AND(B16&gt;='Energy margins'!$F$59,B16&lt;='Energy margins'!$G$59),B16-'Energy margins'!$F$59,""),'Energy margins'!$H$59)=0,'Energy margins'!$E$59,0)),0,IF(MOD(IF(AND(B16&gt;='Energy margins'!$F$59,B16&lt;='Energy margins'!$G$59),B16-'Energy margins'!$F$59,""),'Energy margins'!$H$59)=0,'Energy margins'!$E$59,0))</f>
        <v>475</v>
      </c>
      <c r="R16" s="918">
        <f>IF(ISERROR(IF(MOD(IF(AND(B16&gt;='Energy margins'!$F$60,B16&lt;='Energy margins'!$G$60),B16-'Energy margins'!$F$60,""),'Energy margins'!$H$60)=0,'Energy margins'!$E$60,0)),0,IF(MOD(IF(AND(B16&gt;='Energy margins'!$F$60,B16&lt;='Energy margins'!$G$60),B16-'Energy margins'!$F$60,""),'Energy margins'!$H$60)=0,'Energy margins'!$E$60,0))</f>
        <v>0</v>
      </c>
      <c r="S16" s="918">
        <f>IF(ISERROR(IF(MOD(IF(AND(B16&gt;='Energy margins'!$F$61,B16&lt;='Energy margins'!$G$61),B16-'Energy margins'!$F$61,""),'Energy margins'!$H$61)=0,'Energy margins'!$E$61,0)),0,IF(MOD(IF(AND(B16&gt;='Energy margins'!$F$61,B16&lt;='Energy margins'!$G$61),B16-'Energy margins'!$F$61,""),'Energy margins'!$H$61)=0,'Energy margins'!$E$61,0))</f>
        <v>0</v>
      </c>
      <c r="T16" s="918">
        <f>IF(ISERROR(IF(MOD(IF(AND(B16&gt;='Energy margins'!$F$62,B16&lt;='Energy margins'!$G$62),B16-'Energy margins'!$F$62,""),'Energy margins'!$H$62)=0,'Energy margins'!$E$62,0)),0,IF(MOD(IF(AND(B16&gt;='Energy margins'!$F$62,B16&lt;='Energy margins'!$G$62),B16-'Energy margins'!$F$62,""),'Energy margins'!$H$62)=0,'Energy margins'!$E$62,0))</f>
        <v>0</v>
      </c>
      <c r="U16" s="944">
        <f>SUM(J16:T16)</f>
        <v>637.73333400000001</v>
      </c>
      <c r="V16" s="197"/>
      <c r="W16" s="197">
        <f t="shared" si="6"/>
        <v>637.73333400000001</v>
      </c>
      <c r="X16" s="197">
        <f t="shared" si="1"/>
        <v>499.76666599999999</v>
      </c>
      <c r="Y16" s="197">
        <f t="shared" si="2"/>
        <v>829.76666599999999</v>
      </c>
      <c r="Z16" s="973">
        <f t="shared" si="7"/>
        <v>1040.973637514219</v>
      </c>
      <c r="AA16" s="974">
        <f t="shared" si="8"/>
        <v>301.99674758654265</v>
      </c>
      <c r="AB16" s="974">
        <f t="shared" si="9"/>
        <v>583.61634150158272</v>
      </c>
      <c r="AC16" s="974">
        <f t="shared" si="10"/>
        <v>457.35729601263625</v>
      </c>
      <c r="AD16" s="974">
        <f t="shared" si="11"/>
        <v>759.35404359917891</v>
      </c>
      <c r="AE16" s="973">
        <f t="shared" si="13"/>
        <v>2145.3425695530541</v>
      </c>
      <c r="AF16" s="974">
        <f t="shared" si="12"/>
        <v>1263.4417471152447</v>
      </c>
      <c r="AG16" s="974">
        <f t="shared" si="12"/>
        <v>3301.5212788760755</v>
      </c>
      <c r="AH16" s="974">
        <f t="shared" si="12"/>
        <v>-1156.1787093230223</v>
      </c>
      <c r="AI16" s="975">
        <f t="shared" si="12"/>
        <v>107.26303779222258</v>
      </c>
    </row>
    <row r="17" spans="2:35" x14ac:dyDescent="0.3">
      <c r="B17" s="900">
        <v>5</v>
      </c>
      <c r="C17" s="918">
        <f>'Energy Inputs'!D34</f>
        <v>0</v>
      </c>
      <c r="D17" s="918">
        <f>C17*'Energy Inputs'!$D$24</f>
        <v>0</v>
      </c>
      <c r="E17" s="197">
        <f>'Energy margins'!$E$12</f>
        <v>43.75</v>
      </c>
      <c r="F17" s="918">
        <f t="shared" si="0"/>
        <v>0</v>
      </c>
      <c r="G17" s="918">
        <f>'Energy Inputs'!$D$10</f>
        <v>330</v>
      </c>
      <c r="H17" s="197">
        <f t="shared" si="4"/>
        <v>330</v>
      </c>
      <c r="I17" s="199"/>
      <c r="J17" s="920">
        <f>IF(ISERROR(IF(MOD(IF(AND(B17&gt;='Energy margins'!$F$44,B17&lt;='Energy margins'!$G$44),B17-'Energy margins'!$F$44,""),'Energy margins'!$H$44)=0,'Energy margins'!$E$44,0)),0,IF(MOD(IF(AND(B17&gt;='Energy margins'!$F$44,B17&lt;='Energy margins'!$G$44),B17-'Energy margins'!$F$44,""),'Energy margins'!$H$44)=0,'Energy margins'!$E$44,0))</f>
        <v>0</v>
      </c>
      <c r="K17" s="918">
        <f>IF(ISERROR(IF(MOD(IF(AND(B17&gt;='Energy margins'!$F$45,B17&lt;='Energy margins'!$G$45),B17-'Energy margins'!$F$45,""),'Energy margins'!$H$45)=0,'Energy margins'!$E$45,0)),0,IF(MOD(IF(AND(B17&gt;='Energy margins'!$F$45,B17&lt;='Energy margins'!$G$45),B17-'Energy margins'!$F$45,""),'Energy margins'!$H$45)=0,'Energy margins'!$E$45,0))</f>
        <v>0</v>
      </c>
      <c r="L17" s="918">
        <f>IF(ISERROR(IF(MOD(IF(AND(B17&gt;='Energy margins'!$F$46,B17&lt;='Energy margins'!$G$46),B17-'Energy margins'!$F$46,""),'Energy margins'!$H$46)=0,'Energy margins'!$E$46,0)),0,IF(MOD(IF(AND(B17&gt;='Energy margins'!$F$46,B17&lt;='Energy margins'!$G$46),B17-'Energy margins'!$F$46,""),'Energy margins'!$H$46)=0,'Energy margins'!$E$46,0))</f>
        <v>0</v>
      </c>
      <c r="M17" s="918">
        <f>IF(ISERROR(IF(MOD(IF(AND(B17&gt;='Energy margins'!$F$47,B17&lt;='Energy margins'!$G$47),B17-'Energy margins'!$F$47,""),'Energy margins'!$H$47)=0,'Energy margins'!$E$47,0)),0,IF(MOD(IF(AND(B17&gt;='Energy margins'!$F$47,B17&lt;='Energy margins'!$G$47),B17-'Energy margins'!$F$47,""),'Energy margins'!$H$47)=0,'Energy margins'!$E$47,0))</f>
        <v>0</v>
      </c>
      <c r="N17" s="918">
        <f>IF(ISERROR(IF(MOD(IF(AND(B17&gt;='Energy margins'!$F$50,B17&lt;='Energy margins'!$G$50),B17-'Energy margins'!$F$50,""),'Energy margins'!$H$50)=0,'Energy margins'!$E$50,0)),0,IF(MOD(IF(AND(B17&gt;='Energy margins'!$F$50,B17&lt;='Energy margins'!$G$50),B17-'Energy margins'!$F$50,""),'Energy margins'!$H$50)=0,'Energy margins'!$E$50,0))</f>
        <v>0</v>
      </c>
      <c r="O17" s="918">
        <f>IF(ISERROR(IF(MOD(IF(AND(B17&gt;='Energy margins'!$F$53,B17&lt;='Energy margins'!$G$53),B17-'Energy margins'!$F$53,""),'Energy margins'!$H$53)=0,'Energy margins'!$E$53,0)),0,IF(MOD(IF(AND(B17&gt;='Energy margins'!$F$53,B17&lt;='Energy margins'!$G$53),B17-'Energy margins'!$F$53,""),'Energy margins'!$H$53)=0,'Energy margins'!$E$53,0))</f>
        <v>0</v>
      </c>
      <c r="P17" s="918">
        <f>IF(ISERROR(IF(MOD(IF(AND(B17&gt;='Energy margins'!$F$56,B17&lt;='Energy margins'!$G$56),B17-'Energy margins'!$F$56,""),'Energy margins'!$H$56)=0,'Energy margins'!$E$56,0)),0,IF(MOD(IF(AND(B17&gt;='Energy margins'!$F$56,B17&lt;='Energy margins'!$G$56),B17-'Energy margins'!$F$56,""),'Energy margins'!$H$56)=0,'Energy margins'!$E$56,0))</f>
        <v>0</v>
      </c>
      <c r="Q17" s="918">
        <f>IF(ISERROR(IF(MOD(IF(AND(B17&gt;='Energy margins'!$F$59,B17&lt;='Energy margins'!$G$59),B17-'Energy margins'!$F$59,""),'Energy margins'!$H$59)=0,'Energy margins'!$E$59,0)),0,IF(MOD(IF(AND(B17&gt;='Energy margins'!$F$59,B17&lt;='Energy margins'!$G$59),B17-'Energy margins'!$F$59,""),'Energy margins'!$H$59)=0,'Energy margins'!$E$59,0))</f>
        <v>0</v>
      </c>
      <c r="R17" s="918">
        <f>IF(ISERROR(IF(MOD(IF(AND(B17&gt;='Energy margins'!$F$60,B17&lt;='Energy margins'!$G$60),B17-'Energy margins'!$F$60,""),'Energy margins'!$H$60)=0,'Energy margins'!$E$60,0)),0,IF(MOD(IF(AND(B17&gt;='Energy margins'!$F$60,B17&lt;='Energy margins'!$G$60),B17-'Energy margins'!$F$60,""),'Energy margins'!$H$60)=0,'Energy margins'!$E$60,0))</f>
        <v>0</v>
      </c>
      <c r="S17" s="918">
        <f>IF(ISERROR(IF(MOD(IF(AND(B17&gt;='Energy margins'!$F$61,B17&lt;='Energy margins'!$G$61),B17-'Energy margins'!$F$61,""),'Energy margins'!$H$61)=0,'Energy margins'!$E$61,0)),0,IF(MOD(IF(AND(B17&gt;='Energy margins'!$F$61,B17&lt;='Energy margins'!$G$61),B17-'Energy margins'!$F$61,""),'Energy margins'!$H$61)=0,'Energy margins'!$E$61,0))</f>
        <v>0</v>
      </c>
      <c r="T17" s="918">
        <f>IF(ISERROR(IF(MOD(IF(AND(B17&gt;='Energy margins'!$F$62,B17&lt;='Energy margins'!$G$62),B17-'Energy margins'!$F$62,""),'Energy margins'!$H$62)=0,'Energy margins'!$E$62,0)),0,IF(MOD(IF(AND(B17&gt;='Energy margins'!$F$62,B17&lt;='Energy margins'!$G$62),B17-'Energy margins'!$F$62,""),'Energy margins'!$H$62)=0,'Energy margins'!$E$62,0))</f>
        <v>0</v>
      </c>
      <c r="U17" s="944">
        <f t="shared" si="5"/>
        <v>0</v>
      </c>
      <c r="V17" s="197"/>
      <c r="W17" s="197">
        <f t="shared" si="6"/>
        <v>0</v>
      </c>
      <c r="X17" s="197">
        <f t="shared" si="1"/>
        <v>0</v>
      </c>
      <c r="Y17" s="197">
        <f t="shared" si="2"/>
        <v>330</v>
      </c>
      <c r="Z17" s="973">
        <f t="shared" si="7"/>
        <v>0</v>
      </c>
      <c r="AA17" s="974">
        <f t="shared" si="8"/>
        <v>293.20072581217738</v>
      </c>
      <c r="AB17" s="974">
        <f t="shared" si="9"/>
        <v>0</v>
      </c>
      <c r="AC17" s="974">
        <f t="shared" si="10"/>
        <v>0</v>
      </c>
      <c r="AD17" s="974">
        <f t="shared" si="11"/>
        <v>293.20072581217738</v>
      </c>
      <c r="AE17" s="973">
        <f t="shared" si="13"/>
        <v>2145.3425695530541</v>
      </c>
      <c r="AF17" s="974">
        <f t="shared" si="12"/>
        <v>1556.642472927422</v>
      </c>
      <c r="AG17" s="974">
        <f t="shared" si="12"/>
        <v>3301.5212788760755</v>
      </c>
      <c r="AH17" s="974">
        <f t="shared" si="12"/>
        <v>-1156.1787093230223</v>
      </c>
      <c r="AI17" s="975">
        <f t="shared" si="12"/>
        <v>400.46376360439996</v>
      </c>
    </row>
    <row r="18" spans="2:35" x14ac:dyDescent="0.3">
      <c r="B18" s="900">
        <v>6</v>
      </c>
      <c r="C18" s="918">
        <f>'Energy Inputs'!D35</f>
        <v>1</v>
      </c>
      <c r="D18" s="918">
        <f>C18*'Energy Inputs'!$D$24</f>
        <v>26</v>
      </c>
      <c r="E18" s="197">
        <f>'Energy margins'!$E$12</f>
        <v>43.75</v>
      </c>
      <c r="F18" s="918">
        <f t="shared" si="0"/>
        <v>1137.5</v>
      </c>
      <c r="G18" s="918">
        <f>'Energy Inputs'!$D$10</f>
        <v>330</v>
      </c>
      <c r="H18" s="197">
        <f t="shared" si="4"/>
        <v>1467.5</v>
      </c>
      <c r="I18" s="199"/>
      <c r="J18" s="920">
        <f>IF(ISERROR(IF(MOD(IF(AND(B18&gt;='Energy margins'!$F$44,B18&lt;='Energy margins'!$G$44),B18-'Energy margins'!$F$44,""),'Energy margins'!$H$44)=0,'Energy margins'!$E$44,0)),0,IF(MOD(IF(AND(B18&gt;='Energy margins'!$F$44,B18&lt;='Energy margins'!$G$44),B18-'Energy margins'!$F$44,""),'Energy margins'!$H$44)=0,'Energy margins'!$E$44,0))</f>
        <v>0</v>
      </c>
      <c r="K18" s="918">
        <f>IF(ISERROR(IF(MOD(IF(AND(B18&gt;='Energy margins'!$F$45,B18&lt;='Energy margins'!$G$45),B18-'Energy margins'!$F$45,""),'Energy margins'!$H$45)=0,'Energy margins'!$E$45,0)),0,IF(MOD(IF(AND(B18&gt;='Energy margins'!$F$45,B18&lt;='Energy margins'!$G$45),B18-'Energy margins'!$F$45,""),'Energy margins'!$H$45)=0,'Energy margins'!$E$45,0))</f>
        <v>0</v>
      </c>
      <c r="L18" s="918">
        <f>IF(ISERROR(IF(MOD(IF(AND(B18&gt;='Energy margins'!$F$46,B18&lt;='Energy margins'!$G$46),B18-'Energy margins'!$F$46,""),'Energy margins'!$H$46)=0,'Energy margins'!$E$46,0)),0,IF(MOD(IF(AND(B18&gt;='Energy margins'!$F$46,B18&lt;='Energy margins'!$G$46),B18-'Energy margins'!$F$46,""),'Energy margins'!$H$46)=0,'Energy margins'!$E$46,0))</f>
        <v>0</v>
      </c>
      <c r="M18" s="918">
        <f>IF(ISERROR(IF(MOD(IF(AND(B18&gt;='Energy margins'!$F$47,B18&lt;='Energy margins'!$G$47),B18-'Energy margins'!$F$47,""),'Energy margins'!$H$47)=0,'Energy margins'!$E$47,0)),0,IF(MOD(IF(AND(B18&gt;='Energy margins'!$F$47,B18&lt;='Energy margins'!$G$47),B18-'Energy margins'!$F$47,""),'Energy margins'!$H$47)=0,'Energy margins'!$E$47,0))</f>
        <v>19.974783999999993</v>
      </c>
      <c r="N18" s="918">
        <f>IF(ISERROR(IF(MOD(IF(AND(B18&gt;='Energy margins'!$F$50,B18&lt;='Energy margins'!$G$50),B18-'Energy margins'!$F$50,""),'Energy margins'!$H$50)=0,'Energy margins'!$E$50,0)),0,IF(MOD(IF(AND(B18&gt;='Energy margins'!$F$50,B18&lt;='Energy margins'!$G$50),B18-'Energy margins'!$F$50,""),'Energy margins'!$H$50)=0,'Energy margins'!$E$50,0))</f>
        <v>66.308399999999992</v>
      </c>
      <c r="O18" s="918">
        <f>IF(ISERROR(IF(MOD(IF(AND(B18&gt;='Energy margins'!$F$53,B18&lt;='Energy margins'!$G$53),B18-'Energy margins'!$F$53,""),'Energy margins'!$H$53)=0,'Energy margins'!$E$53,0)),0,IF(MOD(IF(AND(B18&gt;='Energy margins'!$F$53,B18&lt;='Energy margins'!$G$53),B18-'Energy margins'!$F$53,""),'Energy margins'!$H$53)=0,'Energy margins'!$E$53,0))</f>
        <v>39.838149999999999</v>
      </c>
      <c r="P18" s="918">
        <f>IF(ISERROR(IF(MOD(IF(AND(B18&gt;='Energy margins'!$F$56,B18&lt;='Energy margins'!$G$56),B18-'Energy margins'!$F$56,""),'Energy margins'!$H$56)=0,'Energy margins'!$E$56,0)),0,IF(MOD(IF(AND(B18&gt;='Energy margins'!$F$56,B18&lt;='Energy margins'!$G$56),B18-'Energy margins'!$F$56,""),'Energy margins'!$H$56)=0,'Energy margins'!$E$56,0))</f>
        <v>36.611999999999995</v>
      </c>
      <c r="Q18" s="918">
        <f>IF(ISERROR(IF(MOD(IF(AND(B18&gt;='Energy margins'!$F$59,B18&lt;='Energy margins'!$G$59),B18-'Energy margins'!$F$59,""),'Energy margins'!$H$59)=0,'Energy margins'!$E$59,0)),0,IF(MOD(IF(AND(B18&gt;='Energy margins'!$F$59,B18&lt;='Energy margins'!$G$59),B18-'Energy margins'!$F$59,""),'Energy margins'!$H$59)=0,'Energy margins'!$E$59,0))</f>
        <v>475</v>
      </c>
      <c r="R18" s="918">
        <f>IF(ISERROR(IF(MOD(IF(AND(B18&gt;='Energy margins'!$F$60,B18&lt;='Energy margins'!$G$60),B18-'Energy margins'!$F$60,""),'Energy margins'!$H$60)=0,'Energy margins'!$E$60,0)),0,IF(MOD(IF(AND(B18&gt;='Energy margins'!$F$60,B18&lt;='Energy margins'!$G$60),B18-'Energy margins'!$F$60,""),'Energy margins'!$H$60)=0,'Energy margins'!$E$60,0))</f>
        <v>0</v>
      </c>
      <c r="S18" s="918">
        <f>IF(ISERROR(IF(MOD(IF(AND(B18&gt;='Energy margins'!$F$61,B18&lt;='Energy margins'!$G$61),B18-'Energy margins'!$F$61,""),'Energy margins'!$H$61)=0,'Energy margins'!$E$61,0)),0,IF(MOD(IF(AND(B18&gt;='Energy margins'!$F$61,B18&lt;='Energy margins'!$G$61),B18-'Energy margins'!$F$61,""),'Energy margins'!$H$61)=0,'Energy margins'!$E$61,0))</f>
        <v>0</v>
      </c>
      <c r="T18" s="918">
        <f>IF(ISERROR(IF(MOD(IF(AND(B18&gt;='Energy margins'!$F$62,B18&lt;='Energy margins'!$G$62),B18-'Energy margins'!$F$62,""),'Energy margins'!$H$62)=0,'Energy margins'!$E$62,0)),0,IF(MOD(IF(AND(B18&gt;='Energy margins'!$F$62,B18&lt;='Energy margins'!$G$62),B18-'Energy margins'!$F$62,""),'Energy margins'!$H$62)=0,'Energy margins'!$E$62,0))</f>
        <v>0</v>
      </c>
      <c r="U18" s="944">
        <f>SUM(J18:T18)</f>
        <v>637.73333400000001</v>
      </c>
      <c r="V18" s="197"/>
      <c r="W18" s="197">
        <f t="shared" si="6"/>
        <v>637.73333400000001</v>
      </c>
      <c r="X18" s="197">
        <f t="shared" si="1"/>
        <v>499.76666599999999</v>
      </c>
      <c r="Y18" s="197">
        <f t="shared" si="2"/>
        <v>829.76666599999999</v>
      </c>
      <c r="Z18" s="973">
        <f t="shared" si="7"/>
        <v>981.21749223698669</v>
      </c>
      <c r="AA18" s="974">
        <f t="shared" si="8"/>
        <v>284.66089884677416</v>
      </c>
      <c r="AB18" s="974">
        <f t="shared" si="9"/>
        <v>550.11437600300007</v>
      </c>
      <c r="AC18" s="974">
        <f t="shared" si="10"/>
        <v>431.10311623398655</v>
      </c>
      <c r="AD18" s="974">
        <f t="shared" si="11"/>
        <v>715.76401508076071</v>
      </c>
      <c r="AE18" s="973">
        <f t="shared" si="13"/>
        <v>3126.5600617900409</v>
      </c>
      <c r="AF18" s="974">
        <f t="shared" si="12"/>
        <v>1841.3033717741962</v>
      </c>
      <c r="AG18" s="974">
        <f t="shared" si="12"/>
        <v>3851.6356548790754</v>
      </c>
      <c r="AH18" s="974">
        <f t="shared" si="12"/>
        <v>-725.07559308903569</v>
      </c>
      <c r="AI18" s="975">
        <f t="shared" si="12"/>
        <v>1116.2277786851607</v>
      </c>
    </row>
    <row r="19" spans="2:35" x14ac:dyDescent="0.3">
      <c r="B19" s="900">
        <v>7</v>
      </c>
      <c r="C19" s="918">
        <f>'Energy Inputs'!D36</f>
        <v>0</v>
      </c>
      <c r="D19" s="918">
        <f>C19*'Energy Inputs'!$D$24</f>
        <v>0</v>
      </c>
      <c r="E19" s="197">
        <f>'Energy margins'!$E$12</f>
        <v>43.75</v>
      </c>
      <c r="F19" s="918">
        <f t="shared" si="0"/>
        <v>0</v>
      </c>
      <c r="G19" s="918">
        <f>'Energy Inputs'!$D$10</f>
        <v>330</v>
      </c>
      <c r="H19" s="197">
        <f t="shared" si="4"/>
        <v>330</v>
      </c>
      <c r="I19" s="199"/>
      <c r="J19" s="920">
        <f>IF(ISERROR(IF(MOD(IF(AND(B19&gt;='Energy margins'!$F$44,B19&lt;='Energy margins'!$G$44),B19-'Energy margins'!$F$44,""),'Energy margins'!$H$44)=0,'Energy margins'!$E$44,0)),0,IF(MOD(IF(AND(B19&gt;='Energy margins'!$F$44,B19&lt;='Energy margins'!$G$44),B19-'Energy margins'!$F$44,""),'Energy margins'!$H$44)=0,'Energy margins'!$E$44,0))</f>
        <v>0</v>
      </c>
      <c r="K19" s="918">
        <f>IF(ISERROR(IF(MOD(IF(AND(B19&gt;='Energy margins'!$F$45,B19&lt;='Energy margins'!$G$45),B19-'Energy margins'!$F$45,""),'Energy margins'!$H$45)=0,'Energy margins'!$E$45,0)),0,IF(MOD(IF(AND(B19&gt;='Energy margins'!$F$45,B19&lt;='Energy margins'!$G$45),B19-'Energy margins'!$F$45,""),'Energy margins'!$H$45)=0,'Energy margins'!$E$45,0))</f>
        <v>0</v>
      </c>
      <c r="L19" s="918">
        <f>IF(ISERROR(IF(MOD(IF(AND(B19&gt;='Energy margins'!$F$46,B19&lt;='Energy margins'!$G$46),B19-'Energy margins'!$F$46,""),'Energy margins'!$H$46)=0,'Energy margins'!$E$46,0)),0,IF(MOD(IF(AND(B19&gt;='Energy margins'!$F$46,B19&lt;='Energy margins'!$G$46),B19-'Energy margins'!$F$46,""),'Energy margins'!$H$46)=0,'Energy margins'!$E$46,0))</f>
        <v>0</v>
      </c>
      <c r="M19" s="918">
        <f>IF(ISERROR(IF(MOD(IF(AND(B19&gt;='Energy margins'!$F$47,B19&lt;='Energy margins'!$G$47),B19-'Energy margins'!$F$47,""),'Energy margins'!$H$47)=0,'Energy margins'!$E$47,0)),0,IF(MOD(IF(AND(B19&gt;='Energy margins'!$F$47,B19&lt;='Energy margins'!$G$47),B19-'Energy margins'!$F$47,""),'Energy margins'!$H$47)=0,'Energy margins'!$E$47,0))</f>
        <v>0</v>
      </c>
      <c r="N19" s="918">
        <f>IF(ISERROR(IF(MOD(IF(AND(B19&gt;='Energy margins'!$F$50,B19&lt;='Energy margins'!$G$50),B19-'Energy margins'!$F$50,""),'Energy margins'!$H$50)=0,'Energy margins'!$E$50,0)),0,IF(MOD(IF(AND(B19&gt;='Energy margins'!$F$50,B19&lt;='Energy margins'!$G$50),B19-'Energy margins'!$F$50,""),'Energy margins'!$H$50)=0,'Energy margins'!$E$50,0))</f>
        <v>0</v>
      </c>
      <c r="O19" s="918">
        <f>IF(ISERROR(IF(MOD(IF(AND(B19&gt;='Energy margins'!$F$53,B19&lt;='Energy margins'!$G$53),B19-'Energy margins'!$F$53,""),'Energy margins'!$H$53)=0,'Energy margins'!$E$53,0)),0,IF(MOD(IF(AND(B19&gt;='Energy margins'!$F$53,B19&lt;='Energy margins'!$G$53),B19-'Energy margins'!$F$53,""),'Energy margins'!$H$53)=0,'Energy margins'!$E$53,0))</f>
        <v>0</v>
      </c>
      <c r="P19" s="918">
        <f>IF(ISERROR(IF(MOD(IF(AND(B19&gt;='Energy margins'!$F$56,B19&lt;='Energy margins'!$G$56),B19-'Energy margins'!$F$56,""),'Energy margins'!$H$56)=0,'Energy margins'!$E$56,0)),0,IF(MOD(IF(AND(B19&gt;='Energy margins'!$F$56,B19&lt;='Energy margins'!$G$56),B19-'Energy margins'!$F$56,""),'Energy margins'!$H$56)=0,'Energy margins'!$E$56,0))</f>
        <v>0</v>
      </c>
      <c r="Q19" s="918">
        <f>IF(ISERROR(IF(MOD(IF(AND(B19&gt;='Energy margins'!$F$59,B19&lt;='Energy margins'!$G$59),B19-'Energy margins'!$F$59,""),'Energy margins'!$H$59)=0,'Energy margins'!$E$59,0)),0,IF(MOD(IF(AND(B19&gt;='Energy margins'!$F$59,B19&lt;='Energy margins'!$G$59),B19-'Energy margins'!$F$59,""),'Energy margins'!$H$59)=0,'Energy margins'!$E$59,0))</f>
        <v>0</v>
      </c>
      <c r="R19" s="918">
        <f>IF(ISERROR(IF(MOD(IF(AND(B19&gt;='Energy margins'!$F$60,B19&lt;='Energy margins'!$G$60),B19-'Energy margins'!$F$60,""),'Energy margins'!$H$60)=0,'Energy margins'!$E$60,0)),0,IF(MOD(IF(AND(B19&gt;='Energy margins'!$F$60,B19&lt;='Energy margins'!$G$60),B19-'Energy margins'!$F$60,""),'Energy margins'!$H$60)=0,'Energy margins'!$E$60,0))</f>
        <v>0</v>
      </c>
      <c r="S19" s="918">
        <f>IF(ISERROR(IF(MOD(IF(AND(B19&gt;='Energy margins'!$F$61,B19&lt;='Energy margins'!$G$61),B19-'Energy margins'!$F$61,""),'Energy margins'!$H$61)=0,'Energy margins'!$E$61,0)),0,IF(MOD(IF(AND(B19&gt;='Energy margins'!$F$61,B19&lt;='Energy margins'!$G$61),B19-'Energy margins'!$F$61,""),'Energy margins'!$H$61)=0,'Energy margins'!$E$61,0))</f>
        <v>0</v>
      </c>
      <c r="T19" s="918">
        <f>IF(ISERROR(IF(MOD(IF(AND(B19&gt;='Energy margins'!$F$62,B19&lt;='Energy margins'!$G$62),B19-'Energy margins'!$F$62,""),'Energy margins'!$H$62)=0,'Energy margins'!$E$62,0)),0,IF(MOD(IF(AND(B19&gt;='Energy margins'!$F$62,B19&lt;='Energy margins'!$G$62),B19-'Energy margins'!$F$62,""),'Energy margins'!$H$62)=0,'Energy margins'!$E$62,0))</f>
        <v>0</v>
      </c>
      <c r="U19" s="944">
        <f>SUM(J19:T19)</f>
        <v>0</v>
      </c>
      <c r="V19" s="197"/>
      <c r="W19" s="197">
        <f t="shared" si="6"/>
        <v>0</v>
      </c>
      <c r="X19" s="197">
        <f t="shared" si="1"/>
        <v>0</v>
      </c>
      <c r="Y19" s="197">
        <f t="shared" si="2"/>
        <v>330</v>
      </c>
      <c r="Z19" s="973">
        <f t="shared" si="7"/>
        <v>0</v>
      </c>
      <c r="AA19" s="974">
        <f t="shared" si="8"/>
        <v>276.36980470560593</v>
      </c>
      <c r="AB19" s="974">
        <f t="shared" si="9"/>
        <v>0</v>
      </c>
      <c r="AC19" s="974">
        <f t="shared" si="10"/>
        <v>0</v>
      </c>
      <c r="AD19" s="974">
        <f t="shared" si="11"/>
        <v>276.36980470560593</v>
      </c>
      <c r="AE19" s="973">
        <f t="shared" si="13"/>
        <v>3126.5600617900409</v>
      </c>
      <c r="AF19" s="974">
        <f t="shared" si="12"/>
        <v>2117.6731764798024</v>
      </c>
      <c r="AG19" s="974">
        <f t="shared" si="12"/>
        <v>3851.6356548790754</v>
      </c>
      <c r="AH19" s="974">
        <f t="shared" si="12"/>
        <v>-725.07559308903569</v>
      </c>
      <c r="AI19" s="975">
        <f t="shared" si="12"/>
        <v>1392.5975833907667</v>
      </c>
    </row>
    <row r="20" spans="2:35" x14ac:dyDescent="0.3">
      <c r="B20" s="900">
        <v>8</v>
      </c>
      <c r="C20" s="918">
        <f>'Energy Inputs'!D37</f>
        <v>1</v>
      </c>
      <c r="D20" s="918">
        <f>C20*'Energy Inputs'!$D$24</f>
        <v>26</v>
      </c>
      <c r="E20" s="197">
        <f>'Energy margins'!$E$12</f>
        <v>43.75</v>
      </c>
      <c r="F20" s="918">
        <f t="shared" si="0"/>
        <v>1137.5</v>
      </c>
      <c r="G20" s="918">
        <f>'Energy Inputs'!$D$10</f>
        <v>330</v>
      </c>
      <c r="H20" s="197">
        <f t="shared" si="4"/>
        <v>1467.5</v>
      </c>
      <c r="I20" s="199"/>
      <c r="J20" s="920">
        <f>IF(ISERROR(IF(MOD(IF(AND(B20&gt;='Energy margins'!$F$44,B20&lt;='Energy margins'!$G$44),B20-'Energy margins'!$F$44,""),'Energy margins'!$H$44)=0,'Energy margins'!$E$44,0)),0,IF(MOD(IF(AND(B20&gt;='Energy margins'!$F$44,B20&lt;='Energy margins'!$G$44),B20-'Energy margins'!$F$44,""),'Energy margins'!$H$44)=0,'Energy margins'!$E$44,0))</f>
        <v>0</v>
      </c>
      <c r="K20" s="918">
        <f>IF(ISERROR(IF(MOD(IF(AND(B20&gt;='Energy margins'!$F$45,B20&lt;='Energy margins'!$G$45),B20-'Energy margins'!$F$45,""),'Energy margins'!$H$45)=0,'Energy margins'!$E$45,0)),0,IF(MOD(IF(AND(B20&gt;='Energy margins'!$F$45,B20&lt;='Energy margins'!$G$45),B20-'Energy margins'!$F$45,""),'Energy margins'!$H$45)=0,'Energy margins'!$E$45,0))</f>
        <v>0</v>
      </c>
      <c r="L20" s="918">
        <f>IF(ISERROR(IF(MOD(IF(AND(B20&gt;='Energy margins'!$F$46,B20&lt;='Energy margins'!$G$46),B20-'Energy margins'!$F$46,""),'Energy margins'!$H$46)=0,'Energy margins'!$E$46,0)),0,IF(MOD(IF(AND(B20&gt;='Energy margins'!$F$46,B20&lt;='Energy margins'!$G$46),B20-'Energy margins'!$F$46,""),'Energy margins'!$H$46)=0,'Energy margins'!$E$46,0))</f>
        <v>0</v>
      </c>
      <c r="M20" s="918">
        <f>IF(ISERROR(IF(MOD(IF(AND(B20&gt;='Energy margins'!$F$47,B20&lt;='Energy margins'!$G$47),B20-'Energy margins'!$F$47,""),'Energy margins'!$H$47)=0,'Energy margins'!$E$47,0)),0,IF(MOD(IF(AND(B20&gt;='Energy margins'!$F$47,B20&lt;='Energy margins'!$G$47),B20-'Energy margins'!$F$47,""),'Energy margins'!$H$47)=0,'Energy margins'!$E$47,0))</f>
        <v>19.974783999999993</v>
      </c>
      <c r="N20" s="918">
        <f>IF(ISERROR(IF(MOD(IF(AND(B20&gt;='Energy margins'!$F$50,B20&lt;='Energy margins'!$G$50),B20-'Energy margins'!$F$50,""),'Energy margins'!$H$50)=0,'Energy margins'!$E$50,0)),0,IF(MOD(IF(AND(B20&gt;='Energy margins'!$F$50,B20&lt;='Energy margins'!$G$50),B20-'Energy margins'!$F$50,""),'Energy margins'!$H$50)=0,'Energy margins'!$E$50,0))</f>
        <v>66.308399999999992</v>
      </c>
      <c r="O20" s="918">
        <f>IF(ISERROR(IF(MOD(IF(AND(B20&gt;='Energy margins'!$F$53,B20&lt;='Energy margins'!$G$53),B20-'Energy margins'!$F$53,""),'Energy margins'!$H$53)=0,'Energy margins'!$E$53,0)),0,IF(MOD(IF(AND(B20&gt;='Energy margins'!$F$53,B20&lt;='Energy margins'!$G$53),B20-'Energy margins'!$F$53,""),'Energy margins'!$H$53)=0,'Energy margins'!$E$53,0))</f>
        <v>39.838149999999999</v>
      </c>
      <c r="P20" s="918">
        <f>IF(ISERROR(IF(MOD(IF(AND(B20&gt;='Energy margins'!$F$56,B20&lt;='Energy margins'!$G$56),B20-'Energy margins'!$F$56,""),'Energy margins'!$H$56)=0,'Energy margins'!$E$56,0)),0,IF(MOD(IF(AND(B20&gt;='Energy margins'!$F$56,B20&lt;='Energy margins'!$G$56),B20-'Energy margins'!$F$56,""),'Energy margins'!$H$56)=0,'Energy margins'!$E$56,0))</f>
        <v>36.611999999999995</v>
      </c>
      <c r="Q20" s="918">
        <f>IF(ISERROR(IF(MOD(IF(AND(B20&gt;='Energy margins'!$F$59,B20&lt;='Energy margins'!$G$59),B20-'Energy margins'!$F$59,""),'Energy margins'!$H$59)=0,'Energy margins'!$E$59,0)),0,IF(MOD(IF(AND(B20&gt;='Energy margins'!$F$59,B20&lt;='Energy margins'!$G$59),B20-'Energy margins'!$F$59,""),'Energy margins'!$H$59)=0,'Energy margins'!$E$59,0))</f>
        <v>475</v>
      </c>
      <c r="R20" s="918">
        <f>IF(ISERROR(IF(MOD(IF(AND(B20&gt;='Energy margins'!$F$60,B20&lt;='Energy margins'!$G$60),B20-'Energy margins'!$F$60,""),'Energy margins'!$H$60)=0,'Energy margins'!$E$60,0)),0,IF(MOD(IF(AND(B20&gt;='Energy margins'!$F$60,B20&lt;='Energy margins'!$G$60),B20-'Energy margins'!$F$60,""),'Energy margins'!$H$60)=0,'Energy margins'!$E$60,0))</f>
        <v>0</v>
      </c>
      <c r="S20" s="918">
        <f>IF(ISERROR(IF(MOD(IF(AND(B20&gt;='Energy margins'!$F$61,B20&lt;='Energy margins'!$G$61),B20-'Energy margins'!$F$61,""),'Energy margins'!$H$61)=0,'Energy margins'!$E$61,0)),0,IF(MOD(IF(AND(B20&gt;='Energy margins'!$F$61,B20&lt;='Energy margins'!$G$61),B20-'Energy margins'!$F$61,""),'Energy margins'!$H$61)=0,'Energy margins'!$E$61,0))</f>
        <v>0</v>
      </c>
      <c r="T20" s="918">
        <f>IF(ISERROR(IF(MOD(IF(AND(B20&gt;='Energy margins'!$F$62,B20&lt;='Energy margins'!$G$62),B20-'Energy margins'!$F$62,""),'Energy margins'!$H$62)=0,'Energy margins'!$E$62,0)),0,IF(MOD(IF(AND(B20&gt;='Energy margins'!$F$62,B20&lt;='Energy margins'!$G$62),B20-'Energy margins'!$F$62,""),'Energy margins'!$H$62)=0,'Energy margins'!$E$62,0))</f>
        <v>0</v>
      </c>
      <c r="U20" s="944">
        <f t="shared" si="5"/>
        <v>637.73333400000001</v>
      </c>
      <c r="V20" s="197"/>
      <c r="W20" s="197">
        <f t="shared" si="6"/>
        <v>637.73333400000001</v>
      </c>
      <c r="X20" s="197">
        <f t="shared" si="1"/>
        <v>499.76666599999999</v>
      </c>
      <c r="Y20" s="197">
        <f t="shared" si="2"/>
        <v>829.76666599999999</v>
      </c>
      <c r="Z20" s="973">
        <f t="shared" si="7"/>
        <v>924.89159415306494</v>
      </c>
      <c r="AA20" s="974">
        <f t="shared" si="8"/>
        <v>268.32019874330672</v>
      </c>
      <c r="AB20" s="974">
        <f t="shared" si="9"/>
        <v>518.53556037609587</v>
      </c>
      <c r="AC20" s="974">
        <f t="shared" si="10"/>
        <v>406.35603377696907</v>
      </c>
      <c r="AD20" s="974">
        <f t="shared" si="11"/>
        <v>674.67623252027579</v>
      </c>
      <c r="AE20" s="973">
        <f t="shared" si="13"/>
        <v>4051.4516559431058</v>
      </c>
      <c r="AF20" s="974">
        <f t="shared" si="12"/>
        <v>2385.9933752231091</v>
      </c>
      <c r="AG20" s="974">
        <f t="shared" si="12"/>
        <v>4370.1712152551718</v>
      </c>
      <c r="AH20" s="974">
        <f t="shared" si="12"/>
        <v>-318.71955931206662</v>
      </c>
      <c r="AI20" s="975">
        <f t="shared" si="12"/>
        <v>2067.2738159110422</v>
      </c>
    </row>
    <row r="21" spans="2:35" x14ac:dyDescent="0.3">
      <c r="B21" s="900">
        <v>9</v>
      </c>
      <c r="C21" s="918">
        <f>'Energy Inputs'!D38</f>
        <v>0</v>
      </c>
      <c r="D21" s="918">
        <f>C21*'Energy Inputs'!$D$24</f>
        <v>0</v>
      </c>
      <c r="E21" s="197">
        <f>'Energy margins'!$E$12</f>
        <v>43.75</v>
      </c>
      <c r="F21" s="918">
        <f t="shared" si="0"/>
        <v>0</v>
      </c>
      <c r="G21" s="918">
        <f>'Energy Inputs'!$D$10</f>
        <v>330</v>
      </c>
      <c r="H21" s="197">
        <f t="shared" si="4"/>
        <v>330</v>
      </c>
      <c r="I21" s="199"/>
      <c r="J21" s="920">
        <f>IF(ISERROR(IF(MOD(IF(AND(B21&gt;='Energy margins'!$F$44,B21&lt;='Energy margins'!$G$44),B21-'Energy margins'!$F$44,""),'Energy margins'!$H$44)=0,'Energy margins'!$E$44,0)),0,IF(MOD(IF(AND(B21&gt;='Energy margins'!$F$44,B21&lt;='Energy margins'!$G$44),B21-'Energy margins'!$F$44,""),'Energy margins'!$H$44)=0,'Energy margins'!$E$44,0))</f>
        <v>0</v>
      </c>
      <c r="K21" s="918">
        <f>IF(ISERROR(IF(MOD(IF(AND(B21&gt;='Energy margins'!$F$45,B21&lt;='Energy margins'!$G$45),B21-'Energy margins'!$F$45,""),'Energy margins'!$H$45)=0,'Energy margins'!$E$45,0)),0,IF(MOD(IF(AND(B21&gt;='Energy margins'!$F$45,B21&lt;='Energy margins'!$G$45),B21-'Energy margins'!$F$45,""),'Energy margins'!$H$45)=0,'Energy margins'!$E$45,0))</f>
        <v>0</v>
      </c>
      <c r="L21" s="918">
        <f>IF(ISERROR(IF(MOD(IF(AND(B21&gt;='Energy margins'!$F$46,B21&lt;='Energy margins'!$G$46),B21-'Energy margins'!$F$46,""),'Energy margins'!$H$46)=0,'Energy margins'!$E$46,0)),0,IF(MOD(IF(AND(B21&gt;='Energy margins'!$F$46,B21&lt;='Energy margins'!$G$46),B21-'Energy margins'!$F$46,""),'Energy margins'!$H$46)=0,'Energy margins'!$E$46,0))</f>
        <v>0</v>
      </c>
      <c r="M21" s="918">
        <f>IF(ISERROR(IF(MOD(IF(AND(B21&gt;='Energy margins'!$F$47,B21&lt;='Energy margins'!$G$47),B21-'Energy margins'!$F$47,""),'Energy margins'!$H$47)=0,'Energy margins'!$E$47,0)),0,IF(MOD(IF(AND(B21&gt;='Energy margins'!$F$47,B21&lt;='Energy margins'!$G$47),B21-'Energy margins'!$F$47,""),'Energy margins'!$H$47)=0,'Energy margins'!$E$47,0))</f>
        <v>0</v>
      </c>
      <c r="N21" s="918">
        <f>IF(ISERROR(IF(MOD(IF(AND(B21&gt;='Energy margins'!$F$50,B21&lt;='Energy margins'!$G$50),B21-'Energy margins'!$F$50,""),'Energy margins'!$H$50)=0,'Energy margins'!$E$50,0)),0,IF(MOD(IF(AND(B21&gt;='Energy margins'!$F$50,B21&lt;='Energy margins'!$G$50),B21-'Energy margins'!$F$50,""),'Energy margins'!$H$50)=0,'Energy margins'!$E$50,0))</f>
        <v>0</v>
      </c>
      <c r="O21" s="918">
        <f>IF(ISERROR(IF(MOD(IF(AND(B21&gt;='Energy margins'!$F$53,B21&lt;='Energy margins'!$G$53),B21-'Energy margins'!$F$53,""),'Energy margins'!$H$53)=0,'Energy margins'!$E$53,0)),0,IF(MOD(IF(AND(B21&gt;='Energy margins'!$F$53,B21&lt;='Energy margins'!$G$53),B21-'Energy margins'!$F$53,""),'Energy margins'!$H$53)=0,'Energy margins'!$E$53,0))</f>
        <v>0</v>
      </c>
      <c r="P21" s="918">
        <f>IF(ISERROR(IF(MOD(IF(AND(B21&gt;='Energy margins'!$F$56,B21&lt;='Energy margins'!$G$56),B21-'Energy margins'!$F$56,""),'Energy margins'!$H$56)=0,'Energy margins'!$E$56,0)),0,IF(MOD(IF(AND(B21&gt;='Energy margins'!$F$56,B21&lt;='Energy margins'!$G$56),B21-'Energy margins'!$F$56,""),'Energy margins'!$H$56)=0,'Energy margins'!$E$56,0))</f>
        <v>0</v>
      </c>
      <c r="Q21" s="918">
        <f>IF(ISERROR(IF(MOD(IF(AND(B21&gt;='Energy margins'!$F$59,B21&lt;='Energy margins'!$G$59),B21-'Energy margins'!$F$59,""),'Energy margins'!$H$59)=0,'Energy margins'!$E$59,0)),0,IF(MOD(IF(AND(B21&gt;='Energy margins'!$F$59,B21&lt;='Energy margins'!$G$59),B21-'Energy margins'!$F$59,""),'Energy margins'!$H$59)=0,'Energy margins'!$E$59,0))</f>
        <v>0</v>
      </c>
      <c r="R21" s="918">
        <f>IF(ISERROR(IF(MOD(IF(AND(B21&gt;='Energy margins'!$F$60,B21&lt;='Energy margins'!$G$60),B21-'Energy margins'!$F$60,""),'Energy margins'!$H$60)=0,'Energy margins'!$E$60,0)),0,IF(MOD(IF(AND(B21&gt;='Energy margins'!$F$60,B21&lt;='Energy margins'!$G$60),B21-'Energy margins'!$F$60,""),'Energy margins'!$H$60)=0,'Energy margins'!$E$60,0))</f>
        <v>0</v>
      </c>
      <c r="S21" s="918">
        <f>IF(ISERROR(IF(MOD(IF(AND(B21&gt;='Energy margins'!$F$61,B21&lt;='Energy margins'!$G$61),B21-'Energy margins'!$F$61,""),'Energy margins'!$H$61)=0,'Energy margins'!$E$61,0)),0,IF(MOD(IF(AND(B21&gt;='Energy margins'!$F$61,B21&lt;='Energy margins'!$G$61),B21-'Energy margins'!$F$61,""),'Energy margins'!$H$61)=0,'Energy margins'!$E$61,0))</f>
        <v>0</v>
      </c>
      <c r="T21" s="918">
        <f>IF(ISERROR(IF(MOD(IF(AND(B21&gt;='Energy margins'!$F$62,B21&lt;='Energy margins'!$G$62),B21-'Energy margins'!$F$62,""),'Energy margins'!$H$62)=0,'Energy margins'!$E$62,0)),0,IF(MOD(IF(AND(B21&gt;='Energy margins'!$F$62,B21&lt;='Energy margins'!$G$62),B21-'Energy margins'!$F$62,""),'Energy margins'!$H$62)=0,'Energy margins'!$E$62,0))</f>
        <v>0</v>
      </c>
      <c r="U21" s="944">
        <f t="shared" si="5"/>
        <v>0</v>
      </c>
      <c r="V21" s="197"/>
      <c r="W21" s="197">
        <f t="shared" si="6"/>
        <v>0</v>
      </c>
      <c r="X21" s="197">
        <f t="shared" si="1"/>
        <v>0</v>
      </c>
      <c r="Y21" s="197">
        <f t="shared" si="2"/>
        <v>330</v>
      </c>
      <c r="Z21" s="973">
        <f t="shared" si="7"/>
        <v>0</v>
      </c>
      <c r="AA21" s="974">
        <f t="shared" si="8"/>
        <v>260.50504732359883</v>
      </c>
      <c r="AB21" s="974">
        <f t="shared" si="9"/>
        <v>0</v>
      </c>
      <c r="AC21" s="974">
        <f t="shared" si="10"/>
        <v>0</v>
      </c>
      <c r="AD21" s="974">
        <f t="shared" si="11"/>
        <v>260.50504732359883</v>
      </c>
      <c r="AE21" s="973">
        <f t="shared" si="13"/>
        <v>4051.4516559431058</v>
      </c>
      <c r="AF21" s="974">
        <f t="shared" si="12"/>
        <v>2646.4984225467078</v>
      </c>
      <c r="AG21" s="974">
        <f t="shared" si="12"/>
        <v>4370.1712152551718</v>
      </c>
      <c r="AH21" s="974">
        <f t="shared" si="12"/>
        <v>-318.71955931206662</v>
      </c>
      <c r="AI21" s="975">
        <f t="shared" si="12"/>
        <v>2327.778863234641</v>
      </c>
    </row>
    <row r="22" spans="2:35" x14ac:dyDescent="0.3">
      <c r="B22" s="900">
        <v>10</v>
      </c>
      <c r="C22" s="918">
        <f>'Energy Inputs'!D39</f>
        <v>1</v>
      </c>
      <c r="D22" s="918">
        <f>C22*'Energy Inputs'!$D$24</f>
        <v>26</v>
      </c>
      <c r="E22" s="197">
        <f>'Energy margins'!$E$12</f>
        <v>43.75</v>
      </c>
      <c r="F22" s="918">
        <f t="shared" si="0"/>
        <v>1137.5</v>
      </c>
      <c r="G22" s="918">
        <f>'Energy Inputs'!$D$10</f>
        <v>330</v>
      </c>
      <c r="H22" s="197">
        <f t="shared" si="4"/>
        <v>1467.5</v>
      </c>
      <c r="I22" s="199"/>
      <c r="J22" s="920">
        <f>IF(ISERROR(IF(MOD(IF(AND(B22&gt;='Energy margins'!$F$44,B22&lt;='Energy margins'!$G$44),B22-'Energy margins'!$F$44,""),'Energy margins'!$H$44)=0,'Energy margins'!$E$44,0)),0,IF(MOD(IF(AND(B22&gt;='Energy margins'!$F$44,B22&lt;='Energy margins'!$G$44),B22-'Energy margins'!$F$44,""),'Energy margins'!$H$44)=0,'Energy margins'!$E$44,0))</f>
        <v>0</v>
      </c>
      <c r="K22" s="918">
        <f>IF(ISERROR(IF(MOD(IF(AND(B22&gt;='Energy margins'!$F$45,B22&lt;='Energy margins'!$G$45),B22-'Energy margins'!$F$45,""),'Energy margins'!$H$45)=0,'Energy margins'!$E$45,0)),0,IF(MOD(IF(AND(B22&gt;='Energy margins'!$F$45,B22&lt;='Energy margins'!$G$45),B22-'Energy margins'!$F$45,""),'Energy margins'!$H$45)=0,'Energy margins'!$E$45,0))</f>
        <v>0</v>
      </c>
      <c r="L22" s="918">
        <f>IF(ISERROR(IF(MOD(IF(AND(B22&gt;='Energy margins'!$F$46,B22&lt;='Energy margins'!$G$46),B22-'Energy margins'!$F$46,""),'Energy margins'!$H$46)=0,'Energy margins'!$E$46,0)),0,IF(MOD(IF(AND(B22&gt;='Energy margins'!$F$46,B22&lt;='Energy margins'!$G$46),B22-'Energy margins'!$F$46,""),'Energy margins'!$H$46)=0,'Energy margins'!$E$46,0))</f>
        <v>0</v>
      </c>
      <c r="M22" s="918">
        <f>IF(ISERROR(IF(MOD(IF(AND(B22&gt;='Energy margins'!$F$47,B22&lt;='Energy margins'!$G$47),B22-'Energy margins'!$F$47,""),'Energy margins'!$H$47)=0,'Energy margins'!$E$47,0)),0,IF(MOD(IF(AND(B22&gt;='Energy margins'!$F$47,B22&lt;='Energy margins'!$G$47),B22-'Energy margins'!$F$47,""),'Energy margins'!$H$47)=0,'Energy margins'!$E$47,0))</f>
        <v>19.974783999999993</v>
      </c>
      <c r="N22" s="918">
        <f>IF(ISERROR(IF(MOD(IF(AND(B22&gt;='Energy margins'!$F$50,B22&lt;='Energy margins'!$G$50),B22-'Energy margins'!$F$50,""),'Energy margins'!$H$50)=0,'Energy margins'!$E$50,0)),0,IF(MOD(IF(AND(B22&gt;='Energy margins'!$F$50,B22&lt;='Energy margins'!$G$50),B22-'Energy margins'!$F$50,""),'Energy margins'!$H$50)=0,'Energy margins'!$E$50,0))</f>
        <v>66.308399999999992</v>
      </c>
      <c r="O22" s="918">
        <f>IF(ISERROR(IF(MOD(IF(AND(B22&gt;='Energy margins'!$F$53,B22&lt;='Energy margins'!$G$53),B22-'Energy margins'!$F$53,""),'Energy margins'!$H$53)=0,'Energy margins'!$E$53,0)),0,IF(MOD(IF(AND(B22&gt;='Energy margins'!$F$53,B22&lt;='Energy margins'!$G$53),B22-'Energy margins'!$F$53,""),'Energy margins'!$H$53)=0,'Energy margins'!$E$53,0))</f>
        <v>39.838149999999999</v>
      </c>
      <c r="P22" s="918">
        <f>IF(ISERROR(IF(MOD(IF(AND(B22&gt;='Energy margins'!$F$56,B22&lt;='Energy margins'!$G$56),B22-'Energy margins'!$F$56,""),'Energy margins'!$H$56)=0,'Energy margins'!$E$56,0)),0,IF(MOD(IF(AND(B22&gt;='Energy margins'!$F$56,B22&lt;='Energy margins'!$G$56),B22-'Energy margins'!$F$56,""),'Energy margins'!$H$56)=0,'Energy margins'!$E$56,0))</f>
        <v>36.611999999999995</v>
      </c>
      <c r="Q22" s="918">
        <f>IF(ISERROR(IF(MOD(IF(AND(B22&gt;='Energy margins'!$F$59,B22&lt;='Energy margins'!$G$59),B22-'Energy margins'!$F$59,""),'Energy margins'!$H$59)=0,'Energy margins'!$E$59,0)),0,IF(MOD(IF(AND(B22&gt;='Energy margins'!$F$59,B22&lt;='Energy margins'!$G$59),B22-'Energy margins'!$F$59,""),'Energy margins'!$H$59)=0,'Energy margins'!$E$59,0))</f>
        <v>475</v>
      </c>
      <c r="R22" s="918">
        <f>IF(ISERROR(IF(MOD(IF(AND(B22&gt;='Energy margins'!$F$60,B22&lt;='Energy margins'!$G$60),B22-'Energy margins'!$F$60,""),'Energy margins'!$H$60)=0,'Energy margins'!$E$60,0)),0,IF(MOD(IF(AND(B22&gt;='Energy margins'!$F$60,B22&lt;='Energy margins'!$G$60),B22-'Energy margins'!$F$60,""),'Energy margins'!$H$60)=0,'Energy margins'!$E$60,0))</f>
        <v>0</v>
      </c>
      <c r="S22" s="918">
        <f>IF(ISERROR(IF(MOD(IF(AND(B22&gt;='Energy margins'!$F$61,B22&lt;='Energy margins'!$G$61),B22-'Energy margins'!$F$61,""),'Energy margins'!$H$61)=0,'Energy margins'!$E$61,0)),0,IF(MOD(IF(AND(B22&gt;='Energy margins'!$F$61,B22&lt;='Energy margins'!$G$61),B22-'Energy margins'!$F$61,""),'Energy margins'!$H$61)=0,'Energy margins'!$E$61,0))</f>
        <v>0</v>
      </c>
      <c r="T22" s="918">
        <f>IF(ISERROR(IF(MOD(IF(AND(B22&gt;='Energy margins'!$F$62,B22&lt;='Energy margins'!$G$62),B22-'Energy margins'!$F$62,""),'Energy margins'!$H$62)=0,'Energy margins'!$E$62,0)),0,IF(MOD(IF(AND(B22&gt;='Energy margins'!$F$62,B22&lt;='Energy margins'!$G$62),B22-'Energy margins'!$F$62,""),'Energy margins'!$H$62)=0,'Energy margins'!$E$62,0))</f>
        <v>0</v>
      </c>
      <c r="U22" s="944">
        <f t="shared" si="5"/>
        <v>637.73333400000001</v>
      </c>
      <c r="V22" s="197"/>
      <c r="W22" s="197">
        <f t="shared" si="6"/>
        <v>637.73333400000001</v>
      </c>
      <c r="X22" s="197">
        <f t="shared" si="1"/>
        <v>499.76666599999999</v>
      </c>
      <c r="Y22" s="197">
        <f t="shared" si="2"/>
        <v>829.76666599999999</v>
      </c>
      <c r="Z22" s="973">
        <f t="shared" si="7"/>
        <v>871.79903304087566</v>
      </c>
      <c r="AA22" s="974">
        <f t="shared" si="8"/>
        <v>252.91752167339689</v>
      </c>
      <c r="AB22" s="974">
        <f t="shared" si="9"/>
        <v>488.76949795088683</v>
      </c>
      <c r="AC22" s="974">
        <f t="shared" si="10"/>
        <v>383.02953508998877</v>
      </c>
      <c r="AD22" s="974">
        <f t="shared" si="11"/>
        <v>635.94705676338572</v>
      </c>
      <c r="AE22" s="973">
        <f t="shared" si="13"/>
        <v>4923.2506889839815</v>
      </c>
      <c r="AF22" s="974">
        <f t="shared" si="12"/>
        <v>2899.4159442201048</v>
      </c>
      <c r="AG22" s="974">
        <f t="shared" si="12"/>
        <v>4858.9407132060587</v>
      </c>
      <c r="AH22" s="974">
        <f t="shared" si="12"/>
        <v>64.309975777922148</v>
      </c>
      <c r="AI22" s="975">
        <f t="shared" si="12"/>
        <v>2963.7259199980267</v>
      </c>
    </row>
    <row r="23" spans="2:35" x14ac:dyDescent="0.3">
      <c r="B23" s="900">
        <v>11</v>
      </c>
      <c r="C23" s="918">
        <f>'Energy Inputs'!D40</f>
        <v>0</v>
      </c>
      <c r="D23" s="918">
        <f>C23*'Energy Inputs'!$D$24</f>
        <v>0</v>
      </c>
      <c r="E23" s="197">
        <f>'Energy margins'!$E$12</f>
        <v>43.75</v>
      </c>
      <c r="F23" s="918">
        <f t="shared" si="0"/>
        <v>0</v>
      </c>
      <c r="G23" s="918">
        <v>0</v>
      </c>
      <c r="H23" s="197">
        <f t="shared" si="4"/>
        <v>0</v>
      </c>
      <c r="I23" s="199"/>
      <c r="J23" s="920">
        <f>IF(ISERROR(IF(MOD(IF(AND(B23&gt;='Energy margins'!$F$44,B23&lt;='Energy margins'!$G$44),B23-'Energy margins'!$F$44,""),'Energy margins'!$H$44)=0,'Energy margins'!$E$44,0)),0,IF(MOD(IF(AND(B23&gt;='Energy margins'!$F$44,B23&lt;='Energy margins'!$G$44),B23-'Energy margins'!$F$44,""),'Energy margins'!$H$44)=0,'Energy margins'!$E$44,0))</f>
        <v>0</v>
      </c>
      <c r="K23" s="918">
        <f>IF(ISERROR(IF(MOD(IF(AND(B23&gt;='Energy margins'!$F$45,B23&lt;='Energy margins'!$G$45),B23-'Energy margins'!$F$45,""),'Energy margins'!$H$45)=0,'Energy margins'!$E$45,0)),0,IF(MOD(IF(AND(B23&gt;='Energy margins'!$F$45,B23&lt;='Energy margins'!$G$45),B23-'Energy margins'!$F$45,""),'Energy margins'!$H$45)=0,'Energy margins'!$E$45,0))</f>
        <v>0</v>
      </c>
      <c r="L23" s="918">
        <f>IF(ISERROR(IF(MOD(IF(AND(B23&gt;='Energy margins'!$F$46,B23&lt;='Energy margins'!$G$46),B23-'Energy margins'!$F$46,""),'Energy margins'!$H$46)=0,'Energy margins'!$E$46,0)),0,IF(MOD(IF(AND(B23&gt;='Energy margins'!$F$46,B23&lt;='Energy margins'!$G$46),B23-'Energy margins'!$F$46,""),'Energy margins'!$H$46)=0,'Energy margins'!$E$46,0))</f>
        <v>0</v>
      </c>
      <c r="M23" s="918">
        <f>IF(ISERROR(IF(MOD(IF(AND(B23&gt;='Energy margins'!$F$47,B23&lt;='Energy margins'!$G$47),B23-'Energy margins'!$F$47,""),'Energy margins'!$H$47)=0,'Energy margins'!$E$47,0)),0,IF(MOD(IF(AND(B23&gt;='Energy margins'!$F$47,B23&lt;='Energy margins'!$G$47),B23-'Energy margins'!$F$47,""),'Energy margins'!$H$47)=0,'Energy margins'!$E$47,0))</f>
        <v>0</v>
      </c>
      <c r="N23" s="918">
        <f>IF(ISERROR(IF(MOD(IF(AND(B23&gt;='Energy margins'!$F$50,B23&lt;='Energy margins'!$G$50),B23-'Energy margins'!$F$50,""),'Energy margins'!$H$50)=0,'Energy margins'!$E$50,0)),0,IF(MOD(IF(AND(B23&gt;='Energy margins'!$F$50,B23&lt;='Energy margins'!$G$50),B23-'Energy margins'!$F$50,""),'Energy margins'!$H$50)=0,'Energy margins'!$E$50,0))</f>
        <v>0</v>
      </c>
      <c r="O23" s="918">
        <f>IF(ISERROR(IF(MOD(IF(AND(B23&gt;='Energy margins'!$F$53,B23&lt;='Energy margins'!$G$53),B23-'Energy margins'!$F$53,""),'Energy margins'!$H$53)=0,'Energy margins'!$E$53,0)),0,IF(MOD(IF(AND(B23&gt;='Energy margins'!$F$53,B23&lt;='Energy margins'!$G$53),B23-'Energy margins'!$F$53,""),'Energy margins'!$H$53)=0,'Energy margins'!$E$53,0))</f>
        <v>0</v>
      </c>
      <c r="P23" s="918">
        <f>IF(ISERROR(IF(MOD(IF(AND(B23&gt;='Energy margins'!$F$56,B23&lt;='Energy margins'!$G$56),B23-'Energy margins'!$F$56,""),'Energy margins'!$H$56)=0,'Energy margins'!$E$56,0)),0,IF(MOD(IF(AND(B23&gt;='Energy margins'!$F$56,B23&lt;='Energy margins'!$G$56),B23-'Energy margins'!$F$56,""),'Energy margins'!$H$56)=0,'Energy margins'!$E$56,0))</f>
        <v>0</v>
      </c>
      <c r="Q23" s="918">
        <f>IF(ISERROR(IF(MOD(IF(AND(B23&gt;='Energy margins'!$F$59,B23&lt;='Energy margins'!$G$59),B23-'Energy margins'!$F$59,""),'Energy margins'!$H$59)=0,'Energy margins'!$E$59,0)),0,IF(MOD(IF(AND(B23&gt;='Energy margins'!$F$59,B23&lt;='Energy margins'!$G$59),B23-'Energy margins'!$F$59,""),'Energy margins'!$H$59)=0,'Energy margins'!$E$59,0))</f>
        <v>0</v>
      </c>
      <c r="R23" s="918">
        <f>IF(ISERROR(IF(MOD(IF(AND(B23&gt;='Energy margins'!$F$60,B23&lt;='Energy margins'!$G$60),B23-'Energy margins'!$F$60,""),'Energy margins'!$H$60)=0,'Energy margins'!$E$60,0)),0,IF(MOD(IF(AND(B23&gt;='Energy margins'!$F$60,B23&lt;='Energy margins'!$G$60),B23-'Energy margins'!$F$60,""),'Energy margins'!$H$60)=0,'Energy margins'!$E$60,0))</f>
        <v>0</v>
      </c>
      <c r="S23" s="918">
        <f>IF(ISERROR(IF(MOD(IF(AND(B23&gt;='Energy margins'!$F$61,B23&lt;='Energy margins'!$G$61),B23-'Energy margins'!$F$61,""),'Energy margins'!$H$61)=0,'Energy margins'!$E$61,0)),0,IF(MOD(IF(AND(B23&gt;='Energy margins'!$F$61,B23&lt;='Energy margins'!$G$61),B23-'Energy margins'!$F$61,""),'Energy margins'!$H$61)=0,'Energy margins'!$E$61,0))</f>
        <v>0</v>
      </c>
      <c r="T23" s="918">
        <f>IF(ISERROR(IF(MOD(IF(AND(B23&gt;='Energy margins'!$F$62,B23&lt;='Energy margins'!$G$62),B23-'Energy margins'!$F$62,""),'Energy margins'!$H$62)=0,'Energy margins'!$E$62,0)),0,IF(MOD(IF(AND(B23&gt;='Energy margins'!$F$62,B23&lt;='Energy margins'!$G$62),B23-'Energy margins'!$F$62,""),'Energy margins'!$H$62)=0,'Energy margins'!$E$62,0))</f>
        <v>0</v>
      </c>
      <c r="U23" s="944">
        <f t="shared" si="5"/>
        <v>0</v>
      </c>
      <c r="V23" s="197"/>
      <c r="W23" s="197">
        <f t="shared" si="6"/>
        <v>0</v>
      </c>
      <c r="X23" s="197">
        <f t="shared" si="1"/>
        <v>0</v>
      </c>
      <c r="Y23" s="197">
        <f t="shared" si="2"/>
        <v>0</v>
      </c>
      <c r="Z23" s="973">
        <f t="shared" si="7"/>
        <v>0</v>
      </c>
      <c r="AA23" s="974">
        <f t="shared" si="8"/>
        <v>0</v>
      </c>
      <c r="AB23" s="974">
        <f t="shared" si="9"/>
        <v>0</v>
      </c>
      <c r="AC23" s="974">
        <f t="shared" si="10"/>
        <v>0</v>
      </c>
      <c r="AD23" s="974">
        <f t="shared" si="11"/>
        <v>0</v>
      </c>
      <c r="AE23" s="973">
        <f t="shared" si="13"/>
        <v>4923.2506889839815</v>
      </c>
      <c r="AF23" s="974">
        <f t="shared" si="12"/>
        <v>2899.4159442201048</v>
      </c>
      <c r="AG23" s="974">
        <f t="shared" si="12"/>
        <v>4858.9407132060587</v>
      </c>
      <c r="AH23" s="974">
        <f t="shared" si="12"/>
        <v>64.309975777922148</v>
      </c>
      <c r="AI23" s="975">
        <f t="shared" si="12"/>
        <v>2963.7259199980267</v>
      </c>
    </row>
    <row r="24" spans="2:35" x14ac:dyDescent="0.3">
      <c r="B24" s="900">
        <v>12</v>
      </c>
      <c r="C24" s="918">
        <f>'Energy Inputs'!D41</f>
        <v>1</v>
      </c>
      <c r="D24" s="918">
        <f>C24*'Energy Inputs'!$D$24</f>
        <v>26</v>
      </c>
      <c r="E24" s="197">
        <f>'Energy margins'!$E$12</f>
        <v>43.75</v>
      </c>
      <c r="F24" s="918">
        <f t="shared" si="0"/>
        <v>1137.5</v>
      </c>
      <c r="G24" s="918">
        <v>0</v>
      </c>
      <c r="H24" s="197">
        <f t="shared" si="4"/>
        <v>1137.5</v>
      </c>
      <c r="I24" s="199"/>
      <c r="J24" s="920">
        <f>IF(ISERROR(IF(MOD(IF(AND(B24&gt;='Energy margins'!$F$44,B24&lt;='Energy margins'!$G$44),B24-'Energy margins'!$F$44,""),'Energy margins'!$H$44)=0,'Energy margins'!$E$44,0)),0,IF(MOD(IF(AND(B24&gt;='Energy margins'!$F$44,B24&lt;='Energy margins'!$G$44),B24-'Energy margins'!$F$44,""),'Energy margins'!$H$44)=0,'Energy margins'!$E$44,0))</f>
        <v>0</v>
      </c>
      <c r="K24" s="918">
        <f>IF(ISERROR(IF(MOD(IF(AND(B24&gt;='Energy margins'!$F$45,B24&lt;='Energy margins'!$G$45),B24-'Energy margins'!$F$45,""),'Energy margins'!$H$45)=0,'Energy margins'!$E$45,0)),0,IF(MOD(IF(AND(B24&gt;='Energy margins'!$F$45,B24&lt;='Energy margins'!$G$45),B24-'Energy margins'!$F$45,""),'Energy margins'!$H$45)=0,'Energy margins'!$E$45,0))</f>
        <v>0</v>
      </c>
      <c r="L24" s="918">
        <f>IF(ISERROR(IF(MOD(IF(AND(B24&gt;='Energy margins'!$F$46,B24&lt;='Energy margins'!$G$46),B24-'Energy margins'!$F$46,""),'Energy margins'!$H$46)=0,'Energy margins'!$E$46,0)),0,IF(MOD(IF(AND(B24&gt;='Energy margins'!$F$46,B24&lt;='Energy margins'!$G$46),B24-'Energy margins'!$F$46,""),'Energy margins'!$H$46)=0,'Energy margins'!$E$46,0))</f>
        <v>0</v>
      </c>
      <c r="M24" s="918">
        <f>IF(ISERROR(IF(MOD(IF(AND(B24&gt;='Energy margins'!$F$47,B24&lt;='Energy margins'!$G$47),B24-'Energy margins'!$F$47,""),'Energy margins'!$H$47)=0,'Energy margins'!$E$47,0)),0,IF(MOD(IF(AND(B24&gt;='Energy margins'!$F$47,B24&lt;='Energy margins'!$G$47),B24-'Energy margins'!$F$47,""),'Energy margins'!$H$47)=0,'Energy margins'!$E$47,0))</f>
        <v>19.974783999999993</v>
      </c>
      <c r="N24" s="918">
        <f>IF(ISERROR(IF(MOD(IF(AND(B24&gt;='Energy margins'!$F$50,B24&lt;='Energy margins'!$G$50),B24-'Energy margins'!$F$50,""),'Energy margins'!$H$50)=0,'Energy margins'!$E$50,0)),0,IF(MOD(IF(AND(B24&gt;='Energy margins'!$F$50,B24&lt;='Energy margins'!$G$50),B24-'Energy margins'!$F$50,""),'Energy margins'!$H$50)=0,'Energy margins'!$E$50,0))</f>
        <v>66.308399999999992</v>
      </c>
      <c r="O24" s="918">
        <f>IF(ISERROR(IF(MOD(IF(AND(B24&gt;='Energy margins'!$F$53,B24&lt;='Energy margins'!$G$53),B24-'Energy margins'!$F$53,""),'Energy margins'!$H$53)=0,'Energy margins'!$E$53,0)),0,IF(MOD(IF(AND(B24&gt;='Energy margins'!$F$53,B24&lt;='Energy margins'!$G$53),B24-'Energy margins'!$F$53,""),'Energy margins'!$H$53)=0,'Energy margins'!$E$53,0))</f>
        <v>39.838149999999999</v>
      </c>
      <c r="P24" s="918">
        <f>IF(ISERROR(IF(MOD(IF(AND(B24&gt;='Energy margins'!$F$56,B24&lt;='Energy margins'!$G$56),B24-'Energy margins'!$F$56,""),'Energy margins'!$H$56)=0,'Energy margins'!$E$56,0)),0,IF(MOD(IF(AND(B24&gt;='Energy margins'!$F$56,B24&lt;='Energy margins'!$G$56),B24-'Energy margins'!$F$56,""),'Energy margins'!$H$56)=0,'Energy margins'!$E$56,0))</f>
        <v>36.611999999999995</v>
      </c>
      <c r="Q24" s="918">
        <f>IF(ISERROR(IF(MOD(IF(AND(B24&gt;='Energy margins'!$F$59,B24&lt;='Energy margins'!$G$59),B24-'Energy margins'!$F$59,""),'Energy margins'!$H$59)=0,'Energy margins'!$E$59,0)),0,IF(MOD(IF(AND(B24&gt;='Energy margins'!$F$59,B24&lt;='Energy margins'!$G$59),B24-'Energy margins'!$F$59,""),'Energy margins'!$H$59)=0,'Energy margins'!$E$59,0))</f>
        <v>475</v>
      </c>
      <c r="R24" s="918">
        <f>IF(ISERROR(IF(MOD(IF(AND(B24&gt;='Energy margins'!$F$60,B24&lt;='Energy margins'!$G$60),B24-'Energy margins'!$F$60,""),'Energy margins'!$H$60)=0,'Energy margins'!$E$60,0)),0,IF(MOD(IF(AND(B24&gt;='Energy margins'!$F$60,B24&lt;='Energy margins'!$G$60),B24-'Energy margins'!$F$60,""),'Energy margins'!$H$60)=0,'Energy margins'!$E$60,0))</f>
        <v>0</v>
      </c>
      <c r="S24" s="918">
        <f>IF(ISERROR(IF(MOD(IF(AND(B24&gt;='Energy margins'!$F$61,B24&lt;='Energy margins'!$G$61),B24-'Energy margins'!$F$61,""),'Energy margins'!$H$61)=0,'Energy margins'!$E$61,0)),0,IF(MOD(IF(AND(B24&gt;='Energy margins'!$F$61,B24&lt;='Energy margins'!$G$61),B24-'Energy margins'!$F$61,""),'Energy margins'!$H$61)=0,'Energy margins'!$E$61,0))</f>
        <v>0</v>
      </c>
      <c r="T24" s="918">
        <f>IF(ISERROR(IF(MOD(IF(AND(B24&gt;='Energy margins'!$F$62,B24&lt;='Energy margins'!$G$62),B24-'Energy margins'!$F$62,""),'Energy margins'!$H$62)=0,'Energy margins'!$E$62,0)),0,IF(MOD(IF(AND(B24&gt;='Energy margins'!$F$62,B24&lt;='Energy margins'!$G$62),B24-'Energy margins'!$F$62,""),'Energy margins'!$H$62)=0,'Energy margins'!$E$62,0))</f>
        <v>0</v>
      </c>
      <c r="U24" s="944">
        <f t="shared" si="5"/>
        <v>637.73333400000001</v>
      </c>
      <c r="V24" s="197"/>
      <c r="W24" s="197">
        <f t="shared" si="6"/>
        <v>637.73333400000001</v>
      </c>
      <c r="X24" s="197">
        <f t="shared" si="1"/>
        <v>499.76666599999999</v>
      </c>
      <c r="Y24" s="197">
        <f t="shared" si="2"/>
        <v>499.76666599999999</v>
      </c>
      <c r="Z24" s="973">
        <f t="shared" si="7"/>
        <v>821.75420213109214</v>
      </c>
      <c r="AA24" s="974">
        <f t="shared" si="8"/>
        <v>0</v>
      </c>
      <c r="AB24" s="974">
        <f t="shared" si="9"/>
        <v>460.71212927786485</v>
      </c>
      <c r="AC24" s="974">
        <f t="shared" si="10"/>
        <v>361.04207285322724</v>
      </c>
      <c r="AD24" s="974">
        <f t="shared" si="11"/>
        <v>361.04207285322724</v>
      </c>
      <c r="AE24" s="973">
        <f t="shared" si="13"/>
        <v>5745.0048911150734</v>
      </c>
      <c r="AF24" s="974">
        <f t="shared" si="12"/>
        <v>2899.4159442201048</v>
      </c>
      <c r="AG24" s="974">
        <f t="shared" si="12"/>
        <v>5319.6528424839235</v>
      </c>
      <c r="AH24" s="974">
        <f t="shared" si="12"/>
        <v>425.35204863114939</v>
      </c>
      <c r="AI24" s="975">
        <f t="shared" si="12"/>
        <v>3324.7679928512539</v>
      </c>
    </row>
    <row r="25" spans="2:35" x14ac:dyDescent="0.3">
      <c r="B25" s="900">
        <v>13</v>
      </c>
      <c r="C25" s="918">
        <f>'Energy Inputs'!D42</f>
        <v>0</v>
      </c>
      <c r="D25" s="918">
        <f>C25*'Energy Inputs'!$D$24</f>
        <v>0</v>
      </c>
      <c r="E25" s="197">
        <f>'Energy margins'!$E$12</f>
        <v>43.75</v>
      </c>
      <c r="F25" s="918">
        <f t="shared" si="0"/>
        <v>0</v>
      </c>
      <c r="G25" s="918">
        <v>0</v>
      </c>
      <c r="H25" s="197">
        <f t="shared" si="4"/>
        <v>0</v>
      </c>
      <c r="I25" s="199"/>
      <c r="J25" s="920">
        <f>IF(ISERROR(IF(MOD(IF(AND(B25&gt;='Energy margins'!$F$44,B25&lt;='Energy margins'!$G$44),B25-'Energy margins'!$F$44,""),'Energy margins'!$H$44)=0,'Energy margins'!$E$44,0)),0,IF(MOD(IF(AND(B25&gt;='Energy margins'!$F$44,B25&lt;='Energy margins'!$G$44),B25-'Energy margins'!$F$44,""),'Energy margins'!$H$44)=0,'Energy margins'!$E$44,0))</f>
        <v>0</v>
      </c>
      <c r="K25" s="918">
        <f>IF(ISERROR(IF(MOD(IF(AND(B25&gt;='Energy margins'!$F$45,B25&lt;='Energy margins'!$G$45),B25-'Energy margins'!$F$45,""),'Energy margins'!$H$45)=0,'Energy margins'!$E$45,0)),0,IF(MOD(IF(AND(B25&gt;='Energy margins'!$F$45,B25&lt;='Energy margins'!$G$45),B25-'Energy margins'!$F$45,""),'Energy margins'!$H$45)=0,'Energy margins'!$E$45,0))</f>
        <v>0</v>
      </c>
      <c r="L25" s="918">
        <f>IF(ISERROR(IF(MOD(IF(AND(B25&gt;='Energy margins'!$F$46,B25&lt;='Energy margins'!$G$46),B25-'Energy margins'!$F$46,""),'Energy margins'!$H$46)=0,'Energy margins'!$E$46,0)),0,IF(MOD(IF(AND(B25&gt;='Energy margins'!$F$46,B25&lt;='Energy margins'!$G$46),B25-'Energy margins'!$F$46,""),'Energy margins'!$H$46)=0,'Energy margins'!$E$46,0))</f>
        <v>0</v>
      </c>
      <c r="M25" s="918">
        <f>IF(ISERROR(IF(MOD(IF(AND(B25&gt;='Energy margins'!$F$47,B25&lt;='Energy margins'!$G$47),B25-'Energy margins'!$F$47,""),'Energy margins'!$H$47)=0,'Energy margins'!$E$47,0)),0,IF(MOD(IF(AND(B25&gt;='Energy margins'!$F$47,B25&lt;='Energy margins'!$G$47),B25-'Energy margins'!$F$47,""),'Energy margins'!$H$47)=0,'Energy margins'!$E$47,0))</f>
        <v>0</v>
      </c>
      <c r="N25" s="918">
        <f>IF(ISERROR(IF(MOD(IF(AND(B25&gt;='Energy margins'!$F$50,B25&lt;='Energy margins'!$G$50),B25-'Energy margins'!$F$50,""),'Energy margins'!$H$50)=0,'Energy margins'!$E$50,0)),0,IF(MOD(IF(AND(B25&gt;='Energy margins'!$F$50,B25&lt;='Energy margins'!$G$50),B25-'Energy margins'!$F$50,""),'Energy margins'!$H$50)=0,'Energy margins'!$E$50,0))</f>
        <v>0</v>
      </c>
      <c r="O25" s="918">
        <f>IF(ISERROR(IF(MOD(IF(AND(B25&gt;='Energy margins'!$F$53,B25&lt;='Energy margins'!$G$53),B25-'Energy margins'!$F$53,""),'Energy margins'!$H$53)=0,'Energy margins'!$E$53,0)),0,IF(MOD(IF(AND(B25&gt;='Energy margins'!$F$53,B25&lt;='Energy margins'!$G$53),B25-'Energy margins'!$F$53,""),'Energy margins'!$H$53)=0,'Energy margins'!$E$53,0))</f>
        <v>0</v>
      </c>
      <c r="P25" s="918">
        <f>IF(ISERROR(IF(MOD(IF(AND(B25&gt;='Energy margins'!$F$56,B25&lt;='Energy margins'!$G$56),B25-'Energy margins'!$F$56,""),'Energy margins'!$H$56)=0,'Energy margins'!$E$56,0)),0,IF(MOD(IF(AND(B25&gt;='Energy margins'!$F$56,B25&lt;='Energy margins'!$G$56),B25-'Energy margins'!$F$56,""),'Energy margins'!$H$56)=0,'Energy margins'!$E$56,0))</f>
        <v>0</v>
      </c>
      <c r="Q25" s="918">
        <f>IF(ISERROR(IF(MOD(IF(AND(B25&gt;='Energy margins'!$F$59,B25&lt;='Energy margins'!$G$59),B25-'Energy margins'!$F$59,""),'Energy margins'!$H$59)=0,'Energy margins'!$E$59,0)),0,IF(MOD(IF(AND(B25&gt;='Energy margins'!$F$59,B25&lt;='Energy margins'!$G$59),B25-'Energy margins'!$F$59,""),'Energy margins'!$H$59)=0,'Energy margins'!$E$59,0))</f>
        <v>0</v>
      </c>
      <c r="R25" s="918">
        <f>IF(ISERROR(IF(MOD(IF(AND(B25&gt;='Energy margins'!$F$60,B25&lt;='Energy margins'!$G$60),B25-'Energy margins'!$F$60,""),'Energy margins'!$H$60)=0,'Energy margins'!$E$60,0)),0,IF(MOD(IF(AND(B25&gt;='Energy margins'!$F$60,B25&lt;='Energy margins'!$G$60),B25-'Energy margins'!$F$60,""),'Energy margins'!$H$60)=0,'Energy margins'!$E$60,0))</f>
        <v>0</v>
      </c>
      <c r="S25" s="918">
        <f>IF(ISERROR(IF(MOD(IF(AND(B25&gt;='Energy margins'!$F$61,B25&lt;='Energy margins'!$G$61),B25-'Energy margins'!$F$61,""),'Energy margins'!$H$61)=0,'Energy margins'!$E$61,0)),0,IF(MOD(IF(AND(B25&gt;='Energy margins'!$F$61,B25&lt;='Energy margins'!$G$61),B25-'Energy margins'!$F$61,""),'Energy margins'!$H$61)=0,'Energy margins'!$E$61,0))</f>
        <v>0</v>
      </c>
      <c r="T25" s="918">
        <f>IF(ISERROR(IF(MOD(IF(AND(B25&gt;='Energy margins'!$F$62,B25&lt;='Energy margins'!$G$62),B25-'Energy margins'!$F$62,""),'Energy margins'!$H$62)=0,'Energy margins'!$E$62,0)),0,IF(MOD(IF(AND(B25&gt;='Energy margins'!$F$62,B25&lt;='Energy margins'!$G$62),B25-'Energy margins'!$F$62,""),'Energy margins'!$H$62)=0,'Energy margins'!$E$62,0))</f>
        <v>0</v>
      </c>
      <c r="U25" s="944">
        <f t="shared" si="5"/>
        <v>0</v>
      </c>
      <c r="V25" s="197"/>
      <c r="W25" s="197">
        <f t="shared" si="6"/>
        <v>0</v>
      </c>
      <c r="X25" s="197">
        <f t="shared" si="1"/>
        <v>0</v>
      </c>
      <c r="Y25" s="197">
        <f t="shared" si="2"/>
        <v>0</v>
      </c>
      <c r="Z25" s="973">
        <f t="shared" si="7"/>
        <v>0</v>
      </c>
      <c r="AA25" s="974">
        <f t="shared" si="8"/>
        <v>0</v>
      </c>
      <c r="AB25" s="974">
        <f t="shared" si="9"/>
        <v>0</v>
      </c>
      <c r="AC25" s="974">
        <f t="shared" si="10"/>
        <v>0</v>
      </c>
      <c r="AD25" s="974">
        <f t="shared" si="11"/>
        <v>0</v>
      </c>
      <c r="AE25" s="973">
        <f t="shared" si="13"/>
        <v>5745.0048911150734</v>
      </c>
      <c r="AF25" s="974">
        <f t="shared" si="12"/>
        <v>2899.4159442201048</v>
      </c>
      <c r="AG25" s="974">
        <f t="shared" si="12"/>
        <v>5319.6528424839235</v>
      </c>
      <c r="AH25" s="974">
        <f t="shared" si="12"/>
        <v>425.35204863114939</v>
      </c>
      <c r="AI25" s="975">
        <f t="shared" si="12"/>
        <v>3324.7679928512539</v>
      </c>
    </row>
    <row r="26" spans="2:35" x14ac:dyDescent="0.3">
      <c r="B26" s="900">
        <v>14</v>
      </c>
      <c r="C26" s="918">
        <f>'Energy Inputs'!D43</f>
        <v>1</v>
      </c>
      <c r="D26" s="918">
        <f>C26*'Energy Inputs'!$D$24</f>
        <v>26</v>
      </c>
      <c r="E26" s="197">
        <f>'Energy margins'!$E$12</f>
        <v>43.75</v>
      </c>
      <c r="F26" s="918">
        <f>D26*E26</f>
        <v>1137.5</v>
      </c>
      <c r="G26" s="918">
        <v>0</v>
      </c>
      <c r="H26" s="197">
        <f t="shared" si="4"/>
        <v>1137.5</v>
      </c>
      <c r="I26" s="199"/>
      <c r="J26" s="920">
        <f>IF(ISERROR(IF(MOD(IF(AND(B26&gt;='Energy margins'!$F$44,B26&lt;='Energy margins'!$G$44),B26-'Energy margins'!$F$44,""),'Energy margins'!$H$44)=0,'Energy margins'!$E$44,0)),0,IF(MOD(IF(AND(B26&gt;='Energy margins'!$F$44,B26&lt;='Energy margins'!$G$44),B26-'Energy margins'!$F$44,""),'Energy margins'!$H$44)=0,'Energy margins'!$E$44,0))</f>
        <v>0</v>
      </c>
      <c r="K26" s="918">
        <f>IF(ISERROR(IF(MOD(IF(AND(B26&gt;='Energy margins'!$F$45,B26&lt;='Energy margins'!$G$45),B26-'Energy margins'!$F$45,""),'Energy margins'!$H$45)=0,'Energy margins'!$E$45,0)),0,IF(MOD(IF(AND(B26&gt;='Energy margins'!$F$45,B26&lt;='Energy margins'!$G$45),B26-'Energy margins'!$F$45,""),'Energy margins'!$H$45)=0,'Energy margins'!$E$45,0))</f>
        <v>0</v>
      </c>
      <c r="L26" s="918">
        <f>IF(ISERROR(IF(MOD(IF(AND(B26&gt;='Energy margins'!$F$46,B26&lt;='Energy margins'!$G$46),B26-'Energy margins'!$F$46,""),'Energy margins'!$H$46)=0,'Energy margins'!$E$46,0)),0,IF(MOD(IF(AND(B26&gt;='Energy margins'!$F$46,B26&lt;='Energy margins'!$G$46),B26-'Energy margins'!$F$46,""),'Energy margins'!$H$46)=0,'Energy margins'!$E$46,0))</f>
        <v>0</v>
      </c>
      <c r="M26" s="918">
        <f>IF(ISERROR(IF(MOD(IF(AND(B26&gt;='Energy margins'!$F$47,B26&lt;='Energy margins'!$G$47),B26-'Energy margins'!$F$47,""),'Energy margins'!$H$47)=0,'Energy margins'!$E$47,0)),0,IF(MOD(IF(AND(B26&gt;='Energy margins'!$F$47,B26&lt;='Energy margins'!$G$47),B26-'Energy margins'!$F$47,""),'Energy margins'!$H$47)=0,'Energy margins'!$E$47,0))</f>
        <v>19.974783999999993</v>
      </c>
      <c r="N26" s="918">
        <f>IF(ISERROR(IF(MOD(IF(AND(B26&gt;='Energy margins'!$F$50,B26&lt;='Energy margins'!$G$50),B26-'Energy margins'!$F$50,""),'Energy margins'!$H$50)=0,'Energy margins'!$E$50,0)),0,IF(MOD(IF(AND(B26&gt;='Energy margins'!$F$50,B26&lt;='Energy margins'!$G$50),B26-'Energy margins'!$F$50,""),'Energy margins'!$H$50)=0,'Energy margins'!$E$50,0))</f>
        <v>66.308399999999992</v>
      </c>
      <c r="O26" s="918">
        <f>IF(ISERROR(IF(MOD(IF(AND(B26&gt;='Energy margins'!$F$53,B26&lt;='Energy margins'!$G$53),B26-'Energy margins'!$F$53,""),'Energy margins'!$H$53)=0,'Energy margins'!$E$53,0)),0,IF(MOD(IF(AND(B26&gt;='Energy margins'!$F$53,B26&lt;='Energy margins'!$G$53),B26-'Energy margins'!$F$53,""),'Energy margins'!$H$53)=0,'Energy margins'!$E$53,0))</f>
        <v>39.838149999999999</v>
      </c>
      <c r="P26" s="918">
        <f>IF(ISERROR(IF(MOD(IF(AND(B26&gt;='Energy margins'!$F$56,B26&lt;='Energy margins'!$G$56),B26-'Energy margins'!$F$56,""),'Energy margins'!$H$56)=0,'Energy margins'!$E$56,0)),0,IF(MOD(IF(AND(B26&gt;='Energy margins'!$F$56,B26&lt;='Energy margins'!$G$56),B26-'Energy margins'!$F$56,""),'Energy margins'!$H$56)=0,'Energy margins'!$E$56,0))</f>
        <v>36.611999999999995</v>
      </c>
      <c r="Q26" s="918">
        <f>IF(ISERROR(IF(MOD(IF(AND(B26&gt;='Energy margins'!$F$59,B26&lt;='Energy margins'!$G$59),B26-'Energy margins'!$F$59,""),'Energy margins'!$H$59)=0,'Energy margins'!$E$59,0)),0,IF(MOD(IF(AND(B26&gt;='Energy margins'!$F$59,B26&lt;='Energy margins'!$G$59),B26-'Energy margins'!$F$59,""),'Energy margins'!$H$59)=0,'Energy margins'!$E$59,0))</f>
        <v>475</v>
      </c>
      <c r="R26" s="918">
        <f>IF(ISERROR(IF(MOD(IF(AND(B26&gt;='Energy margins'!$F$60,B26&lt;='Energy margins'!$G$60),B26-'Energy margins'!$F$60,""),'Energy margins'!$H$60)=0,'Energy margins'!$E$60,0)),0,IF(MOD(IF(AND(B26&gt;='Energy margins'!$F$60,B26&lt;='Energy margins'!$G$60),B26-'Energy margins'!$F$60,""),'Energy margins'!$H$60)=0,'Energy margins'!$E$60,0))</f>
        <v>0</v>
      </c>
      <c r="S26" s="918">
        <f>IF(ISERROR(IF(MOD(IF(AND(B26&gt;='Energy margins'!$F$61,B26&lt;='Energy margins'!$G$61),B26-'Energy margins'!$F$61,""),'Energy margins'!$H$61)=0,'Energy margins'!$E$61,0)),0,IF(MOD(IF(AND(B26&gt;='Energy margins'!$F$61,B26&lt;='Energy margins'!$G$61),B26-'Energy margins'!$F$61,""),'Energy margins'!$H$61)=0,'Energy margins'!$E$61,0))</f>
        <v>0</v>
      </c>
      <c r="T26" s="918">
        <f>IF(ISERROR(IF(MOD(IF(AND(B26&gt;='Energy margins'!$F$62,B26&lt;='Energy margins'!$G$62),B26-'Energy margins'!$F$62,""),'Energy margins'!$H$62)=0,'Energy margins'!$E$62,0)),0,IF(MOD(IF(AND(B26&gt;='Energy margins'!$F$62,B26&lt;='Energy margins'!$G$62),B26-'Energy margins'!$F$62,""),'Energy margins'!$H$62)=0,'Energy margins'!$E$62,0))</f>
        <v>0</v>
      </c>
      <c r="U26" s="944">
        <f t="shared" si="5"/>
        <v>637.73333400000001</v>
      </c>
      <c r="V26" s="197"/>
      <c r="W26" s="197">
        <f t="shared" si="6"/>
        <v>637.73333400000001</v>
      </c>
      <c r="X26" s="197">
        <f t="shared" si="1"/>
        <v>499.76666599999999</v>
      </c>
      <c r="Y26" s="197">
        <f t="shared" si="2"/>
        <v>499.76666599999999</v>
      </c>
      <c r="Z26" s="973">
        <f t="shared" si="7"/>
        <v>774.58214924223989</v>
      </c>
      <c r="AA26" s="974">
        <f t="shared" si="8"/>
        <v>0</v>
      </c>
      <c r="AB26" s="974">
        <f t="shared" si="9"/>
        <v>434.26536834561688</v>
      </c>
      <c r="AC26" s="974">
        <f t="shared" si="10"/>
        <v>340.31678089662296</v>
      </c>
      <c r="AD26" s="974">
        <f t="shared" si="11"/>
        <v>340.31678089662296</v>
      </c>
      <c r="AE26" s="973">
        <f t="shared" si="13"/>
        <v>6519.5870403573135</v>
      </c>
      <c r="AF26" s="974">
        <f t="shared" si="12"/>
        <v>2899.4159442201048</v>
      </c>
      <c r="AG26" s="974">
        <f t="shared" si="12"/>
        <v>5753.9182108295399</v>
      </c>
      <c r="AH26" s="974">
        <f t="shared" si="12"/>
        <v>765.66882952777235</v>
      </c>
      <c r="AI26" s="975">
        <f t="shared" si="12"/>
        <v>3665.0847737478771</v>
      </c>
    </row>
    <row r="27" spans="2:35" x14ac:dyDescent="0.3">
      <c r="B27" s="900">
        <v>15</v>
      </c>
      <c r="C27" s="918">
        <f>'Energy Inputs'!D44</f>
        <v>0</v>
      </c>
      <c r="D27" s="918">
        <f>C27*'Energy Inputs'!$D$24</f>
        <v>0</v>
      </c>
      <c r="E27" s="197">
        <f>'Energy margins'!$E$12</f>
        <v>43.75</v>
      </c>
      <c r="F27" s="918">
        <f t="shared" si="0"/>
        <v>0</v>
      </c>
      <c r="G27" s="918">
        <v>0</v>
      </c>
      <c r="H27" s="197">
        <f t="shared" si="4"/>
        <v>0</v>
      </c>
      <c r="I27" s="199"/>
      <c r="J27" s="920">
        <f>IF(ISERROR(IF(MOD(IF(AND(B27&gt;='Energy margins'!$F$44,B27&lt;='Energy margins'!$G$44),B27-'Energy margins'!$F$44,""),'Energy margins'!$H$44)=0,'Energy margins'!$E$44,0)),0,IF(MOD(IF(AND(B27&gt;='Energy margins'!$F$44,B27&lt;='Energy margins'!$G$44),B27-'Energy margins'!$F$44,""),'Energy margins'!$H$44)=0,'Energy margins'!$E$44,0))</f>
        <v>0</v>
      </c>
      <c r="K27" s="918">
        <f>IF(ISERROR(IF(MOD(IF(AND(B27&gt;='Energy margins'!$F$45,B27&lt;='Energy margins'!$G$45),B27-'Energy margins'!$F$45,""),'Energy margins'!$H$45)=0,'Energy margins'!$E$45,0)),0,IF(MOD(IF(AND(B27&gt;='Energy margins'!$F$45,B27&lt;='Energy margins'!$G$45),B27-'Energy margins'!$F$45,""),'Energy margins'!$H$45)=0,'Energy margins'!$E$45,0))</f>
        <v>0</v>
      </c>
      <c r="L27" s="918">
        <f>IF(ISERROR(IF(MOD(IF(AND(B27&gt;='Energy margins'!$F$46,B27&lt;='Energy margins'!$G$46),B27-'Energy margins'!$F$46,""),'Energy margins'!$H$46)=0,'Energy margins'!$E$46,0)),0,IF(MOD(IF(AND(B27&gt;='Energy margins'!$F$46,B27&lt;='Energy margins'!$G$46),B27-'Energy margins'!$F$46,""),'Energy margins'!$H$46)=0,'Energy margins'!$E$46,0))</f>
        <v>0</v>
      </c>
      <c r="M27" s="918">
        <f>IF(ISERROR(IF(MOD(IF(AND(B27&gt;='Energy margins'!$F$47,B27&lt;='Energy margins'!$G$47),B27-'Energy margins'!$F$47,""),'Energy margins'!$H$47)=0,'Energy margins'!$E$47,0)),0,IF(MOD(IF(AND(B27&gt;='Energy margins'!$F$47,B27&lt;='Energy margins'!$G$47),B27-'Energy margins'!$F$47,""),'Energy margins'!$H$47)=0,'Energy margins'!$E$47,0))</f>
        <v>0</v>
      </c>
      <c r="N27" s="918">
        <f>IF(ISERROR(IF(MOD(IF(AND(B27&gt;='Energy margins'!$F$50,B27&lt;='Energy margins'!$G$50),B27-'Energy margins'!$F$50,""),'Energy margins'!$H$50)=0,'Energy margins'!$E$50,0)),0,IF(MOD(IF(AND(B27&gt;='Energy margins'!$F$50,B27&lt;='Energy margins'!$G$50),B27-'Energy margins'!$F$50,""),'Energy margins'!$H$50)=0,'Energy margins'!$E$50,0))</f>
        <v>0</v>
      </c>
      <c r="O27" s="918">
        <f>IF(ISERROR(IF(MOD(IF(AND(B27&gt;='Energy margins'!$F$53,B27&lt;='Energy margins'!$G$53),B27-'Energy margins'!$F$53,""),'Energy margins'!$H$53)=0,'Energy margins'!$E$53,0)),0,IF(MOD(IF(AND(B27&gt;='Energy margins'!$F$53,B27&lt;='Energy margins'!$G$53),B27-'Energy margins'!$F$53,""),'Energy margins'!$H$53)=0,'Energy margins'!$E$53,0))</f>
        <v>0</v>
      </c>
      <c r="P27" s="918">
        <f>IF(ISERROR(IF(MOD(IF(AND(B27&gt;='Energy margins'!$F$56,B27&lt;='Energy margins'!$G$56),B27-'Energy margins'!$F$56,""),'Energy margins'!$H$56)=0,'Energy margins'!$E$56,0)),0,IF(MOD(IF(AND(B27&gt;='Energy margins'!$F$56,B27&lt;='Energy margins'!$G$56),B27-'Energy margins'!$F$56,""),'Energy margins'!$H$56)=0,'Energy margins'!$E$56,0))</f>
        <v>0</v>
      </c>
      <c r="Q27" s="918">
        <f>IF(ISERROR(IF(MOD(IF(AND(B27&gt;='Energy margins'!$F$59,B27&lt;='Energy margins'!$G$59),B27-'Energy margins'!$F$59,""),'Energy margins'!$H$59)=0,'Energy margins'!$E$59,0)),0,IF(MOD(IF(AND(B27&gt;='Energy margins'!$F$59,B27&lt;='Energy margins'!$G$59),B27-'Energy margins'!$F$59,""),'Energy margins'!$H$59)=0,'Energy margins'!$E$59,0))</f>
        <v>0</v>
      </c>
      <c r="R27" s="918">
        <f>IF(ISERROR(IF(MOD(IF(AND(B27&gt;='Energy margins'!$F$60,B27&lt;='Energy margins'!$G$60),B27-'Energy margins'!$F$60,""),'Energy margins'!$H$60)=0,'Energy margins'!$E$60,0)),0,IF(MOD(IF(AND(B27&gt;='Energy margins'!$F$60,B27&lt;='Energy margins'!$G$60),B27-'Energy margins'!$F$60,""),'Energy margins'!$H$60)=0,'Energy margins'!$E$60,0))</f>
        <v>0</v>
      </c>
      <c r="S27" s="918">
        <f>IF(ISERROR(IF(MOD(IF(AND(B27&gt;='Energy margins'!$F$61,B27&lt;='Energy margins'!$G$61),B27-'Energy margins'!$F$61,""),'Energy margins'!$H$61)=0,'Energy margins'!$E$61,0)),0,IF(MOD(IF(AND(B27&gt;='Energy margins'!$F$61,B27&lt;='Energy margins'!$G$61),B27-'Energy margins'!$F$61,""),'Energy margins'!$H$61)=0,'Energy margins'!$E$61,0))</f>
        <v>0</v>
      </c>
      <c r="T27" s="918">
        <f>IF(ISERROR(IF(MOD(IF(AND(B27&gt;='Energy margins'!$F$62,B27&lt;='Energy margins'!$G$62),B27-'Energy margins'!$F$62,""),'Energy margins'!$H$62)=0,'Energy margins'!$E$62,0)),0,IF(MOD(IF(AND(B27&gt;='Energy margins'!$F$62,B27&lt;='Energy margins'!$G$62),B27-'Energy margins'!$F$62,""),'Energy margins'!$H$62)=0,'Energy margins'!$E$62,0))</f>
        <v>0</v>
      </c>
      <c r="U27" s="944">
        <f t="shared" si="5"/>
        <v>0</v>
      </c>
      <c r="V27" s="197"/>
      <c r="W27" s="197">
        <f t="shared" si="6"/>
        <v>0</v>
      </c>
      <c r="X27" s="197">
        <f t="shared" si="1"/>
        <v>0</v>
      </c>
      <c r="Y27" s="197">
        <f t="shared" si="2"/>
        <v>0</v>
      </c>
      <c r="Z27" s="973">
        <f t="shared" si="7"/>
        <v>0</v>
      </c>
      <c r="AA27" s="974">
        <f t="shared" si="8"/>
        <v>0</v>
      </c>
      <c r="AB27" s="974">
        <f t="shared" si="9"/>
        <v>0</v>
      </c>
      <c r="AC27" s="974">
        <f t="shared" si="10"/>
        <v>0</v>
      </c>
      <c r="AD27" s="974">
        <f t="shared" si="11"/>
        <v>0</v>
      </c>
      <c r="AE27" s="973">
        <f t="shared" si="13"/>
        <v>6519.5870403573135</v>
      </c>
      <c r="AF27" s="974">
        <f t="shared" si="12"/>
        <v>2899.4159442201048</v>
      </c>
      <c r="AG27" s="974">
        <f t="shared" si="12"/>
        <v>5753.9182108295399</v>
      </c>
      <c r="AH27" s="974">
        <f t="shared" si="12"/>
        <v>765.66882952777235</v>
      </c>
      <c r="AI27" s="975">
        <f t="shared" si="12"/>
        <v>3665.0847737478771</v>
      </c>
    </row>
    <row r="28" spans="2:35" x14ac:dyDescent="0.3">
      <c r="B28" s="901">
        <v>16</v>
      </c>
      <c r="C28" s="919">
        <f>'Energy Inputs'!D45</f>
        <v>1</v>
      </c>
      <c r="D28" s="919">
        <f>C28*'Energy Inputs'!$D$24</f>
        <v>26</v>
      </c>
      <c r="E28" s="207">
        <f>'Energy margins'!$E$12</f>
        <v>43.75</v>
      </c>
      <c r="F28" s="919">
        <f t="shared" si="0"/>
        <v>1137.5</v>
      </c>
      <c r="G28" s="919">
        <v>0</v>
      </c>
      <c r="H28" s="207">
        <f t="shared" si="4"/>
        <v>1137.5</v>
      </c>
      <c r="I28" s="209"/>
      <c r="J28" s="921">
        <f>IF(ISERROR(IF(MOD(IF(AND(B28&gt;='Energy margins'!$F$44,B28&lt;='Energy margins'!$G$44),B28-'Energy margins'!$F$44,""),'Energy margins'!$H$44)=0,'Energy margins'!$E$44,0)),0,IF(MOD(IF(AND(B28&gt;='Energy margins'!$F$44,B28&lt;='Energy margins'!$G$44),B28-'Energy margins'!$F$44,""),'Energy margins'!$H$44)=0,'Energy margins'!$E$44,0))</f>
        <v>0</v>
      </c>
      <c r="K28" s="919">
        <f>IF(ISERROR(IF(MOD(IF(AND(B28&gt;='Energy margins'!$F$45,B28&lt;='Energy margins'!$G$45),B28-'Energy margins'!$F$45,""),'Energy margins'!$H$45)=0,'Energy margins'!$E$45,0)),0,IF(MOD(IF(AND(B28&gt;='Energy margins'!$F$45,B28&lt;='Energy margins'!$G$45),B28-'Energy margins'!$F$45,""),'Energy margins'!$H$45)=0,'Energy margins'!$E$45,0))</f>
        <v>0</v>
      </c>
      <c r="L28" s="919">
        <f>IF(ISERROR(IF(MOD(IF(AND(B28&gt;='Energy margins'!$F$46,B28&lt;='Energy margins'!$G$46),B28-'Energy margins'!$F$46,""),'Energy margins'!$H$46)=0,'Energy margins'!$E$46,0)),0,IF(MOD(IF(AND(B28&gt;='Energy margins'!$F$46,B28&lt;='Energy margins'!$G$46),B28-'Energy margins'!$F$46,""),'Energy margins'!$H$46)=0,'Energy margins'!$E$46,0))</f>
        <v>0</v>
      </c>
      <c r="M28" s="919">
        <f>IF(ISERROR(IF(MOD(IF(AND(B28&gt;='Energy margins'!$F$47,B28&lt;='Energy margins'!$G$47),B28-'Energy margins'!$F$47,""),'Energy margins'!$H$47)=0,'Energy margins'!$E$47,0)),0,IF(MOD(IF(AND(B28&gt;='Energy margins'!$F$47,B28&lt;='Energy margins'!$G$47),B28-'Energy margins'!$F$47,""),'Energy margins'!$H$47)=0,'Energy margins'!$E$47,0))</f>
        <v>19.974783999999993</v>
      </c>
      <c r="N28" s="919">
        <f>IF(ISERROR(IF(MOD(IF(AND(B28&gt;='Energy margins'!$F$50,B28&lt;='Energy margins'!$G$50),B28-'Energy margins'!$F$50,""),'Energy margins'!$H$50)=0,'Energy margins'!$E$50,0)),0,IF(MOD(IF(AND(B28&gt;='Energy margins'!$F$50,B28&lt;='Energy margins'!$G$50),B28-'Energy margins'!$F$50,""),'Energy margins'!$H$50)=0,'Energy margins'!$E$50,0))</f>
        <v>66.308399999999992</v>
      </c>
      <c r="O28" s="919">
        <f>IF(ISERROR(IF(MOD(IF(AND(B28&gt;='Energy margins'!$F$53,B28&lt;='Energy margins'!$G$53),B28-'Energy margins'!$F$53,""),'Energy margins'!$H$53)=0,'Energy margins'!$E$53,0)),0,IF(MOD(IF(AND(B28&gt;='Energy margins'!$F$53,B28&lt;='Energy margins'!$G$53),B28-'Energy margins'!$F$53,""),'Energy margins'!$H$53)=0,'Energy margins'!$E$53,0))</f>
        <v>39.838149999999999</v>
      </c>
      <c r="P28" s="919">
        <f>IF(ISERROR(IF(MOD(IF(AND(B28&gt;='Energy margins'!$F$56,B28&lt;='Energy margins'!$G$56),B28-'Energy margins'!$F$56,""),'Energy margins'!$H$56)=0,'Energy margins'!$E$56,0)),0,IF(MOD(IF(AND(B28&gt;='Energy margins'!$F$56,B28&lt;='Energy margins'!$G$56),B28-'Energy margins'!$F$56,""),'Energy margins'!$H$56)=0,'Energy margins'!$E$56,0))</f>
        <v>36.611999999999995</v>
      </c>
      <c r="Q28" s="919">
        <f>IF(ISERROR(IF(MOD(IF(AND(B28&gt;='Energy margins'!$F$59,B28&lt;='Energy margins'!$G$59),B28-'Energy margins'!$F$59,""),'Energy margins'!$H$59)=0,'Energy margins'!$E$59,0)),0,IF(MOD(IF(AND(B28&gt;='Energy margins'!$F$59,B28&lt;='Energy margins'!$G$59),B28-'Energy margins'!$F$59,""),'Energy margins'!$H$59)=0,'Energy margins'!$E$59,0))</f>
        <v>475</v>
      </c>
      <c r="R28" s="919">
        <f>IF(ISERROR(IF(MOD(IF(AND(B28&gt;='Energy margins'!$F$60,B28&lt;='Energy margins'!$G$60),B28-'Energy margins'!$F$60,""),'Energy margins'!$H$60)=0,'Energy margins'!$E$60,0)),0,IF(MOD(IF(AND(B28&gt;='Energy margins'!$F$60,B28&lt;='Energy margins'!$G$60),B28-'Energy margins'!$F$60,""),'Energy margins'!$H$60)=0,'Energy margins'!$E$60,0))</f>
        <v>0</v>
      </c>
      <c r="S28" s="919">
        <f>IF(ISERROR(IF(MOD(IF(AND(B28&gt;='Energy margins'!$F$61,B28&lt;='Energy margins'!$G$61),B28-'Energy margins'!$F$61,""),'Energy margins'!$H$61)=0,'Energy margins'!$E$61,0)),0,IF(MOD(IF(AND(B28&gt;='Energy margins'!$F$61,B28&lt;='Energy margins'!$G$61),B28-'Energy margins'!$F$61,""),'Energy margins'!$H$61)=0,'Energy margins'!$E$61,0))</f>
        <v>0</v>
      </c>
      <c r="T28" s="919">
        <f>IF(ISERROR(IF(MOD(IF(AND(B28&gt;='Energy margins'!$F$62,B28&lt;='Energy margins'!$G$62),B28-'Energy margins'!$F$62,""),'Energy margins'!$H$62)=0,'Energy margins'!$E$62,0)),0,IF(MOD(IF(AND(B28&gt;='Energy margins'!$F$62,B28&lt;='Energy margins'!$G$62),B28-'Energy margins'!$F$62,""),'Energy margins'!$H$62)=0,'Energy margins'!$E$62,0))</f>
        <v>0</v>
      </c>
      <c r="U28" s="946">
        <f t="shared" si="5"/>
        <v>637.73333400000001</v>
      </c>
      <c r="V28" s="207">
        <f>'Energy margins'!J67</f>
        <v>500</v>
      </c>
      <c r="W28" s="207">
        <f t="shared" si="6"/>
        <v>1137.733334</v>
      </c>
      <c r="X28" s="207">
        <f t="shared" si="1"/>
        <v>-0.23333400000001348</v>
      </c>
      <c r="Y28" s="207">
        <f t="shared" si="2"/>
        <v>-0.23333400000001348</v>
      </c>
      <c r="Z28" s="976">
        <f t="shared" si="7"/>
        <v>730.11796516376637</v>
      </c>
      <c r="AA28" s="977">
        <f t="shared" si="8"/>
        <v>0</v>
      </c>
      <c r="AB28" s="977">
        <f t="shared" si="9"/>
        <v>730.26773337940028</v>
      </c>
      <c r="AC28" s="977">
        <f t="shared" si="10"/>
        <v>-0.14976821563387438</v>
      </c>
      <c r="AD28" s="978">
        <f t="shared" si="11"/>
        <v>-0.14976821563387438</v>
      </c>
      <c r="AE28" s="976">
        <f t="shared" si="13"/>
        <v>7249.7050055210802</v>
      </c>
      <c r="AF28" s="977">
        <f t="shared" si="12"/>
        <v>2899.4159442201048</v>
      </c>
      <c r="AG28" s="977">
        <f t="shared" si="12"/>
        <v>6484.1859442089399</v>
      </c>
      <c r="AH28" s="977">
        <f t="shared" si="12"/>
        <v>765.51906131213843</v>
      </c>
      <c r="AI28" s="978">
        <f t="shared" si="12"/>
        <v>3664.9350055322434</v>
      </c>
    </row>
    <row r="31" spans="2:35" x14ac:dyDescent="0.3">
      <c r="J31" t="s">
        <v>542</v>
      </c>
    </row>
    <row r="32" spans="2:35" x14ac:dyDescent="0.3">
      <c r="J32" t="s">
        <v>543</v>
      </c>
    </row>
    <row r="33" spans="2:35" x14ac:dyDescent="0.3">
      <c r="J33" t="s">
        <v>544</v>
      </c>
    </row>
    <row r="34" spans="2:35" x14ac:dyDescent="0.3">
      <c r="J34" t="s">
        <v>545</v>
      </c>
    </row>
    <row r="35" spans="2:35" x14ac:dyDescent="0.3">
      <c r="B35" s="211" t="s">
        <v>92</v>
      </c>
      <c r="C35" s="230"/>
      <c r="D35" s="230"/>
      <c r="E35" s="230"/>
      <c r="F35" s="194"/>
      <c r="G35" s="193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</row>
    <row r="36" spans="2:35" x14ac:dyDescent="0.3">
      <c r="B36" s="203"/>
      <c r="C36" s="148"/>
      <c r="D36" s="148"/>
      <c r="E36" s="148"/>
      <c r="F36" s="1108"/>
      <c r="G36" s="1108"/>
      <c r="H36" s="1108"/>
      <c r="I36" s="148"/>
      <c r="J36" s="961" t="s">
        <v>85</v>
      </c>
      <c r="K36" s="962"/>
      <c r="L36" s="962"/>
      <c r="M36" s="962"/>
      <c r="N36" s="962"/>
      <c r="O36" s="962"/>
      <c r="P36" s="962"/>
      <c r="Q36" s="962"/>
      <c r="R36" s="962"/>
      <c r="S36" s="962"/>
      <c r="T36" s="962"/>
      <c r="U36" s="963"/>
      <c r="V36" s="1108"/>
      <c r="W36" s="1108"/>
      <c r="X36" s="148"/>
      <c r="Y36" s="148"/>
      <c r="Z36" s="1109" t="s">
        <v>270</v>
      </c>
      <c r="AA36" s="1110"/>
      <c r="AB36" s="1110"/>
      <c r="AC36" s="1110"/>
      <c r="AD36" s="1111"/>
      <c r="AE36" s="1109" t="s">
        <v>271</v>
      </c>
      <c r="AF36" s="1110"/>
      <c r="AG36" s="1110"/>
      <c r="AH36" s="1110"/>
      <c r="AI36" s="1111"/>
    </row>
    <row r="37" spans="2:35" ht="51" x14ac:dyDescent="0.3">
      <c r="B37" s="204" t="s">
        <v>272</v>
      </c>
      <c r="C37" s="205" t="s">
        <v>533</v>
      </c>
      <c r="D37" s="205" t="s">
        <v>289</v>
      </c>
      <c r="E37" s="205" t="s">
        <v>290</v>
      </c>
      <c r="F37" s="171" t="s">
        <v>676</v>
      </c>
      <c r="G37" s="171" t="s">
        <v>672</v>
      </c>
      <c r="H37" s="171" t="s">
        <v>677</v>
      </c>
      <c r="I37" s="205" t="s">
        <v>287</v>
      </c>
      <c r="J37" s="933" t="s">
        <v>250</v>
      </c>
      <c r="K37" s="934" t="s">
        <v>32</v>
      </c>
      <c r="L37" s="934" t="s">
        <v>520</v>
      </c>
      <c r="M37" s="934" t="s">
        <v>144</v>
      </c>
      <c r="N37" s="935" t="s">
        <v>539</v>
      </c>
      <c r="O37" s="935" t="s">
        <v>540</v>
      </c>
      <c r="P37" s="935" t="s">
        <v>541</v>
      </c>
      <c r="Q37" s="949" t="s">
        <v>177</v>
      </c>
      <c r="R37" s="949" t="s">
        <v>462</v>
      </c>
      <c r="S37" s="950" t="s">
        <v>463</v>
      </c>
      <c r="T37" s="949" t="s">
        <v>464</v>
      </c>
      <c r="U37" s="936" t="s">
        <v>288</v>
      </c>
      <c r="V37" s="205" t="s">
        <v>291</v>
      </c>
      <c r="W37" s="171" t="s">
        <v>276</v>
      </c>
      <c r="X37" s="171" t="s">
        <v>678</v>
      </c>
      <c r="Y37" s="171" t="s">
        <v>679</v>
      </c>
      <c r="Z37" s="195" t="s">
        <v>277</v>
      </c>
      <c r="AA37" s="171" t="s">
        <v>680</v>
      </c>
      <c r="AB37" s="171" t="s">
        <v>278</v>
      </c>
      <c r="AC37" s="171" t="s">
        <v>681</v>
      </c>
      <c r="AD37" s="198" t="s">
        <v>279</v>
      </c>
      <c r="AE37" s="195" t="s">
        <v>280</v>
      </c>
      <c r="AF37" s="171" t="s">
        <v>682</v>
      </c>
      <c r="AG37" s="171" t="s">
        <v>281</v>
      </c>
      <c r="AH37" s="171" t="s">
        <v>683</v>
      </c>
      <c r="AI37" s="198" t="s">
        <v>282</v>
      </c>
    </row>
    <row r="38" spans="2:35" x14ac:dyDescent="0.3">
      <c r="B38" s="173"/>
      <c r="C38" s="226" t="s">
        <v>534</v>
      </c>
      <c r="D38" s="226" t="s">
        <v>332</v>
      </c>
      <c r="E38" s="226" t="s">
        <v>569</v>
      </c>
      <c r="F38" s="226" t="s">
        <v>567</v>
      </c>
      <c r="G38" s="226" t="s">
        <v>567</v>
      </c>
      <c r="H38" s="226" t="s">
        <v>567</v>
      </c>
      <c r="I38" s="226" t="s">
        <v>567</v>
      </c>
      <c r="J38" s="951" t="s">
        <v>567</v>
      </c>
      <c r="K38" s="952" t="s">
        <v>567</v>
      </c>
      <c r="L38" s="952" t="s">
        <v>567</v>
      </c>
      <c r="M38" s="952" t="s">
        <v>567</v>
      </c>
      <c r="N38" s="952" t="s">
        <v>567</v>
      </c>
      <c r="O38" s="952" t="s">
        <v>567</v>
      </c>
      <c r="P38" s="952" t="s">
        <v>567</v>
      </c>
      <c r="Q38" s="953" t="s">
        <v>567</v>
      </c>
      <c r="R38" s="953" t="s">
        <v>567</v>
      </c>
      <c r="S38" s="953" t="s">
        <v>567</v>
      </c>
      <c r="T38" s="953" t="s">
        <v>569</v>
      </c>
      <c r="U38" s="954" t="s">
        <v>567</v>
      </c>
      <c r="V38" s="226" t="s">
        <v>567</v>
      </c>
      <c r="W38" s="226" t="s">
        <v>567</v>
      </c>
      <c r="X38" s="226" t="s">
        <v>567</v>
      </c>
      <c r="Y38" s="730" t="s">
        <v>567</v>
      </c>
      <c r="Z38" s="226" t="s">
        <v>567</v>
      </c>
      <c r="AA38" s="226" t="s">
        <v>567</v>
      </c>
      <c r="AB38" s="226" t="s">
        <v>567</v>
      </c>
      <c r="AC38" s="226" t="s">
        <v>567</v>
      </c>
      <c r="AD38" s="730" t="s">
        <v>567</v>
      </c>
      <c r="AE38" s="226" t="s">
        <v>567</v>
      </c>
      <c r="AF38" s="226" t="s">
        <v>567</v>
      </c>
      <c r="AG38" s="226" t="s">
        <v>567</v>
      </c>
      <c r="AH38" s="226" t="s">
        <v>567</v>
      </c>
      <c r="AI38" s="730" t="s">
        <v>567</v>
      </c>
    </row>
    <row r="39" spans="2:35" x14ac:dyDescent="0.3">
      <c r="B39" s="899">
        <v>1</v>
      </c>
      <c r="C39" s="922">
        <f>'Energy Inputs'!E30</f>
        <v>4.784688995215311E-2</v>
      </c>
      <c r="D39" s="918">
        <f>C39*'Energy Inputs'!$E$24</f>
        <v>0.6</v>
      </c>
      <c r="E39" s="197">
        <f>'Energy margins'!$L$12</f>
        <v>43.75</v>
      </c>
      <c r="F39" s="197">
        <f>D39*E39</f>
        <v>26.25</v>
      </c>
      <c r="G39" s="928">
        <f>'Energy Inputs'!$D$10</f>
        <v>330</v>
      </c>
      <c r="H39" s="197">
        <f>F39+G39</f>
        <v>356.25</v>
      </c>
      <c r="I39" s="197">
        <f>'Margins summary'!R20</f>
        <v>2254.8232439999997</v>
      </c>
      <c r="J39" s="941">
        <f>IF(ISERROR(IF(MOD(IF(AND(B39&gt;='Energy margins'!$M$44,B39&lt;='Energy margins'!$N$44),B39-'Energy margins'!$M$44,""),'Energy margins'!$O$44)=0,'Energy margins'!$L$44,0)),0,IF(MOD(IF(AND(B39&gt;='Energy margins'!$M$44,B39&lt;='Energy margins'!$N$44),B39-'Energy margins'!$M$44,""),'Energy margins'!$O$44)=0,'Energy margins'!$L$44,0))</f>
        <v>0</v>
      </c>
      <c r="K39" s="928">
        <f>IF(ISERROR(IF(MOD(IF(AND(B39&gt;='Energy margins'!$M$45,B39&lt;='Energy margins'!$N$45),B39-'Energy margins'!$M$45,""),'Energy margins'!$O$45)=0,'Energy margins'!$L$45,0)),0,IF(MOD(IF(AND(B39&gt;='Energy margins'!$M$45,B39&lt;='Energy margins'!$N$45),B39-'Energy margins'!$M$45,""),'Energy margins'!$O$45)=0,'Energy margins'!$L$45,0))</f>
        <v>0</v>
      </c>
      <c r="L39" s="928">
        <f>IF(ISERROR(IF(MOD(IF(AND(B39&gt;='Energy margins'!$M$46,B39&lt;='Energy margins'!$N$46),B39-'Energy margins'!$M$46,""),'Energy margins'!$O$46)=0,'Energy margins'!$L$46,0)),0,IF(MOD(IF(AND(B39&gt;='Energy margins'!$M$46,B39&lt;='Energy margins'!$N$46),B39-'Energy margins'!$M$46,""),'Energy margins'!$O$46)=0,'Energy margins'!$L$46,0))</f>
        <v>0</v>
      </c>
      <c r="M39" s="928">
        <f>IF(ISERROR(IF(MOD(IF(AND(B39&gt;='Energy margins'!$M$47,B39&lt;='Energy margins'!$N$47),B39-'Energy margins'!$M$47,""),'Energy margins'!$O$47)=0,'Energy margins'!$L$47,0)),0,IF(MOD(IF(AND(B39&gt;='Energy margins'!$M$47,B39&lt;='Energy margins'!$N$47),B39-'Energy margins'!$M$47,""),'Energy margins'!$O$47)=0,'Energy margins'!$L$47,0))</f>
        <v>0</v>
      </c>
      <c r="N39" s="928">
        <f>IF(ISERROR(IF(MOD(IF(AND(B39&gt;='Energy margins'!$M$50,B39&lt;='Energy margins'!$N$50),B39-'Energy margins'!$M$50,""),'Energy margins'!$O$50)=0,'Energy margins'!$L$50,0)),0,IF(MOD(IF(AND(B39&gt;='Energy margins'!$M$50,B39&lt;='Energy margins'!$N$50),B39-'Energy margins'!$M$50,""),'Energy margins'!$O$50)=0,'Energy margins'!$L$50,0))</f>
        <v>0</v>
      </c>
      <c r="O39" s="928">
        <f>IF(ISERROR(IF(MOD(IF(AND(B39&gt;='Energy margins'!$M$53,B39&lt;='Energy margins'!$N$53),B39-'Energy margins'!$M$53,""),'Energy margins'!$O$53)=0,'Energy margins'!$L$53,0)),0,IF(MOD(IF(AND(B39&gt;='Energy margins'!$M$53,B39&lt;='Energy margins'!$N$53),B39-'Energy margins'!$M$53,""),'Energy margins'!$O$53)=0,'Energy margins'!$L$53,0))</f>
        <v>0</v>
      </c>
      <c r="P39" s="928">
        <f>IF(ISERROR(IF(MOD(IF(AND(B39&gt;='Energy margins'!$M$56,B39&lt;='Energy margins'!$N$56),B39-'Energy margins'!$M$56,""),'Energy margins'!$O$56)=0,'Energy margins'!$L$56,0)),0,IF(MOD(IF(AND(B39&gt;='Energy margins'!$M$56,B39&lt;='Energy margins'!$N$56),B39-'Energy margins'!$M$56,""),'Energy margins'!$O$56)=0,'Energy margins'!$L$56,0))</f>
        <v>0</v>
      </c>
      <c r="Q39" s="928">
        <f>IF(ISERROR(IF(MOD(IF(AND(B39&gt;='Energy margins'!$M$59,B39&lt;='Energy margins'!$N$59),B39-'Energy margins'!$M$59,""),'Energy margins'!$O$59)=0,'Energy margins'!$L$59,0)),0,IF(MOD(IF(AND(B39&gt;='Energy margins'!$M$59,B39&lt;='Energy margins'!$N$59),B39-'Energy margins'!$M$59,""),'Energy margins'!$O$59)=0,'Energy margins'!$L$59,0))</f>
        <v>0</v>
      </c>
      <c r="R39" s="928">
        <f>IF(ISERROR(IF(MOD(IF(AND(B39&gt;='Energy margins'!$M$60,B39&lt;='Energy margins'!$N$60),B39-'Energy margins'!$M$60,""),'Energy margins'!$O$60)=0,'Energy margins'!$L$60,0)),0,IF(MOD(IF(AND(B39&gt;='Energy margins'!$M$60,B39&lt;='Energy margins'!$N$60),B39-'Energy margins'!$M$60,""),'Energy margins'!$O$60)=0,'Energy margins'!$L$60,0))</f>
        <v>0</v>
      </c>
      <c r="S39" s="928">
        <f>IF(ISERROR(IF(MOD(IF(AND(B39&gt;='Energy margins'!$M$61,B39&lt;='Energy margins'!$N$61),B39-'Energy margins'!$M$61,""),'Energy margins'!$O$61)=0,'Energy margins'!$L$61,0)),0,IF(MOD(IF(AND(B39&gt;='Energy margins'!$M$61,B39&lt;='Energy margins'!$N$61),B39-'Energy margins'!$M$61,""),'Energy margins'!$O$61)=0,'Energy margins'!$L$61,0))</f>
        <v>0</v>
      </c>
      <c r="T39" s="928">
        <f>IF(ISERROR(IF(MOD(IF(AND(B39&gt;='Energy margins'!$M$62,B39&lt;='Energy margins'!$N$62),B39-'Energy margins'!$M$62,""),'Energy margins'!$O$62)=0,'Energy margins'!$L$62,0)),0,IF(MOD(IF(AND(B39&gt;='Energy margins'!$M$62,B39&lt;='Energy margins'!$N$62),B39-'Energy margins'!$M$62,""),'Energy margins'!$O$62)=0,'Energy margins'!$L$62,0))</f>
        <v>0</v>
      </c>
      <c r="U39" s="942">
        <f>SUM(J39:T39)</f>
        <v>0</v>
      </c>
      <c r="V39" s="197"/>
      <c r="W39" s="197">
        <f>I39+U39+V39</f>
        <v>2254.8232439999997</v>
      </c>
      <c r="X39" s="197">
        <f t="shared" ref="X39:X54" si="14">F39-W39</f>
        <v>-2228.5732439999997</v>
      </c>
      <c r="Y39" s="197">
        <f t="shared" ref="Y39:Y54" si="15">H39-W39</f>
        <v>-1898.5732439999997</v>
      </c>
      <c r="Z39" s="973">
        <f>F39/((1+$C$6)^($B39-1))</f>
        <v>26.25</v>
      </c>
      <c r="AA39" s="974">
        <f>G39/((1+$C$6)^($B39-1))</f>
        <v>330</v>
      </c>
      <c r="AB39" s="974">
        <f>W39/((1+$C$6)^($B39-1))</f>
        <v>2254.8232439999997</v>
      </c>
      <c r="AC39" s="974">
        <f t="shared" ref="AC39:AD39" si="16">X39/((1+$C$6)^($B39-1))</f>
        <v>-2228.5732439999997</v>
      </c>
      <c r="AD39" s="974">
        <f t="shared" si="16"/>
        <v>-1898.5732439999997</v>
      </c>
      <c r="AE39" s="973">
        <f>Z39</f>
        <v>26.25</v>
      </c>
      <c r="AF39" s="974">
        <f>AA39</f>
        <v>330</v>
      </c>
      <c r="AG39" s="974">
        <f>AB39</f>
        <v>2254.8232439999997</v>
      </c>
      <c r="AH39" s="974">
        <f>AC39</f>
        <v>-2228.5732439999997</v>
      </c>
      <c r="AI39" s="975">
        <f>AD39</f>
        <v>-1898.5732439999997</v>
      </c>
    </row>
    <row r="40" spans="2:35" x14ac:dyDescent="0.3">
      <c r="B40" s="900">
        <v>2</v>
      </c>
      <c r="C40" s="922">
        <f>'Energy Inputs'!E31</f>
        <v>0.31299840510366833</v>
      </c>
      <c r="D40" s="918">
        <f>C40*'Energy Inputs'!$E$24</f>
        <v>3.9250000000000007</v>
      </c>
      <c r="E40" s="197">
        <f>'Energy margins'!$L$12</f>
        <v>43.75</v>
      </c>
      <c r="F40" s="197">
        <f t="shared" ref="F40:F54" si="17">D40*E40</f>
        <v>171.71875000000003</v>
      </c>
      <c r="G40" s="918">
        <f>'Energy Inputs'!$D$10</f>
        <v>330</v>
      </c>
      <c r="H40" s="197">
        <f t="shared" ref="H40:H54" si="18">F40+G40</f>
        <v>501.71875</v>
      </c>
      <c r="I40" s="197"/>
      <c r="J40" s="943">
        <f>IF(ISERROR(IF(MOD(IF(AND(B40&gt;='Energy margins'!$M$44,B40&lt;='Energy margins'!$N$44),B40-'Energy margins'!$M$44,""),'Energy margins'!$O$44)=0,'Energy margins'!$L$44,0)),0,IF(MOD(IF(AND(B40&gt;='Energy margins'!$M$44,B40&lt;='Energy margins'!$N$44),B40-'Energy margins'!$M$44,""),'Energy margins'!$O$44)=0,'Energy margins'!$L$44,0))</f>
        <v>0</v>
      </c>
      <c r="K40" s="918">
        <f>IF(ISERROR(IF(MOD(IF(AND(B40&gt;='Energy margins'!$M$45,B40&lt;='Energy margins'!$N$45),B40-'Energy margins'!$M$45,""),'Energy margins'!$O$45)=0,'Energy margins'!$L$45,0)),0,IF(MOD(IF(AND(B40&gt;='Energy margins'!$M$45,B40&lt;='Energy margins'!$N$45),B40-'Energy margins'!$M$45,""),'Energy margins'!$O$45)=0,'Energy margins'!$L$45,0))</f>
        <v>45.538999999999994</v>
      </c>
      <c r="L40" s="918">
        <f>IF(ISERROR(IF(MOD(IF(AND(B40&gt;='Energy margins'!$M$46,B40&lt;='Energy margins'!$N$46),B40-'Energy margins'!$M$46,""),'Energy margins'!$O$46)=0,'Energy margins'!$L$46,0)),0,IF(MOD(IF(AND(B40&gt;='Energy margins'!$M$46,B40&lt;='Energy margins'!$N$46),B40-'Energy margins'!$M$46,""),'Energy margins'!$O$46)=0,'Energy margins'!$L$46,0))</f>
        <v>67.8</v>
      </c>
      <c r="M40" s="918">
        <f>IF(ISERROR(IF(MOD(IF(AND(B40&gt;='Energy margins'!$M$47,B40&lt;='Energy margins'!$N$47),B40-'Energy margins'!$M$47,""),'Energy margins'!$O$47)=0,'Energy margins'!$L$47,0)),0,IF(MOD(IF(AND(B40&gt;='Energy margins'!$M$47,B40&lt;='Energy margins'!$N$47),B40-'Energy margins'!$M$47,""),'Energy margins'!$O$47)=0,'Energy margins'!$L$47,0))</f>
        <v>19.974783999999993</v>
      </c>
      <c r="N40" s="918">
        <f>IF(ISERROR(IF(MOD(IF(AND(B40&gt;='Energy margins'!$M$50,B40&lt;='Energy margins'!$N$50),B40-'Energy margins'!$M$50,""),'Energy margins'!$O$50)=0,'Energy margins'!$L$50,0)),0,IF(MOD(IF(AND(B40&gt;='Energy margins'!$M$50,B40&lt;='Energy margins'!$N$50),B40-'Energy margins'!$M$50,""),'Energy margins'!$O$50)=0,'Energy margins'!$L$50,0))</f>
        <v>61.887839999999997</v>
      </c>
      <c r="O40" s="918">
        <f>IF(ISERROR(IF(MOD(IF(AND(B40&gt;='Energy margins'!$M$53,B40&lt;='Energy margins'!$N$53),B40-'Energy margins'!$M$53,""),'Energy margins'!$O$53)=0,'Energy margins'!$L$53,0)),0,IF(MOD(IF(AND(B40&gt;='Energy margins'!$M$53,B40&lt;='Energy margins'!$N$53),B40-'Energy margins'!$M$53,""),'Energy margins'!$O$53)=0,'Energy margins'!$L$53,0))</f>
        <v>10.140619999999998</v>
      </c>
      <c r="P40" s="918">
        <f>IF(ISERROR(IF(MOD(IF(AND(B40&gt;='Energy margins'!$M$56,B40&lt;='Energy margins'!$N$56),B40-'Energy margins'!$M$56,""),'Energy margins'!$O$56)=0,'Energy margins'!$L$56,0)),0,IF(MOD(IF(AND(B40&gt;='Energy margins'!$M$56,B40&lt;='Energy margins'!$N$56),B40-'Energy margins'!$M$56,""),'Energy margins'!$O$56)=0,'Energy margins'!$L$56,0))</f>
        <v>61.019999999999996</v>
      </c>
      <c r="Q40" s="918">
        <f>IF(ISERROR(IF(MOD(IF(AND(B40&gt;='Energy margins'!$M$59,B40&lt;='Energy margins'!$N$59),B40-'Energy margins'!$M$59,""),'Energy margins'!$O$59)=0,'Energy margins'!$L$59,0)),0,IF(MOD(IF(AND(B40&gt;='Energy margins'!$M$59,B40&lt;='Energy margins'!$N$59),B40-'Energy margins'!$M$59,""),'Energy margins'!$O$59)=0,'Energy margins'!$L$59,0))</f>
        <v>0</v>
      </c>
      <c r="R40" s="918">
        <f>IF(ISERROR(IF(MOD(IF(AND(B40&gt;='Energy margins'!$M$60,B40&lt;='Energy margins'!$N$60),B40-'Energy margins'!$M$60,""),'Energy margins'!$O$60)=0,'Energy margins'!$L$60,0)),0,IF(MOD(IF(AND(B40&gt;='Energy margins'!$M$60,B40&lt;='Energy margins'!$N$60),B40-'Energy margins'!$M$60,""),'Energy margins'!$O$60)=0,'Energy margins'!$L$60,0))</f>
        <v>270.5</v>
      </c>
      <c r="S40" s="918">
        <f>IF(ISERROR(IF(MOD(IF(AND(B40&gt;='Energy margins'!$M$61,B40&lt;='Energy margins'!$N$61),B40-'Energy margins'!$M$61,""),'Energy margins'!$O$61)=0,'Energy margins'!$L$61,0)),0,IF(MOD(IF(AND(B40&gt;='Energy margins'!$M$61,B40&lt;='Energy margins'!$N$61),B40-'Energy margins'!$M$61,""),'Energy margins'!$O$61)=0,'Energy margins'!$L$61,0))</f>
        <v>0</v>
      </c>
      <c r="T40" s="918">
        <f>IF(ISERROR(IF(MOD(IF(AND(B40&gt;='Energy margins'!$M$62,B40&lt;='Energy margins'!$N$62),B40-'Energy margins'!$M$62,""),'Energy margins'!$O$62)=0,'Energy margins'!$L$62,0)),0,IF(MOD(IF(AND(B40&gt;='Energy margins'!$M$62,B40&lt;='Energy margins'!$N$62),B40-'Energy margins'!$M$62,""),'Energy margins'!$O$62)=0,'Energy margins'!$L$62,0))</f>
        <v>0</v>
      </c>
      <c r="U40" s="944">
        <f t="shared" ref="U40:U54" si="19">SUM(J40:T40)</f>
        <v>536.86224399999992</v>
      </c>
      <c r="V40" s="197"/>
      <c r="W40" s="197">
        <f t="shared" ref="W40:W54" si="20">I40+U40+V40</f>
        <v>536.86224399999992</v>
      </c>
      <c r="X40" s="197">
        <f t="shared" si="14"/>
        <v>-365.14349399999992</v>
      </c>
      <c r="Y40" s="197">
        <f t="shared" si="15"/>
        <v>-35.143493999999919</v>
      </c>
      <c r="Z40" s="973">
        <f t="shared" ref="Z40:Z54" si="21">F40/((1+$C$6)^($B40-1))</f>
        <v>166.71723300970876</v>
      </c>
      <c r="AA40" s="974">
        <f t="shared" ref="AA40:AA54" si="22">G40/((1+$C$6)^($B40-1))</f>
        <v>320.38834951456312</v>
      </c>
      <c r="AB40" s="974">
        <f t="shared" ref="AB40:AB54" si="23">W40/((1+$C$6)^($B40-1))</f>
        <v>521.22547961165037</v>
      </c>
      <c r="AC40" s="974">
        <f t="shared" ref="AC40:AC54" si="24">X40/((1+$C$6)^($B40-1))</f>
        <v>-354.50824660194166</v>
      </c>
      <c r="AD40" s="974">
        <f t="shared" ref="AD40:AD54" si="25">Y40/((1+$C$6)^($B40-1))</f>
        <v>-34.119897087378561</v>
      </c>
      <c r="AE40" s="973">
        <f>AE39+Z40</f>
        <v>192.96723300970876</v>
      </c>
      <c r="AF40" s="974">
        <f t="shared" ref="AF40:AF54" si="26">AF39+AA40</f>
        <v>650.38834951456306</v>
      </c>
      <c r="AG40" s="974">
        <f t="shared" ref="AG40:AG54" si="27">AG39+AB40</f>
        <v>2776.0487236116501</v>
      </c>
      <c r="AH40" s="974">
        <f t="shared" ref="AH40:AH54" si="28">AH39+AC40</f>
        <v>-2583.0814906019414</v>
      </c>
      <c r="AI40" s="975">
        <f t="shared" ref="AI40:AI54" si="29">AI39+AD40</f>
        <v>-1932.6931410873783</v>
      </c>
    </row>
    <row r="41" spans="2:35" x14ac:dyDescent="0.3">
      <c r="B41" s="900">
        <v>3</v>
      </c>
      <c r="C41" s="922">
        <f>'Energy Inputs'!E32</f>
        <v>0.88516746411483238</v>
      </c>
      <c r="D41" s="918">
        <f>C41*'Energy Inputs'!$E$24</f>
        <v>11.099999999999998</v>
      </c>
      <c r="E41" s="197">
        <f>'Energy margins'!$L$12</f>
        <v>43.75</v>
      </c>
      <c r="F41" s="197">
        <f t="shared" si="17"/>
        <v>485.62499999999989</v>
      </c>
      <c r="G41" s="918">
        <f>'Energy Inputs'!$D$10</f>
        <v>330</v>
      </c>
      <c r="H41" s="197">
        <f t="shared" si="18"/>
        <v>815.62499999999989</v>
      </c>
      <c r="I41" s="197"/>
      <c r="J41" s="943">
        <f>IF(ISERROR(IF(MOD(IF(AND(B41&gt;='Energy margins'!$M$44,B41&lt;='Energy margins'!$N$44),B41-'Energy margins'!$M$44,""),'Energy margins'!$O$44)=0,'Energy margins'!$L$44,0)),0,IF(MOD(IF(AND(B41&gt;='Energy margins'!$M$44,B41&lt;='Energy margins'!$N$44),B41-'Energy margins'!$M$44,""),'Energy margins'!$O$44)=0,'Energy margins'!$L$44,0))</f>
        <v>0</v>
      </c>
      <c r="K41" s="918">
        <f>IF(ISERROR(IF(MOD(IF(AND(B41&gt;='Energy margins'!$M$45,B41&lt;='Energy margins'!$N$45),B41-'Energy margins'!$M$45,""),'Energy margins'!$O$45)=0,'Energy margins'!$L$45,0)),0,IF(MOD(IF(AND(B41&gt;='Energy margins'!$M$45,B41&lt;='Energy margins'!$N$45),B41-'Energy margins'!$M$45,""),'Energy margins'!$O$45)=0,'Energy margins'!$L$45,0))</f>
        <v>45.538999999999994</v>
      </c>
      <c r="L41" s="918">
        <f>IF(ISERROR(IF(MOD(IF(AND(B41&gt;='Energy margins'!$M$46,B41&lt;='Energy margins'!$N$46),B41-'Energy margins'!$M$46,""),'Energy margins'!$O$46)=0,'Energy margins'!$L$46,0)),0,IF(MOD(IF(AND(B41&gt;='Energy margins'!$M$46,B41&lt;='Energy margins'!$N$46),B41-'Energy margins'!$M$46,""),'Energy margins'!$O$46)=0,'Energy margins'!$L$46,0))</f>
        <v>67.8</v>
      </c>
      <c r="M41" s="918">
        <f>IF(ISERROR(IF(MOD(IF(AND(B41&gt;='Energy margins'!$M$47,B41&lt;='Energy margins'!$N$47),B41-'Energy margins'!$M$47,""),'Energy margins'!$O$47)=0,'Energy margins'!$L$47,0)),0,IF(MOD(IF(AND(B41&gt;='Energy margins'!$M$47,B41&lt;='Energy margins'!$N$47),B41-'Energy margins'!$M$47,""),'Energy margins'!$O$47)=0,'Energy margins'!$L$47,0))</f>
        <v>19.974783999999993</v>
      </c>
      <c r="N41" s="918">
        <f>IF(ISERROR(IF(MOD(IF(AND(B41&gt;='Energy margins'!$M$50,B41&lt;='Energy margins'!$N$50),B41-'Energy margins'!$M$50,""),'Energy margins'!$O$50)=0,'Energy margins'!$L$50,0)),0,IF(MOD(IF(AND(B41&gt;='Energy margins'!$M$50,B41&lt;='Energy margins'!$N$50),B41-'Energy margins'!$M$50,""),'Energy margins'!$O$50)=0,'Energy margins'!$L$50,0))</f>
        <v>61.887839999999997</v>
      </c>
      <c r="O41" s="918">
        <f>IF(ISERROR(IF(MOD(IF(AND(B41&gt;='Energy margins'!$M$53,B41&lt;='Energy margins'!$N$53),B41-'Energy margins'!$M$53,""),'Energy margins'!$O$53)=0,'Energy margins'!$L$53,0)),0,IF(MOD(IF(AND(B41&gt;='Energy margins'!$M$53,B41&lt;='Energy margins'!$N$53),B41-'Energy margins'!$M$53,""),'Energy margins'!$O$53)=0,'Energy margins'!$L$53,0))</f>
        <v>10.140619999999998</v>
      </c>
      <c r="P41" s="918">
        <f>IF(ISERROR(IF(MOD(IF(AND(B41&gt;='Energy margins'!$M$56,B41&lt;='Energy margins'!$N$56),B41-'Energy margins'!$M$56,""),'Energy margins'!$O$56)=0,'Energy margins'!$L$56,0)),0,IF(MOD(IF(AND(B41&gt;='Energy margins'!$M$56,B41&lt;='Energy margins'!$N$56),B41-'Energy margins'!$M$56,""),'Energy margins'!$O$56)=0,'Energy margins'!$L$56,0))</f>
        <v>61.019999999999996</v>
      </c>
      <c r="Q41" s="918">
        <f>IF(ISERROR(IF(MOD(IF(AND(B41&gt;='Energy margins'!$M$59,B41&lt;='Energy margins'!$N$59),B41-'Energy margins'!$M$59,""),'Energy margins'!$O$59)=0,'Energy margins'!$L$59,0)),0,IF(MOD(IF(AND(B41&gt;='Energy margins'!$M$59,B41&lt;='Energy margins'!$N$59),B41-'Energy margins'!$M$59,""),'Energy margins'!$O$59)=0,'Energy margins'!$L$59,0))</f>
        <v>0</v>
      </c>
      <c r="R41" s="918">
        <f>IF(ISERROR(IF(MOD(IF(AND(B41&gt;='Energy margins'!$M$60,B41&lt;='Energy margins'!$N$60),B41-'Energy margins'!$M$60,""),'Energy margins'!$O$60)=0,'Energy margins'!$L$60,0)),0,IF(MOD(IF(AND(B41&gt;='Energy margins'!$M$60,B41&lt;='Energy margins'!$N$60),B41-'Energy margins'!$M$60,""),'Energy margins'!$O$60)=0,'Energy margins'!$L$60,0))</f>
        <v>270.5</v>
      </c>
      <c r="S41" s="918">
        <f>IF(ISERROR(IF(MOD(IF(AND(B41&gt;='Energy margins'!$M$61,B41&lt;='Energy margins'!$N$61),B41-'Energy margins'!$M$61,""),'Energy margins'!$O$61)=0,'Energy margins'!$L$61,0)),0,IF(MOD(IF(AND(B41&gt;='Energy margins'!$M$61,B41&lt;='Energy margins'!$N$61),B41-'Energy margins'!$M$61,""),'Energy margins'!$O$61)=0,'Energy margins'!$L$61,0))</f>
        <v>0</v>
      </c>
      <c r="T41" s="918">
        <f>IF(ISERROR(IF(MOD(IF(AND(B41&gt;='Energy margins'!$M$62,B41&lt;='Energy margins'!$N$62),B41-'Energy margins'!$M$62,""),'Energy margins'!$O$62)=0,'Energy margins'!$L$62,0)),0,IF(MOD(IF(AND(B41&gt;='Energy margins'!$M$62,B41&lt;='Energy margins'!$N$62),B41-'Energy margins'!$M$62,""),'Energy margins'!$O$62)=0,'Energy margins'!$L$62,0))</f>
        <v>0</v>
      </c>
      <c r="U41" s="944">
        <f t="shared" si="19"/>
        <v>536.86224399999992</v>
      </c>
      <c r="V41" s="197"/>
      <c r="W41" s="197">
        <f t="shared" si="20"/>
        <v>536.86224399999992</v>
      </c>
      <c r="X41" s="197">
        <f t="shared" si="14"/>
        <v>-51.237244000000032</v>
      </c>
      <c r="Y41" s="197">
        <f t="shared" si="15"/>
        <v>278.76275599999997</v>
      </c>
      <c r="Z41" s="973">
        <f t="shared" si="21"/>
        <v>457.74813837307937</v>
      </c>
      <c r="AA41" s="974">
        <f t="shared" si="22"/>
        <v>311.05665001413894</v>
      </c>
      <c r="AB41" s="974">
        <f t="shared" si="23"/>
        <v>506.04415496276738</v>
      </c>
      <c r="AC41" s="974">
        <f t="shared" si="24"/>
        <v>-48.296016589688037</v>
      </c>
      <c r="AD41" s="974">
        <f t="shared" si="25"/>
        <v>262.76063342445093</v>
      </c>
      <c r="AE41" s="973">
        <f t="shared" ref="AE41:AE54" si="30">AE40+Z41</f>
        <v>650.71537138278813</v>
      </c>
      <c r="AF41" s="974">
        <f t="shared" si="26"/>
        <v>961.44499952870206</v>
      </c>
      <c r="AG41" s="974">
        <f t="shared" si="27"/>
        <v>3282.0928785744172</v>
      </c>
      <c r="AH41" s="974">
        <f t="shared" si="28"/>
        <v>-2631.3775071916293</v>
      </c>
      <c r="AI41" s="975">
        <f t="shared" si="29"/>
        <v>-1669.9325076629275</v>
      </c>
    </row>
    <row r="42" spans="2:35" x14ac:dyDescent="0.3">
      <c r="B42" s="900">
        <v>4</v>
      </c>
      <c r="C42" s="922">
        <f>'Energy Inputs'!E33</f>
        <v>1</v>
      </c>
      <c r="D42" s="918">
        <f>C42*'Energy Inputs'!$E$24</f>
        <v>12.54</v>
      </c>
      <c r="E42" s="197">
        <f>'Energy margins'!$L$12</f>
        <v>43.75</v>
      </c>
      <c r="F42" s="197">
        <f t="shared" si="17"/>
        <v>548.625</v>
      </c>
      <c r="G42" s="918">
        <f>'Energy Inputs'!$D$10</f>
        <v>330</v>
      </c>
      <c r="H42" s="197">
        <f t="shared" si="18"/>
        <v>878.625</v>
      </c>
      <c r="I42" s="197"/>
      <c r="J42" s="943">
        <f>IF(ISERROR(IF(MOD(IF(AND(B42&gt;='Energy margins'!$M$44,B42&lt;='Energy margins'!$N$44),B42-'Energy margins'!$M$44,""),'Energy margins'!$O$44)=0,'Energy margins'!$L$44,0)),0,IF(MOD(IF(AND(B42&gt;='Energy margins'!$M$44,B42&lt;='Energy margins'!$N$44),B42-'Energy margins'!$M$44,""),'Energy margins'!$O$44)=0,'Energy margins'!$L$44,0))</f>
        <v>0</v>
      </c>
      <c r="K42" s="918">
        <f>IF(ISERROR(IF(MOD(IF(AND(B42&gt;='Energy margins'!$M$45,B42&lt;='Energy margins'!$N$45),B42-'Energy margins'!$M$45,""),'Energy margins'!$O$45)=0,'Energy margins'!$L$45,0)),0,IF(MOD(IF(AND(B42&gt;='Energy margins'!$M$45,B42&lt;='Energy margins'!$N$45),B42-'Energy margins'!$M$45,""),'Energy margins'!$O$45)=0,'Energy margins'!$L$45,0))</f>
        <v>0</v>
      </c>
      <c r="L42" s="918">
        <f>IF(ISERROR(IF(MOD(IF(AND(B42&gt;='Energy margins'!$M$46,B42&lt;='Energy margins'!$N$46),B42-'Energy margins'!$M$46,""),'Energy margins'!$O$46)=0,'Energy margins'!$L$46,0)),0,IF(MOD(IF(AND(B42&gt;='Energy margins'!$M$46,B42&lt;='Energy margins'!$N$46),B42-'Energy margins'!$M$46,""),'Energy margins'!$O$46)=0,'Energy margins'!$L$46,0))</f>
        <v>0</v>
      </c>
      <c r="M42" s="918">
        <f>IF(ISERROR(IF(MOD(IF(AND(B42&gt;='Energy margins'!$M$47,B42&lt;='Energy margins'!$N$47),B42-'Energy margins'!$M$47,""),'Energy margins'!$O$47)=0,'Energy margins'!$L$47,0)),0,IF(MOD(IF(AND(B42&gt;='Energy margins'!$M$47,B42&lt;='Energy margins'!$N$47),B42-'Energy margins'!$M$47,""),'Energy margins'!$O$47)=0,'Energy margins'!$L$47,0))</f>
        <v>19.974783999999993</v>
      </c>
      <c r="N42" s="918">
        <f>IF(ISERROR(IF(MOD(IF(AND(B42&gt;='Energy margins'!$M$50,B42&lt;='Energy margins'!$N$50),B42-'Energy margins'!$M$50,""),'Energy margins'!$O$50)=0,'Energy margins'!$L$50,0)),0,IF(MOD(IF(AND(B42&gt;='Energy margins'!$M$50,B42&lt;='Energy margins'!$N$50),B42-'Energy margins'!$M$50,""),'Energy margins'!$O$50)=0,'Energy margins'!$L$50,0))</f>
        <v>61.887839999999997</v>
      </c>
      <c r="O42" s="918">
        <f>IF(ISERROR(IF(MOD(IF(AND(B42&gt;='Energy margins'!$M$53,B42&lt;='Energy margins'!$N$53),B42-'Energy margins'!$M$53,""),'Energy margins'!$O$53)=0,'Energy margins'!$L$53,0)),0,IF(MOD(IF(AND(B42&gt;='Energy margins'!$M$53,B42&lt;='Energy margins'!$N$53),B42-'Energy margins'!$M$53,""),'Energy margins'!$O$53)=0,'Energy margins'!$L$53,0))</f>
        <v>10.140619999999998</v>
      </c>
      <c r="P42" s="918">
        <f>IF(ISERROR(IF(MOD(IF(AND(B42&gt;='Energy margins'!$M$56,B42&lt;='Energy margins'!$N$56),B42-'Energy margins'!$M$56,""),'Energy margins'!$O$56)=0,'Energy margins'!$L$56,0)),0,IF(MOD(IF(AND(B42&gt;='Energy margins'!$M$56,B42&lt;='Energy margins'!$N$56),B42-'Energy margins'!$M$56,""),'Energy margins'!$O$56)=0,'Energy margins'!$L$56,0))</f>
        <v>61.019999999999996</v>
      </c>
      <c r="Q42" s="918">
        <f>IF(ISERROR(IF(MOD(IF(AND(B42&gt;='Energy margins'!$M$59,B42&lt;='Energy margins'!$N$59),B42-'Energy margins'!$M$59,""),'Energy margins'!$O$59)=0,'Energy margins'!$L$59,0)),0,IF(MOD(IF(AND(B42&gt;='Energy margins'!$M$59,B42&lt;='Energy margins'!$N$59),B42-'Energy margins'!$M$59,""),'Energy margins'!$O$59)=0,'Energy margins'!$L$59,0))</f>
        <v>0</v>
      </c>
      <c r="R42" s="918">
        <f>IF(ISERROR(IF(MOD(IF(AND(B42&gt;='Energy margins'!$M$60,B42&lt;='Energy margins'!$N$60),B42-'Energy margins'!$M$60,""),'Energy margins'!$O$60)=0,'Energy margins'!$L$60,0)),0,IF(MOD(IF(AND(B42&gt;='Energy margins'!$M$60,B42&lt;='Energy margins'!$N$60),B42-'Energy margins'!$M$60,""),'Energy margins'!$O$60)=0,'Energy margins'!$L$60,0))</f>
        <v>270.5</v>
      </c>
      <c r="S42" s="918">
        <f>IF(ISERROR(IF(MOD(IF(AND(B42&gt;='Energy margins'!$M$61,B42&lt;='Energy margins'!$N$61),B42-'Energy margins'!$M$61,""),'Energy margins'!$O$61)=0,'Energy margins'!$L$61,0)),0,IF(MOD(IF(AND(B42&gt;='Energy margins'!$M$61,B42&lt;='Energy margins'!$N$61),B42-'Energy margins'!$M$61,""),'Energy margins'!$O$61)=0,'Energy margins'!$L$61,0))</f>
        <v>0</v>
      </c>
      <c r="T42" s="918">
        <f>IF(ISERROR(IF(MOD(IF(AND(B42&gt;='Energy margins'!$M$62,B42&lt;='Energy margins'!$N$62),B42-'Energy margins'!$M$62,""),'Energy margins'!$O$62)=0,'Energy margins'!$L$62,0)),0,IF(MOD(IF(AND(B42&gt;='Energy margins'!$M$62,B42&lt;='Energy margins'!$N$62),B42-'Energy margins'!$M$62,""),'Energy margins'!$O$62)=0,'Energy margins'!$L$62,0))</f>
        <v>0</v>
      </c>
      <c r="U42" s="944">
        <f t="shared" si="19"/>
        <v>423.52324399999998</v>
      </c>
      <c r="V42" s="197"/>
      <c r="W42" s="197">
        <f t="shared" si="20"/>
        <v>423.52324399999998</v>
      </c>
      <c r="X42" s="197">
        <f t="shared" si="14"/>
        <v>125.10175600000002</v>
      </c>
      <c r="Y42" s="197">
        <f t="shared" si="15"/>
        <v>455.10175600000002</v>
      </c>
      <c r="Z42" s="973">
        <f t="shared" si="21"/>
        <v>502.06959286262719</v>
      </c>
      <c r="AA42" s="974">
        <f t="shared" si="22"/>
        <v>301.99674758654265</v>
      </c>
      <c r="AB42" s="974">
        <f t="shared" si="23"/>
        <v>387.58376428879308</v>
      </c>
      <c r="AC42" s="974">
        <f t="shared" si="24"/>
        <v>114.48582857383411</v>
      </c>
      <c r="AD42" s="974">
        <f t="shared" si="25"/>
        <v>416.48257616037677</v>
      </c>
      <c r="AE42" s="973">
        <f t="shared" si="30"/>
        <v>1152.7849642454153</v>
      </c>
      <c r="AF42" s="974">
        <f t="shared" si="26"/>
        <v>1263.4417471152447</v>
      </c>
      <c r="AG42" s="974">
        <f t="shared" si="27"/>
        <v>3669.6766428632104</v>
      </c>
      <c r="AH42" s="974">
        <f t="shared" si="28"/>
        <v>-2516.8916786177952</v>
      </c>
      <c r="AI42" s="975">
        <f t="shared" si="29"/>
        <v>-1253.4499315025507</v>
      </c>
    </row>
    <row r="43" spans="2:35" x14ac:dyDescent="0.3">
      <c r="B43" s="900">
        <v>5</v>
      </c>
      <c r="C43" s="922">
        <f>'Energy Inputs'!E34</f>
        <v>1</v>
      </c>
      <c r="D43" s="918">
        <f>C43*'Energy Inputs'!$E$24</f>
        <v>12.54</v>
      </c>
      <c r="E43" s="197">
        <f>'Energy margins'!$L$12</f>
        <v>43.75</v>
      </c>
      <c r="F43" s="197">
        <f t="shared" si="17"/>
        <v>548.625</v>
      </c>
      <c r="G43" s="918">
        <f>'Energy Inputs'!$D$10</f>
        <v>330</v>
      </c>
      <c r="H43" s="197">
        <f t="shared" si="18"/>
        <v>878.625</v>
      </c>
      <c r="I43" s="197"/>
      <c r="J43" s="943">
        <f>IF(ISERROR(IF(MOD(IF(AND(B43&gt;='Energy margins'!$M$44,B43&lt;='Energy margins'!$N$44),B43-'Energy margins'!$M$44,""),'Energy margins'!$O$44)=0,'Energy margins'!$L$44,0)),0,IF(MOD(IF(AND(B43&gt;='Energy margins'!$M$44,B43&lt;='Energy margins'!$N$44),B43-'Energy margins'!$M$44,""),'Energy margins'!$O$44)=0,'Energy margins'!$L$44,0))</f>
        <v>0</v>
      </c>
      <c r="K43" s="918">
        <f>IF(ISERROR(IF(MOD(IF(AND(B43&gt;='Energy margins'!$M$45,B43&lt;='Energy margins'!$N$45),B43-'Energy margins'!$M$45,""),'Energy margins'!$O$45)=0,'Energy margins'!$L$45,0)),0,IF(MOD(IF(AND(B43&gt;='Energy margins'!$M$45,B43&lt;='Energy margins'!$N$45),B43-'Energy margins'!$M$45,""),'Energy margins'!$O$45)=0,'Energy margins'!$L$45,0))</f>
        <v>0</v>
      </c>
      <c r="L43" s="918">
        <f>IF(ISERROR(IF(MOD(IF(AND(B43&gt;='Energy margins'!$M$46,B43&lt;='Energy margins'!$N$46),B43-'Energy margins'!$M$46,""),'Energy margins'!$O$46)=0,'Energy margins'!$L$46,0)),0,IF(MOD(IF(AND(B43&gt;='Energy margins'!$M$46,B43&lt;='Energy margins'!$N$46),B43-'Energy margins'!$M$46,""),'Energy margins'!$O$46)=0,'Energy margins'!$L$46,0))</f>
        <v>0</v>
      </c>
      <c r="M43" s="918">
        <f>IF(ISERROR(IF(MOD(IF(AND(B43&gt;='Energy margins'!$M$47,B43&lt;='Energy margins'!$N$47),B43-'Energy margins'!$M$47,""),'Energy margins'!$O$47)=0,'Energy margins'!$L$47,0)),0,IF(MOD(IF(AND(B43&gt;='Energy margins'!$M$47,B43&lt;='Energy margins'!$N$47),B43-'Energy margins'!$M$47,""),'Energy margins'!$O$47)=0,'Energy margins'!$L$47,0))</f>
        <v>19.974783999999993</v>
      </c>
      <c r="N43" s="918">
        <f>IF(ISERROR(IF(MOD(IF(AND(B43&gt;='Energy margins'!$M$50,B43&lt;='Energy margins'!$N$50),B43-'Energy margins'!$M$50,""),'Energy margins'!$O$50)=0,'Energy margins'!$L$50,0)),0,IF(MOD(IF(AND(B43&gt;='Energy margins'!$M$50,B43&lt;='Energy margins'!$N$50),B43-'Energy margins'!$M$50,""),'Energy margins'!$O$50)=0,'Energy margins'!$L$50,0))</f>
        <v>61.887839999999997</v>
      </c>
      <c r="O43" s="918">
        <f>IF(ISERROR(IF(MOD(IF(AND(B43&gt;='Energy margins'!$M$53,B43&lt;='Energy margins'!$N$53),B43-'Energy margins'!$M$53,""),'Energy margins'!$O$53)=0,'Energy margins'!$L$53,0)),0,IF(MOD(IF(AND(B43&gt;='Energy margins'!$M$53,B43&lt;='Energy margins'!$N$53),B43-'Energy margins'!$M$53,""),'Energy margins'!$O$53)=0,'Energy margins'!$L$53,0))</f>
        <v>10.140619999999998</v>
      </c>
      <c r="P43" s="918">
        <f>IF(ISERROR(IF(MOD(IF(AND(B43&gt;='Energy margins'!$M$56,B43&lt;='Energy margins'!$N$56),B43-'Energy margins'!$M$56,""),'Energy margins'!$O$56)=0,'Energy margins'!$L$56,0)),0,IF(MOD(IF(AND(B43&gt;='Energy margins'!$M$56,B43&lt;='Energy margins'!$N$56),B43-'Energy margins'!$M$56,""),'Energy margins'!$O$56)=0,'Energy margins'!$L$56,0))</f>
        <v>61.019999999999996</v>
      </c>
      <c r="Q43" s="918">
        <f>IF(ISERROR(IF(MOD(IF(AND(B43&gt;='Energy margins'!$M$59,B43&lt;='Energy margins'!$N$59),B43-'Energy margins'!$M$59,""),'Energy margins'!$O$59)=0,'Energy margins'!$L$59,0)),0,IF(MOD(IF(AND(B43&gt;='Energy margins'!$M$59,B43&lt;='Energy margins'!$N$59),B43-'Energy margins'!$M$59,""),'Energy margins'!$O$59)=0,'Energy margins'!$L$59,0))</f>
        <v>0</v>
      </c>
      <c r="R43" s="918">
        <f>IF(ISERROR(IF(MOD(IF(AND(B43&gt;='Energy margins'!$M$60,B43&lt;='Energy margins'!$N$60),B43-'Energy margins'!$M$60,""),'Energy margins'!$O$60)=0,'Energy margins'!$L$60,0)),0,IF(MOD(IF(AND(B43&gt;='Energy margins'!$M$60,B43&lt;='Energy margins'!$N$60),B43-'Energy margins'!$M$60,""),'Energy margins'!$O$60)=0,'Energy margins'!$L$60,0))</f>
        <v>270.5</v>
      </c>
      <c r="S43" s="918">
        <f>IF(ISERROR(IF(MOD(IF(AND(B43&gt;='Energy margins'!$M$61,B43&lt;='Energy margins'!$N$61),B43-'Energy margins'!$M$61,""),'Energy margins'!$O$61)=0,'Energy margins'!$L$61,0)),0,IF(MOD(IF(AND(B43&gt;='Energy margins'!$M$61,B43&lt;='Energy margins'!$N$61),B43-'Energy margins'!$M$61,""),'Energy margins'!$O$61)=0,'Energy margins'!$L$61,0))</f>
        <v>0</v>
      </c>
      <c r="T43" s="918">
        <f>IF(ISERROR(IF(MOD(IF(AND(B43&gt;='Energy margins'!$M$62,B43&lt;='Energy margins'!$N$62),B43-'Energy margins'!$M$62,""),'Energy margins'!$O$62)=0,'Energy margins'!$L$62,0)),0,IF(MOD(IF(AND(B43&gt;='Energy margins'!$M$62,B43&lt;='Energy margins'!$N$62),B43-'Energy margins'!$M$62,""),'Energy margins'!$O$62)=0,'Energy margins'!$L$62,0))</f>
        <v>0</v>
      </c>
      <c r="U43" s="944">
        <f t="shared" si="19"/>
        <v>423.52324399999998</v>
      </c>
      <c r="V43" s="197"/>
      <c r="W43" s="197">
        <f t="shared" si="20"/>
        <v>423.52324399999998</v>
      </c>
      <c r="X43" s="197">
        <f t="shared" si="14"/>
        <v>125.10175600000002</v>
      </c>
      <c r="Y43" s="197">
        <f t="shared" si="15"/>
        <v>455.10175600000002</v>
      </c>
      <c r="Z43" s="973">
        <f t="shared" si="21"/>
        <v>487.44620666274488</v>
      </c>
      <c r="AA43" s="974">
        <f t="shared" si="22"/>
        <v>293.20072581217738</v>
      </c>
      <c r="AB43" s="974">
        <f t="shared" si="23"/>
        <v>376.29491678523601</v>
      </c>
      <c r="AC43" s="974">
        <f t="shared" si="24"/>
        <v>111.15128987750884</v>
      </c>
      <c r="AD43" s="974">
        <f t="shared" si="25"/>
        <v>404.3520156896862</v>
      </c>
      <c r="AE43" s="973">
        <f t="shared" si="30"/>
        <v>1640.23117090816</v>
      </c>
      <c r="AF43" s="974">
        <f t="shared" si="26"/>
        <v>1556.642472927422</v>
      </c>
      <c r="AG43" s="974">
        <f t="shared" si="27"/>
        <v>4045.9715596484466</v>
      </c>
      <c r="AH43" s="974">
        <f t="shared" si="28"/>
        <v>-2405.7403887402861</v>
      </c>
      <c r="AI43" s="975">
        <f t="shared" si="29"/>
        <v>-849.09791581286458</v>
      </c>
    </row>
    <row r="44" spans="2:35" x14ac:dyDescent="0.3">
      <c r="B44" s="900">
        <v>6</v>
      </c>
      <c r="C44" s="922">
        <f>'Energy Inputs'!E35</f>
        <v>1</v>
      </c>
      <c r="D44" s="918">
        <f>C44*'Energy Inputs'!$E$24</f>
        <v>12.54</v>
      </c>
      <c r="E44" s="197">
        <f>'Energy margins'!$L$12</f>
        <v>43.75</v>
      </c>
      <c r="F44" s="197">
        <f t="shared" si="17"/>
        <v>548.625</v>
      </c>
      <c r="G44" s="918">
        <f>'Energy Inputs'!$D$10</f>
        <v>330</v>
      </c>
      <c r="H44" s="197">
        <f t="shared" si="18"/>
        <v>878.625</v>
      </c>
      <c r="I44" s="197"/>
      <c r="J44" s="943">
        <f>IF(ISERROR(IF(MOD(IF(AND(B44&gt;='Energy margins'!$M$44,B44&lt;='Energy margins'!$N$44),B44-'Energy margins'!$M$44,""),'Energy margins'!$O$44)=0,'Energy margins'!$L$44,0)),0,IF(MOD(IF(AND(B44&gt;='Energy margins'!$M$44,B44&lt;='Energy margins'!$N$44),B44-'Energy margins'!$M$44,""),'Energy margins'!$O$44)=0,'Energy margins'!$L$44,0))</f>
        <v>0</v>
      </c>
      <c r="K44" s="918">
        <f>IF(ISERROR(IF(MOD(IF(AND(B44&gt;='Energy margins'!$M$45,B44&lt;='Energy margins'!$N$45),B44-'Energy margins'!$M$45,""),'Energy margins'!$O$45)=0,'Energy margins'!$L$45,0)),0,IF(MOD(IF(AND(B44&gt;='Energy margins'!$M$45,B44&lt;='Energy margins'!$N$45),B44-'Energy margins'!$M$45,""),'Energy margins'!$O$45)=0,'Energy margins'!$L$45,0))</f>
        <v>0</v>
      </c>
      <c r="L44" s="918">
        <f>IF(ISERROR(IF(MOD(IF(AND(B44&gt;='Energy margins'!$M$46,B44&lt;='Energy margins'!$N$46),B44-'Energy margins'!$M$46,""),'Energy margins'!$O$46)=0,'Energy margins'!$L$46,0)),0,IF(MOD(IF(AND(B44&gt;='Energy margins'!$M$46,B44&lt;='Energy margins'!$N$46),B44-'Energy margins'!$M$46,""),'Energy margins'!$O$46)=0,'Energy margins'!$L$46,0))</f>
        <v>0</v>
      </c>
      <c r="M44" s="918">
        <f>IF(ISERROR(IF(MOD(IF(AND(B44&gt;='Energy margins'!$M$47,B44&lt;='Energy margins'!$N$47),B44-'Energy margins'!$M$47,""),'Energy margins'!$O$47)=0,'Energy margins'!$L$47,0)),0,IF(MOD(IF(AND(B44&gt;='Energy margins'!$M$47,B44&lt;='Energy margins'!$N$47),B44-'Energy margins'!$M$47,""),'Energy margins'!$O$47)=0,'Energy margins'!$L$47,0))</f>
        <v>19.974783999999993</v>
      </c>
      <c r="N44" s="918">
        <f>IF(ISERROR(IF(MOD(IF(AND(B44&gt;='Energy margins'!$M$50,B44&lt;='Energy margins'!$N$50),B44-'Energy margins'!$M$50,""),'Energy margins'!$O$50)=0,'Energy margins'!$L$50,0)),0,IF(MOD(IF(AND(B44&gt;='Energy margins'!$M$50,B44&lt;='Energy margins'!$N$50),B44-'Energy margins'!$M$50,""),'Energy margins'!$O$50)=0,'Energy margins'!$L$50,0))</f>
        <v>61.887839999999997</v>
      </c>
      <c r="O44" s="918">
        <f>IF(ISERROR(IF(MOD(IF(AND(B44&gt;='Energy margins'!$M$53,B44&lt;='Energy margins'!$N$53),B44-'Energy margins'!$M$53,""),'Energy margins'!$O$53)=0,'Energy margins'!$L$53,0)),0,IF(MOD(IF(AND(B44&gt;='Energy margins'!$M$53,B44&lt;='Energy margins'!$N$53),B44-'Energy margins'!$M$53,""),'Energy margins'!$O$53)=0,'Energy margins'!$L$53,0))</f>
        <v>10.140619999999998</v>
      </c>
      <c r="P44" s="918">
        <f>IF(ISERROR(IF(MOD(IF(AND(B44&gt;='Energy margins'!$M$56,B44&lt;='Energy margins'!$N$56),B44-'Energy margins'!$M$56,""),'Energy margins'!$O$56)=0,'Energy margins'!$L$56,0)),0,IF(MOD(IF(AND(B44&gt;='Energy margins'!$M$56,B44&lt;='Energy margins'!$N$56),B44-'Energy margins'!$M$56,""),'Energy margins'!$O$56)=0,'Energy margins'!$L$56,0))</f>
        <v>61.019999999999996</v>
      </c>
      <c r="Q44" s="918">
        <f>IF(ISERROR(IF(MOD(IF(AND(B44&gt;='Energy margins'!$M$59,B44&lt;='Energy margins'!$N$59),B44-'Energy margins'!$M$59,""),'Energy margins'!$O$59)=0,'Energy margins'!$L$59,0)),0,IF(MOD(IF(AND(B44&gt;='Energy margins'!$M$59,B44&lt;='Energy margins'!$N$59),B44-'Energy margins'!$M$59,""),'Energy margins'!$O$59)=0,'Energy margins'!$L$59,0))</f>
        <v>0</v>
      </c>
      <c r="R44" s="918">
        <f>IF(ISERROR(IF(MOD(IF(AND(B44&gt;='Energy margins'!$M$60,B44&lt;='Energy margins'!$N$60),B44-'Energy margins'!$M$60,""),'Energy margins'!$O$60)=0,'Energy margins'!$L$60,0)),0,IF(MOD(IF(AND(B44&gt;='Energy margins'!$M$60,B44&lt;='Energy margins'!$N$60),B44-'Energy margins'!$M$60,""),'Energy margins'!$O$60)=0,'Energy margins'!$L$60,0))</f>
        <v>270.5</v>
      </c>
      <c r="S44" s="918">
        <f>IF(ISERROR(IF(MOD(IF(AND(B44&gt;='Energy margins'!$M$61,B44&lt;='Energy margins'!$N$61),B44-'Energy margins'!$M$61,""),'Energy margins'!$O$61)=0,'Energy margins'!$L$61,0)),0,IF(MOD(IF(AND(B44&gt;='Energy margins'!$M$61,B44&lt;='Energy margins'!$N$61),B44-'Energy margins'!$M$61,""),'Energy margins'!$O$61)=0,'Energy margins'!$L$61,0))</f>
        <v>0</v>
      </c>
      <c r="T44" s="918">
        <f>IF(ISERROR(IF(MOD(IF(AND(B44&gt;='Energy margins'!$M$62,B44&lt;='Energy margins'!$N$62),B44-'Energy margins'!$M$62,""),'Energy margins'!$O$62)=0,'Energy margins'!$L$62,0)),0,IF(MOD(IF(AND(B44&gt;='Energy margins'!$M$62,B44&lt;='Energy margins'!$N$62),B44-'Energy margins'!$M$62,""),'Energy margins'!$O$62)=0,'Energy margins'!$L$62,0))</f>
        <v>0</v>
      </c>
      <c r="U44" s="944">
        <f t="shared" si="19"/>
        <v>423.52324399999998</v>
      </c>
      <c r="V44" s="197"/>
      <c r="W44" s="197">
        <f t="shared" si="20"/>
        <v>423.52324399999998</v>
      </c>
      <c r="X44" s="197">
        <f t="shared" si="14"/>
        <v>125.10175600000002</v>
      </c>
      <c r="Y44" s="197">
        <f t="shared" si="15"/>
        <v>455.10175600000002</v>
      </c>
      <c r="Z44" s="973">
        <f t="shared" si="21"/>
        <v>473.24874433276204</v>
      </c>
      <c r="AA44" s="974">
        <f t="shared" si="22"/>
        <v>284.66089884677416</v>
      </c>
      <c r="AB44" s="974">
        <f t="shared" si="23"/>
        <v>365.33487066527772</v>
      </c>
      <c r="AC44" s="974">
        <f t="shared" si="24"/>
        <v>107.91387366748432</v>
      </c>
      <c r="AD44" s="974">
        <f t="shared" si="25"/>
        <v>392.57477251425848</v>
      </c>
      <c r="AE44" s="973">
        <f t="shared" si="30"/>
        <v>2113.4799152409223</v>
      </c>
      <c r="AF44" s="974">
        <f t="shared" si="26"/>
        <v>1841.3033717741962</v>
      </c>
      <c r="AG44" s="974">
        <f t="shared" si="27"/>
        <v>4411.3064303137244</v>
      </c>
      <c r="AH44" s="974">
        <f t="shared" si="28"/>
        <v>-2297.8265150728016</v>
      </c>
      <c r="AI44" s="975">
        <f t="shared" si="29"/>
        <v>-456.5231432986061</v>
      </c>
    </row>
    <row r="45" spans="2:35" x14ac:dyDescent="0.3">
      <c r="B45" s="900">
        <v>7</v>
      </c>
      <c r="C45" s="922">
        <f>'Energy Inputs'!E36</f>
        <v>1</v>
      </c>
      <c r="D45" s="918">
        <f>C45*'Energy Inputs'!$E$24</f>
        <v>12.54</v>
      </c>
      <c r="E45" s="197">
        <f>'Energy margins'!$L$12</f>
        <v>43.75</v>
      </c>
      <c r="F45" s="197">
        <f t="shared" si="17"/>
        <v>548.625</v>
      </c>
      <c r="G45" s="918">
        <f>'Energy Inputs'!$D$10</f>
        <v>330</v>
      </c>
      <c r="H45" s="197">
        <f t="shared" si="18"/>
        <v>878.625</v>
      </c>
      <c r="I45" s="197"/>
      <c r="J45" s="943">
        <f>IF(ISERROR(IF(MOD(IF(AND(B45&gt;='Energy margins'!$M$44,B45&lt;='Energy margins'!$N$44),B45-'Energy margins'!$M$44,""),'Energy margins'!$O$44)=0,'Energy margins'!$L$44,0)),0,IF(MOD(IF(AND(B45&gt;='Energy margins'!$M$44,B45&lt;='Energy margins'!$N$44),B45-'Energy margins'!$M$44,""),'Energy margins'!$O$44)=0,'Energy margins'!$L$44,0))</f>
        <v>0</v>
      </c>
      <c r="K45" s="918">
        <f>IF(ISERROR(IF(MOD(IF(AND(B45&gt;='Energy margins'!$M$45,B45&lt;='Energy margins'!$N$45),B45-'Energy margins'!$M$45,""),'Energy margins'!$O$45)=0,'Energy margins'!$L$45,0)),0,IF(MOD(IF(AND(B45&gt;='Energy margins'!$M$45,B45&lt;='Energy margins'!$N$45),B45-'Energy margins'!$M$45,""),'Energy margins'!$O$45)=0,'Energy margins'!$L$45,0))</f>
        <v>0</v>
      </c>
      <c r="L45" s="918">
        <f>IF(ISERROR(IF(MOD(IF(AND(B45&gt;='Energy margins'!$M$46,B45&lt;='Energy margins'!$N$46),B45-'Energy margins'!$M$46,""),'Energy margins'!$O$46)=0,'Energy margins'!$L$46,0)),0,IF(MOD(IF(AND(B45&gt;='Energy margins'!$M$46,B45&lt;='Energy margins'!$N$46),B45-'Energy margins'!$M$46,""),'Energy margins'!$O$46)=0,'Energy margins'!$L$46,0))</f>
        <v>0</v>
      </c>
      <c r="M45" s="918">
        <f>IF(ISERROR(IF(MOD(IF(AND(B45&gt;='Energy margins'!$M$47,B45&lt;='Energy margins'!$N$47),B45-'Energy margins'!$M$47,""),'Energy margins'!$O$47)=0,'Energy margins'!$L$47,0)),0,IF(MOD(IF(AND(B45&gt;='Energy margins'!$M$47,B45&lt;='Energy margins'!$N$47),B45-'Energy margins'!$M$47,""),'Energy margins'!$O$47)=0,'Energy margins'!$L$47,0))</f>
        <v>19.974783999999993</v>
      </c>
      <c r="N45" s="918">
        <f>IF(ISERROR(IF(MOD(IF(AND(B45&gt;='Energy margins'!$M$50,B45&lt;='Energy margins'!$N$50),B45-'Energy margins'!$M$50,""),'Energy margins'!$O$50)=0,'Energy margins'!$L$50,0)),0,IF(MOD(IF(AND(B45&gt;='Energy margins'!$M$50,B45&lt;='Energy margins'!$N$50),B45-'Energy margins'!$M$50,""),'Energy margins'!$O$50)=0,'Energy margins'!$L$50,0))</f>
        <v>61.887839999999997</v>
      </c>
      <c r="O45" s="918">
        <f>IF(ISERROR(IF(MOD(IF(AND(B45&gt;='Energy margins'!$M$53,B45&lt;='Energy margins'!$N$53),B45-'Energy margins'!$M$53,""),'Energy margins'!$O$53)=0,'Energy margins'!$L$53,0)),0,IF(MOD(IF(AND(B45&gt;='Energy margins'!$M$53,B45&lt;='Energy margins'!$N$53),B45-'Energy margins'!$M$53,""),'Energy margins'!$O$53)=0,'Energy margins'!$L$53,0))</f>
        <v>10.140619999999998</v>
      </c>
      <c r="P45" s="918">
        <f>IF(ISERROR(IF(MOD(IF(AND(B45&gt;='Energy margins'!$M$56,B45&lt;='Energy margins'!$N$56),B45-'Energy margins'!$M$56,""),'Energy margins'!$O$56)=0,'Energy margins'!$L$56,0)),0,IF(MOD(IF(AND(B45&gt;='Energy margins'!$M$56,B45&lt;='Energy margins'!$N$56),B45-'Energy margins'!$M$56,""),'Energy margins'!$O$56)=0,'Energy margins'!$L$56,0))</f>
        <v>61.019999999999996</v>
      </c>
      <c r="Q45" s="918">
        <f>IF(ISERROR(IF(MOD(IF(AND(B45&gt;='Energy margins'!$M$59,B45&lt;='Energy margins'!$N$59),B45-'Energy margins'!$M$59,""),'Energy margins'!$O$59)=0,'Energy margins'!$L$59,0)),0,IF(MOD(IF(AND(B45&gt;='Energy margins'!$M$59,B45&lt;='Energy margins'!$N$59),B45-'Energy margins'!$M$59,""),'Energy margins'!$O$59)=0,'Energy margins'!$L$59,0))</f>
        <v>0</v>
      </c>
      <c r="R45" s="918">
        <f>IF(ISERROR(IF(MOD(IF(AND(B45&gt;='Energy margins'!$M$60,B45&lt;='Energy margins'!$N$60),B45-'Energy margins'!$M$60,""),'Energy margins'!$O$60)=0,'Energy margins'!$L$60,0)),0,IF(MOD(IF(AND(B45&gt;='Energy margins'!$M$60,B45&lt;='Energy margins'!$N$60),B45-'Energy margins'!$M$60,""),'Energy margins'!$O$60)=0,'Energy margins'!$L$60,0))</f>
        <v>270.5</v>
      </c>
      <c r="S45" s="918">
        <f>IF(ISERROR(IF(MOD(IF(AND(B45&gt;='Energy margins'!$M$61,B45&lt;='Energy margins'!$N$61),B45-'Energy margins'!$M$61,""),'Energy margins'!$O$61)=0,'Energy margins'!$L$61,0)),0,IF(MOD(IF(AND(B45&gt;='Energy margins'!$M$61,B45&lt;='Energy margins'!$N$61),B45-'Energy margins'!$M$61,""),'Energy margins'!$O$61)=0,'Energy margins'!$L$61,0))</f>
        <v>0</v>
      </c>
      <c r="T45" s="918">
        <f>IF(ISERROR(IF(MOD(IF(AND(B45&gt;='Energy margins'!$M$62,B45&lt;='Energy margins'!$N$62),B45-'Energy margins'!$M$62,""),'Energy margins'!$O$62)=0,'Energy margins'!$L$62,0)),0,IF(MOD(IF(AND(B45&gt;='Energy margins'!$M$62,B45&lt;='Energy margins'!$N$62),B45-'Energy margins'!$M$62,""),'Energy margins'!$O$62)=0,'Energy margins'!$L$62,0))</f>
        <v>0</v>
      </c>
      <c r="U45" s="944">
        <f t="shared" si="19"/>
        <v>423.52324399999998</v>
      </c>
      <c r="V45" s="197"/>
      <c r="W45" s="197">
        <f t="shared" si="20"/>
        <v>423.52324399999998</v>
      </c>
      <c r="X45" s="197">
        <f t="shared" si="14"/>
        <v>125.10175600000002</v>
      </c>
      <c r="Y45" s="197">
        <f t="shared" si="15"/>
        <v>455.10175600000002</v>
      </c>
      <c r="Z45" s="973">
        <f t="shared" si="21"/>
        <v>459.46480032306988</v>
      </c>
      <c r="AA45" s="974">
        <f t="shared" si="22"/>
        <v>276.36980470560593</v>
      </c>
      <c r="AB45" s="974">
        <f t="shared" si="23"/>
        <v>354.69404918958998</v>
      </c>
      <c r="AC45" s="974">
        <f t="shared" si="24"/>
        <v>104.77075113347992</v>
      </c>
      <c r="AD45" s="974">
        <f t="shared" si="25"/>
        <v>381.14055583908589</v>
      </c>
      <c r="AE45" s="973">
        <f t="shared" si="30"/>
        <v>2572.9447155639923</v>
      </c>
      <c r="AF45" s="974">
        <f t="shared" si="26"/>
        <v>2117.6731764798024</v>
      </c>
      <c r="AG45" s="974">
        <f t="shared" si="27"/>
        <v>4766.0004795033146</v>
      </c>
      <c r="AH45" s="974">
        <f t="shared" si="28"/>
        <v>-2193.0557639393219</v>
      </c>
      <c r="AI45" s="975">
        <f t="shared" si="29"/>
        <v>-75.382587459520209</v>
      </c>
    </row>
    <row r="46" spans="2:35" x14ac:dyDescent="0.3">
      <c r="B46" s="900">
        <v>8</v>
      </c>
      <c r="C46" s="922">
        <f>'Energy Inputs'!E37</f>
        <v>1</v>
      </c>
      <c r="D46" s="918">
        <f>C46*'Energy Inputs'!$E$24</f>
        <v>12.54</v>
      </c>
      <c r="E46" s="197">
        <f>'Energy margins'!$L$12</f>
        <v>43.75</v>
      </c>
      <c r="F46" s="197">
        <f t="shared" si="17"/>
        <v>548.625</v>
      </c>
      <c r="G46" s="918">
        <f>'Energy Inputs'!$D$10</f>
        <v>330</v>
      </c>
      <c r="H46" s="197">
        <f t="shared" si="18"/>
        <v>878.625</v>
      </c>
      <c r="I46" s="197"/>
      <c r="J46" s="943">
        <f>IF(ISERROR(IF(MOD(IF(AND(B46&gt;='Energy margins'!$M$44,B46&lt;='Energy margins'!$N$44),B46-'Energy margins'!$M$44,""),'Energy margins'!$O$44)=0,'Energy margins'!$L$44,0)),0,IF(MOD(IF(AND(B46&gt;='Energy margins'!$M$44,B46&lt;='Energy margins'!$N$44),B46-'Energy margins'!$M$44,""),'Energy margins'!$O$44)=0,'Energy margins'!$L$44,0))</f>
        <v>0</v>
      </c>
      <c r="K46" s="918">
        <f>IF(ISERROR(IF(MOD(IF(AND(B46&gt;='Energy margins'!$M$45,B46&lt;='Energy margins'!$N$45),B46-'Energy margins'!$M$45,""),'Energy margins'!$O$45)=0,'Energy margins'!$L$45,0)),0,IF(MOD(IF(AND(B46&gt;='Energy margins'!$M$45,B46&lt;='Energy margins'!$N$45),B46-'Energy margins'!$M$45,""),'Energy margins'!$O$45)=0,'Energy margins'!$L$45,0))</f>
        <v>0</v>
      </c>
      <c r="L46" s="918">
        <f>IF(ISERROR(IF(MOD(IF(AND(B46&gt;='Energy margins'!$M$46,B46&lt;='Energy margins'!$N$46),B46-'Energy margins'!$M$46,""),'Energy margins'!$O$46)=0,'Energy margins'!$L$46,0)),0,IF(MOD(IF(AND(B46&gt;='Energy margins'!$M$46,B46&lt;='Energy margins'!$N$46),B46-'Energy margins'!$M$46,""),'Energy margins'!$O$46)=0,'Energy margins'!$L$46,0))</f>
        <v>0</v>
      </c>
      <c r="M46" s="918">
        <f>IF(ISERROR(IF(MOD(IF(AND(B46&gt;='Energy margins'!$M$47,B46&lt;='Energy margins'!$N$47),B46-'Energy margins'!$M$47,""),'Energy margins'!$O$47)=0,'Energy margins'!$L$47,0)),0,IF(MOD(IF(AND(B46&gt;='Energy margins'!$M$47,B46&lt;='Energy margins'!$N$47),B46-'Energy margins'!$M$47,""),'Energy margins'!$O$47)=0,'Energy margins'!$L$47,0))</f>
        <v>19.974783999999993</v>
      </c>
      <c r="N46" s="918">
        <f>IF(ISERROR(IF(MOD(IF(AND(B46&gt;='Energy margins'!$M$50,B46&lt;='Energy margins'!$N$50),B46-'Energy margins'!$M$50,""),'Energy margins'!$O$50)=0,'Energy margins'!$L$50,0)),0,IF(MOD(IF(AND(B46&gt;='Energy margins'!$M$50,B46&lt;='Energy margins'!$N$50),B46-'Energy margins'!$M$50,""),'Energy margins'!$O$50)=0,'Energy margins'!$L$50,0))</f>
        <v>61.887839999999997</v>
      </c>
      <c r="O46" s="918">
        <f>IF(ISERROR(IF(MOD(IF(AND(B46&gt;='Energy margins'!$M$53,B46&lt;='Energy margins'!$N$53),B46-'Energy margins'!$M$53,""),'Energy margins'!$O$53)=0,'Energy margins'!$L$53,0)),0,IF(MOD(IF(AND(B46&gt;='Energy margins'!$M$53,B46&lt;='Energy margins'!$N$53),B46-'Energy margins'!$M$53,""),'Energy margins'!$O$53)=0,'Energy margins'!$L$53,0))</f>
        <v>10.140619999999998</v>
      </c>
      <c r="P46" s="918">
        <f>IF(ISERROR(IF(MOD(IF(AND(B46&gt;='Energy margins'!$M$56,B46&lt;='Energy margins'!$N$56),B46-'Energy margins'!$M$56,""),'Energy margins'!$O$56)=0,'Energy margins'!$L$56,0)),0,IF(MOD(IF(AND(B46&gt;='Energy margins'!$M$56,B46&lt;='Energy margins'!$N$56),B46-'Energy margins'!$M$56,""),'Energy margins'!$O$56)=0,'Energy margins'!$L$56,0))</f>
        <v>61.019999999999996</v>
      </c>
      <c r="Q46" s="918">
        <f>IF(ISERROR(IF(MOD(IF(AND(B46&gt;='Energy margins'!$M$59,B46&lt;='Energy margins'!$N$59),B46-'Energy margins'!$M$59,""),'Energy margins'!$O$59)=0,'Energy margins'!$L$59,0)),0,IF(MOD(IF(AND(B46&gt;='Energy margins'!$M$59,B46&lt;='Energy margins'!$N$59),B46-'Energy margins'!$M$59,""),'Energy margins'!$O$59)=0,'Energy margins'!$L$59,0))</f>
        <v>0</v>
      </c>
      <c r="R46" s="918">
        <f>IF(ISERROR(IF(MOD(IF(AND(B46&gt;='Energy margins'!$M$60,B46&lt;='Energy margins'!$N$60),B46-'Energy margins'!$M$60,""),'Energy margins'!$O$60)=0,'Energy margins'!$L$60,0)),0,IF(MOD(IF(AND(B46&gt;='Energy margins'!$M$60,B46&lt;='Energy margins'!$N$60),B46-'Energy margins'!$M$60,""),'Energy margins'!$O$60)=0,'Energy margins'!$L$60,0))</f>
        <v>270.5</v>
      </c>
      <c r="S46" s="918">
        <f>IF(ISERROR(IF(MOD(IF(AND(B46&gt;='Energy margins'!$M$61,B46&lt;='Energy margins'!$N$61),B46-'Energy margins'!$M$61,""),'Energy margins'!$O$61)=0,'Energy margins'!$L$61,0)),0,IF(MOD(IF(AND(B46&gt;='Energy margins'!$M$61,B46&lt;='Energy margins'!$N$61),B46-'Energy margins'!$M$61,""),'Energy margins'!$O$61)=0,'Energy margins'!$L$61,0))</f>
        <v>0</v>
      </c>
      <c r="T46" s="918">
        <f>IF(ISERROR(IF(MOD(IF(AND(B46&gt;='Energy margins'!$M$62,B46&lt;='Energy margins'!$N$62),B46-'Energy margins'!$M$62,""),'Energy margins'!$O$62)=0,'Energy margins'!$L$62,0)),0,IF(MOD(IF(AND(B46&gt;='Energy margins'!$M$62,B46&lt;='Energy margins'!$N$62),B46-'Energy margins'!$M$62,""),'Energy margins'!$O$62)=0,'Energy margins'!$L$62,0))</f>
        <v>0</v>
      </c>
      <c r="U46" s="944">
        <f t="shared" si="19"/>
        <v>423.52324399999998</v>
      </c>
      <c r="V46" s="197"/>
      <c r="W46" s="197">
        <f t="shared" si="20"/>
        <v>423.52324399999998</v>
      </c>
      <c r="X46" s="197">
        <f t="shared" si="14"/>
        <v>125.10175600000002</v>
      </c>
      <c r="Y46" s="197">
        <f t="shared" si="15"/>
        <v>455.10175600000002</v>
      </c>
      <c r="Z46" s="973">
        <f t="shared" si="21"/>
        <v>446.08233041074743</v>
      </c>
      <c r="AA46" s="974">
        <f t="shared" si="22"/>
        <v>268.32019874330672</v>
      </c>
      <c r="AB46" s="974">
        <f t="shared" si="23"/>
        <v>344.36315455299996</v>
      </c>
      <c r="AC46" s="974">
        <f t="shared" si="24"/>
        <v>101.71917585774749</v>
      </c>
      <c r="AD46" s="974">
        <f t="shared" si="25"/>
        <v>370.03937460105425</v>
      </c>
      <c r="AE46" s="973">
        <f t="shared" si="30"/>
        <v>3019.0270459747398</v>
      </c>
      <c r="AF46" s="974">
        <f t="shared" si="26"/>
        <v>2385.9933752231091</v>
      </c>
      <c r="AG46" s="974">
        <f t="shared" si="27"/>
        <v>5110.3636340563144</v>
      </c>
      <c r="AH46" s="974">
        <f t="shared" si="28"/>
        <v>-2091.3365880815745</v>
      </c>
      <c r="AI46" s="975">
        <f t="shared" si="29"/>
        <v>294.65678714153404</v>
      </c>
    </row>
    <row r="47" spans="2:35" x14ac:dyDescent="0.3">
      <c r="B47" s="900">
        <v>9</v>
      </c>
      <c r="C47" s="922">
        <f>'Energy Inputs'!E38</f>
        <v>1</v>
      </c>
      <c r="D47" s="918">
        <f>C47*'Energy Inputs'!$E$24</f>
        <v>12.54</v>
      </c>
      <c r="E47" s="197">
        <f>'Energy margins'!$L$12</f>
        <v>43.75</v>
      </c>
      <c r="F47" s="197">
        <f t="shared" si="17"/>
        <v>548.625</v>
      </c>
      <c r="G47" s="918">
        <f>'Energy Inputs'!$D$10</f>
        <v>330</v>
      </c>
      <c r="H47" s="197">
        <f t="shared" si="18"/>
        <v>878.625</v>
      </c>
      <c r="I47" s="197"/>
      <c r="J47" s="943">
        <f>IF(ISERROR(IF(MOD(IF(AND(B47&gt;='Energy margins'!$M$44,B47&lt;='Energy margins'!$N$44),B47-'Energy margins'!$M$44,""),'Energy margins'!$O$44)=0,'Energy margins'!$L$44,0)),0,IF(MOD(IF(AND(B47&gt;='Energy margins'!$M$44,B47&lt;='Energy margins'!$N$44),B47-'Energy margins'!$M$44,""),'Energy margins'!$O$44)=0,'Energy margins'!$L$44,0))</f>
        <v>0</v>
      </c>
      <c r="K47" s="918">
        <f>IF(ISERROR(IF(MOD(IF(AND(B47&gt;='Energy margins'!$M$45,B47&lt;='Energy margins'!$N$45),B47-'Energy margins'!$M$45,""),'Energy margins'!$O$45)=0,'Energy margins'!$L$45,0)),0,IF(MOD(IF(AND(B47&gt;='Energy margins'!$M$45,B47&lt;='Energy margins'!$N$45),B47-'Energy margins'!$M$45,""),'Energy margins'!$O$45)=0,'Energy margins'!$L$45,0))</f>
        <v>0</v>
      </c>
      <c r="L47" s="918">
        <f>IF(ISERROR(IF(MOD(IF(AND(B47&gt;='Energy margins'!$M$46,B47&lt;='Energy margins'!$N$46),B47-'Energy margins'!$M$46,""),'Energy margins'!$O$46)=0,'Energy margins'!$L$46,0)),0,IF(MOD(IF(AND(B47&gt;='Energy margins'!$M$46,B47&lt;='Energy margins'!$N$46),B47-'Energy margins'!$M$46,""),'Energy margins'!$O$46)=0,'Energy margins'!$L$46,0))</f>
        <v>0</v>
      </c>
      <c r="M47" s="918">
        <f>IF(ISERROR(IF(MOD(IF(AND(B47&gt;='Energy margins'!$M$47,B47&lt;='Energy margins'!$N$47),B47-'Energy margins'!$M$47,""),'Energy margins'!$O$47)=0,'Energy margins'!$L$47,0)),0,IF(MOD(IF(AND(B47&gt;='Energy margins'!$M$47,B47&lt;='Energy margins'!$N$47),B47-'Energy margins'!$M$47,""),'Energy margins'!$O$47)=0,'Energy margins'!$L$47,0))</f>
        <v>19.974783999999993</v>
      </c>
      <c r="N47" s="918">
        <f>IF(ISERROR(IF(MOD(IF(AND(B47&gt;='Energy margins'!$M$50,B47&lt;='Energy margins'!$N$50),B47-'Energy margins'!$M$50,""),'Energy margins'!$O$50)=0,'Energy margins'!$L$50,0)),0,IF(MOD(IF(AND(B47&gt;='Energy margins'!$M$50,B47&lt;='Energy margins'!$N$50),B47-'Energy margins'!$M$50,""),'Energy margins'!$O$50)=0,'Energy margins'!$L$50,0))</f>
        <v>61.887839999999997</v>
      </c>
      <c r="O47" s="918">
        <f>IF(ISERROR(IF(MOD(IF(AND(B47&gt;='Energy margins'!$M$53,B47&lt;='Energy margins'!$N$53),B47-'Energy margins'!$M$53,""),'Energy margins'!$O$53)=0,'Energy margins'!$L$53,0)),0,IF(MOD(IF(AND(B47&gt;='Energy margins'!$M$53,B47&lt;='Energy margins'!$N$53),B47-'Energy margins'!$M$53,""),'Energy margins'!$O$53)=0,'Energy margins'!$L$53,0))</f>
        <v>10.140619999999998</v>
      </c>
      <c r="P47" s="918">
        <f>IF(ISERROR(IF(MOD(IF(AND(B47&gt;='Energy margins'!$M$56,B47&lt;='Energy margins'!$N$56),B47-'Energy margins'!$M$56,""),'Energy margins'!$O$56)=0,'Energy margins'!$L$56,0)),0,IF(MOD(IF(AND(B47&gt;='Energy margins'!$M$56,B47&lt;='Energy margins'!$N$56),B47-'Energy margins'!$M$56,""),'Energy margins'!$O$56)=0,'Energy margins'!$L$56,0))</f>
        <v>61.019999999999996</v>
      </c>
      <c r="Q47" s="918">
        <f>IF(ISERROR(IF(MOD(IF(AND(B47&gt;='Energy margins'!$M$59,B47&lt;='Energy margins'!$N$59),B47-'Energy margins'!$M$59,""),'Energy margins'!$O$59)=0,'Energy margins'!$L$59,0)),0,IF(MOD(IF(AND(B47&gt;='Energy margins'!$M$59,B47&lt;='Energy margins'!$N$59),B47-'Energy margins'!$M$59,""),'Energy margins'!$O$59)=0,'Energy margins'!$L$59,0))</f>
        <v>0</v>
      </c>
      <c r="R47" s="918">
        <f>IF(ISERROR(IF(MOD(IF(AND(B47&gt;='Energy margins'!$M$60,B47&lt;='Energy margins'!$N$60),B47-'Energy margins'!$M$60,""),'Energy margins'!$O$60)=0,'Energy margins'!$L$60,0)),0,IF(MOD(IF(AND(B47&gt;='Energy margins'!$M$60,B47&lt;='Energy margins'!$N$60),B47-'Energy margins'!$M$60,""),'Energy margins'!$O$60)=0,'Energy margins'!$L$60,0))</f>
        <v>270.5</v>
      </c>
      <c r="S47" s="918">
        <f>IF(ISERROR(IF(MOD(IF(AND(B47&gt;='Energy margins'!$M$61,B47&lt;='Energy margins'!$N$61),B47-'Energy margins'!$M$61,""),'Energy margins'!$O$61)=0,'Energy margins'!$L$61,0)),0,IF(MOD(IF(AND(B47&gt;='Energy margins'!$M$61,B47&lt;='Energy margins'!$N$61),B47-'Energy margins'!$M$61,""),'Energy margins'!$O$61)=0,'Energy margins'!$L$61,0))</f>
        <v>0</v>
      </c>
      <c r="T47" s="918">
        <f>IF(ISERROR(IF(MOD(IF(AND(B47&gt;='Energy margins'!$M$62,B47&lt;='Energy margins'!$N$62),B47-'Energy margins'!$M$62,""),'Energy margins'!$O$62)=0,'Energy margins'!$L$62,0)),0,IF(MOD(IF(AND(B47&gt;='Energy margins'!$M$62,B47&lt;='Energy margins'!$N$62),B47-'Energy margins'!$M$62,""),'Energy margins'!$O$62)=0,'Energy margins'!$L$62,0))</f>
        <v>0</v>
      </c>
      <c r="U47" s="944">
        <f t="shared" si="19"/>
        <v>423.52324399999998</v>
      </c>
      <c r="V47" s="197"/>
      <c r="W47" s="197">
        <f t="shared" si="20"/>
        <v>423.52324399999998</v>
      </c>
      <c r="X47" s="197">
        <f t="shared" si="14"/>
        <v>125.10175600000002</v>
      </c>
      <c r="Y47" s="197">
        <f t="shared" si="15"/>
        <v>455.10175600000002</v>
      </c>
      <c r="Z47" s="973">
        <f t="shared" si="21"/>
        <v>433.089641175483</v>
      </c>
      <c r="AA47" s="974">
        <f t="shared" si="22"/>
        <v>260.50504732359883</v>
      </c>
      <c r="AB47" s="974">
        <f t="shared" si="23"/>
        <v>334.33315976019418</v>
      </c>
      <c r="AC47" s="974">
        <f t="shared" si="24"/>
        <v>98.756481415288846</v>
      </c>
      <c r="AD47" s="974">
        <f t="shared" si="25"/>
        <v>359.26152873888765</v>
      </c>
      <c r="AE47" s="973">
        <f t="shared" si="30"/>
        <v>3452.1166871502228</v>
      </c>
      <c r="AF47" s="974">
        <f t="shared" si="26"/>
        <v>2646.4984225467078</v>
      </c>
      <c r="AG47" s="974">
        <f t="shared" si="27"/>
        <v>5444.6967938165089</v>
      </c>
      <c r="AH47" s="974">
        <f t="shared" si="28"/>
        <v>-1992.5801066662857</v>
      </c>
      <c r="AI47" s="975">
        <f t="shared" si="29"/>
        <v>653.91831588042169</v>
      </c>
    </row>
    <row r="48" spans="2:35" x14ac:dyDescent="0.3">
      <c r="B48" s="900">
        <v>10</v>
      </c>
      <c r="C48" s="922">
        <f>'Energy Inputs'!E39</f>
        <v>1</v>
      </c>
      <c r="D48" s="918">
        <f>C48*'Energy Inputs'!$E$24</f>
        <v>12.54</v>
      </c>
      <c r="E48" s="197">
        <f>'Energy margins'!$L$12</f>
        <v>43.75</v>
      </c>
      <c r="F48" s="197">
        <f t="shared" si="17"/>
        <v>548.625</v>
      </c>
      <c r="G48" s="918">
        <f>'Energy Inputs'!$D$10</f>
        <v>330</v>
      </c>
      <c r="H48" s="197">
        <f t="shared" si="18"/>
        <v>878.625</v>
      </c>
      <c r="I48" s="197"/>
      <c r="J48" s="943">
        <f>IF(ISERROR(IF(MOD(IF(AND(B48&gt;='Energy margins'!$M$44,B48&lt;='Energy margins'!$N$44),B48-'Energy margins'!$M$44,""),'Energy margins'!$O$44)=0,'Energy margins'!$L$44,0)),0,IF(MOD(IF(AND(B48&gt;='Energy margins'!$M$44,B48&lt;='Energy margins'!$N$44),B48-'Energy margins'!$M$44,""),'Energy margins'!$O$44)=0,'Energy margins'!$L$44,0))</f>
        <v>0</v>
      </c>
      <c r="K48" s="918">
        <f>IF(ISERROR(IF(MOD(IF(AND(B48&gt;='Energy margins'!$M$45,B48&lt;='Energy margins'!$N$45),B48-'Energy margins'!$M$45,""),'Energy margins'!$O$45)=0,'Energy margins'!$L$45,0)),0,IF(MOD(IF(AND(B48&gt;='Energy margins'!$M$45,B48&lt;='Energy margins'!$N$45),B48-'Energy margins'!$M$45,""),'Energy margins'!$O$45)=0,'Energy margins'!$L$45,0))</f>
        <v>0</v>
      </c>
      <c r="L48" s="918">
        <f>IF(ISERROR(IF(MOD(IF(AND(B48&gt;='Energy margins'!$M$46,B48&lt;='Energy margins'!$N$46),B48-'Energy margins'!$M$46,""),'Energy margins'!$O$46)=0,'Energy margins'!$L$46,0)),0,IF(MOD(IF(AND(B48&gt;='Energy margins'!$M$46,B48&lt;='Energy margins'!$N$46),B48-'Energy margins'!$M$46,""),'Energy margins'!$O$46)=0,'Energy margins'!$L$46,0))</f>
        <v>0</v>
      </c>
      <c r="M48" s="918">
        <f>IF(ISERROR(IF(MOD(IF(AND(B48&gt;='Energy margins'!$M$47,B48&lt;='Energy margins'!$N$47),B48-'Energy margins'!$M$47,""),'Energy margins'!$O$47)=0,'Energy margins'!$L$47,0)),0,IF(MOD(IF(AND(B48&gt;='Energy margins'!$M$47,B48&lt;='Energy margins'!$N$47),B48-'Energy margins'!$M$47,""),'Energy margins'!$O$47)=0,'Energy margins'!$L$47,0))</f>
        <v>19.974783999999993</v>
      </c>
      <c r="N48" s="918">
        <f>IF(ISERROR(IF(MOD(IF(AND(B48&gt;='Energy margins'!$M$50,B48&lt;='Energy margins'!$N$50),B48-'Energy margins'!$M$50,""),'Energy margins'!$O$50)=0,'Energy margins'!$L$50,0)),0,IF(MOD(IF(AND(B48&gt;='Energy margins'!$M$50,B48&lt;='Energy margins'!$N$50),B48-'Energy margins'!$M$50,""),'Energy margins'!$O$50)=0,'Energy margins'!$L$50,0))</f>
        <v>61.887839999999997</v>
      </c>
      <c r="O48" s="918">
        <f>IF(ISERROR(IF(MOD(IF(AND(B48&gt;='Energy margins'!$M$53,B48&lt;='Energy margins'!$N$53),B48-'Energy margins'!$M$53,""),'Energy margins'!$O$53)=0,'Energy margins'!$L$53,0)),0,IF(MOD(IF(AND(B48&gt;='Energy margins'!$M$53,B48&lt;='Energy margins'!$N$53),B48-'Energy margins'!$M$53,""),'Energy margins'!$O$53)=0,'Energy margins'!$L$53,0))</f>
        <v>10.140619999999998</v>
      </c>
      <c r="P48" s="918">
        <f>IF(ISERROR(IF(MOD(IF(AND(B48&gt;='Energy margins'!$M$56,B48&lt;='Energy margins'!$N$56),B48-'Energy margins'!$M$56,""),'Energy margins'!$O$56)=0,'Energy margins'!$L$56,0)),0,IF(MOD(IF(AND(B48&gt;='Energy margins'!$M$56,B48&lt;='Energy margins'!$N$56),B48-'Energy margins'!$M$56,""),'Energy margins'!$O$56)=0,'Energy margins'!$L$56,0))</f>
        <v>61.019999999999996</v>
      </c>
      <c r="Q48" s="918">
        <f>IF(ISERROR(IF(MOD(IF(AND(B48&gt;='Energy margins'!$M$59,B48&lt;='Energy margins'!$N$59),B48-'Energy margins'!$M$59,""),'Energy margins'!$O$59)=0,'Energy margins'!$L$59,0)),0,IF(MOD(IF(AND(B48&gt;='Energy margins'!$M$59,B48&lt;='Energy margins'!$N$59),B48-'Energy margins'!$M$59,""),'Energy margins'!$O$59)=0,'Energy margins'!$L$59,0))</f>
        <v>0</v>
      </c>
      <c r="R48" s="918">
        <f>IF(ISERROR(IF(MOD(IF(AND(B48&gt;='Energy margins'!$M$60,B48&lt;='Energy margins'!$N$60),B48-'Energy margins'!$M$60,""),'Energy margins'!$O$60)=0,'Energy margins'!$L$60,0)),0,IF(MOD(IF(AND(B48&gt;='Energy margins'!$M$60,B48&lt;='Energy margins'!$N$60),B48-'Energy margins'!$M$60,""),'Energy margins'!$O$60)=0,'Energy margins'!$L$60,0))</f>
        <v>270.5</v>
      </c>
      <c r="S48" s="918">
        <f>IF(ISERROR(IF(MOD(IF(AND(B48&gt;='Energy margins'!$M$61,B48&lt;='Energy margins'!$N$61),B48-'Energy margins'!$M$61,""),'Energy margins'!$O$61)=0,'Energy margins'!$L$61,0)),0,IF(MOD(IF(AND(B48&gt;='Energy margins'!$M$61,B48&lt;='Energy margins'!$N$61),B48-'Energy margins'!$M$61,""),'Energy margins'!$O$61)=0,'Energy margins'!$L$61,0))</f>
        <v>0</v>
      </c>
      <c r="T48" s="918">
        <f>IF(ISERROR(IF(MOD(IF(AND(B48&gt;='Energy margins'!$M$62,B48&lt;='Energy margins'!$N$62),B48-'Energy margins'!$M$62,""),'Energy margins'!$O$62)=0,'Energy margins'!$L$62,0)),0,IF(MOD(IF(AND(B48&gt;='Energy margins'!$M$62,B48&lt;='Energy margins'!$N$62),B48-'Energy margins'!$M$62,""),'Energy margins'!$O$62)=0,'Energy margins'!$L$62,0))</f>
        <v>0</v>
      </c>
      <c r="U48" s="944">
        <f t="shared" si="19"/>
        <v>423.52324399999998</v>
      </c>
      <c r="V48" s="197"/>
      <c r="W48" s="197">
        <f t="shared" si="20"/>
        <v>423.52324399999998</v>
      </c>
      <c r="X48" s="197">
        <f t="shared" si="14"/>
        <v>125.10175600000002</v>
      </c>
      <c r="Y48" s="197">
        <f t="shared" si="15"/>
        <v>455.10175600000002</v>
      </c>
      <c r="Z48" s="973">
        <f t="shared" si="21"/>
        <v>420.47537978202234</v>
      </c>
      <c r="AA48" s="974">
        <f t="shared" si="22"/>
        <v>252.91752167339689</v>
      </c>
      <c r="AB48" s="974">
        <f t="shared" si="23"/>
        <v>324.59530073805257</v>
      </c>
      <c r="AC48" s="974">
        <f t="shared" si="24"/>
        <v>95.880079043969744</v>
      </c>
      <c r="AD48" s="974">
        <f t="shared" si="25"/>
        <v>348.79760071736661</v>
      </c>
      <c r="AE48" s="973">
        <f t="shared" si="30"/>
        <v>3872.592066932245</v>
      </c>
      <c r="AF48" s="974">
        <f t="shared" si="26"/>
        <v>2899.4159442201048</v>
      </c>
      <c r="AG48" s="974">
        <f t="shared" si="27"/>
        <v>5769.2920945545611</v>
      </c>
      <c r="AH48" s="974">
        <f t="shared" si="28"/>
        <v>-1896.7000276223159</v>
      </c>
      <c r="AI48" s="975">
        <f t="shared" si="29"/>
        <v>1002.7159165977882</v>
      </c>
    </row>
    <row r="49" spans="2:35" x14ac:dyDescent="0.3">
      <c r="B49" s="900">
        <v>11</v>
      </c>
      <c r="C49" s="922">
        <f>'Energy Inputs'!E40</f>
        <v>1</v>
      </c>
      <c r="D49" s="918">
        <f>C49*'Energy Inputs'!$E$24</f>
        <v>12.54</v>
      </c>
      <c r="E49" s="197">
        <f>'Energy margins'!$L$12</f>
        <v>43.75</v>
      </c>
      <c r="F49" s="197">
        <f t="shared" si="17"/>
        <v>548.625</v>
      </c>
      <c r="G49" s="918">
        <f>'Energy Inputs'!$D$10</f>
        <v>330</v>
      </c>
      <c r="H49" s="197">
        <f t="shared" si="18"/>
        <v>878.625</v>
      </c>
      <c r="I49" s="197"/>
      <c r="J49" s="943">
        <f>IF(ISERROR(IF(MOD(IF(AND(B49&gt;='Energy margins'!$M$44,B49&lt;='Energy margins'!$N$44),B49-'Energy margins'!$M$44,""),'Energy margins'!$O$44)=0,'Energy margins'!$L$44,0)),0,IF(MOD(IF(AND(B49&gt;='Energy margins'!$M$44,B49&lt;='Energy margins'!$N$44),B49-'Energy margins'!$M$44,""),'Energy margins'!$O$44)=0,'Energy margins'!$L$44,0))</f>
        <v>0</v>
      </c>
      <c r="K49" s="918">
        <f>IF(ISERROR(IF(MOD(IF(AND(B49&gt;='Energy margins'!$M$45,B49&lt;='Energy margins'!$N$45),B49-'Energy margins'!$M$45,""),'Energy margins'!$O$45)=0,'Energy margins'!$L$45,0)),0,IF(MOD(IF(AND(B49&gt;='Energy margins'!$M$45,B49&lt;='Energy margins'!$N$45),B49-'Energy margins'!$M$45,""),'Energy margins'!$O$45)=0,'Energy margins'!$L$45,0))</f>
        <v>0</v>
      </c>
      <c r="L49" s="918">
        <f>IF(ISERROR(IF(MOD(IF(AND(B49&gt;='Energy margins'!$M$46,B49&lt;='Energy margins'!$N$46),B49-'Energy margins'!$M$46,""),'Energy margins'!$O$46)=0,'Energy margins'!$L$46,0)),0,IF(MOD(IF(AND(B49&gt;='Energy margins'!$M$46,B49&lt;='Energy margins'!$N$46),B49-'Energy margins'!$M$46,""),'Energy margins'!$O$46)=0,'Energy margins'!$L$46,0))</f>
        <v>0</v>
      </c>
      <c r="M49" s="918">
        <f>IF(ISERROR(IF(MOD(IF(AND(B49&gt;='Energy margins'!$M$47,B49&lt;='Energy margins'!$N$47),B49-'Energy margins'!$M$47,""),'Energy margins'!$O$47)=0,'Energy margins'!$L$47,0)),0,IF(MOD(IF(AND(B49&gt;='Energy margins'!$M$47,B49&lt;='Energy margins'!$N$47),B49-'Energy margins'!$M$47,""),'Energy margins'!$O$47)=0,'Energy margins'!$L$47,0))</f>
        <v>19.974783999999993</v>
      </c>
      <c r="N49" s="918">
        <f>IF(ISERROR(IF(MOD(IF(AND(B49&gt;='Energy margins'!$M$50,B49&lt;='Energy margins'!$N$50),B49-'Energy margins'!$M$50,""),'Energy margins'!$O$50)=0,'Energy margins'!$L$50,0)),0,IF(MOD(IF(AND(B49&gt;='Energy margins'!$M$50,B49&lt;='Energy margins'!$N$50),B49-'Energy margins'!$M$50,""),'Energy margins'!$O$50)=0,'Energy margins'!$L$50,0))</f>
        <v>61.887839999999997</v>
      </c>
      <c r="O49" s="918">
        <f>IF(ISERROR(IF(MOD(IF(AND(B49&gt;='Energy margins'!$M$53,B49&lt;='Energy margins'!$N$53),B49-'Energy margins'!$M$53,""),'Energy margins'!$O$53)=0,'Energy margins'!$L$53,0)),0,IF(MOD(IF(AND(B49&gt;='Energy margins'!$M$53,B49&lt;='Energy margins'!$N$53),B49-'Energy margins'!$M$53,""),'Energy margins'!$O$53)=0,'Energy margins'!$L$53,0))</f>
        <v>10.140619999999998</v>
      </c>
      <c r="P49" s="918">
        <f>IF(ISERROR(IF(MOD(IF(AND(B49&gt;='Energy margins'!$M$56,B49&lt;='Energy margins'!$N$56),B49-'Energy margins'!$M$56,""),'Energy margins'!$O$56)=0,'Energy margins'!$L$56,0)),0,IF(MOD(IF(AND(B49&gt;='Energy margins'!$M$56,B49&lt;='Energy margins'!$N$56),B49-'Energy margins'!$M$56,""),'Energy margins'!$O$56)=0,'Energy margins'!$L$56,0))</f>
        <v>61.019999999999996</v>
      </c>
      <c r="Q49" s="918">
        <f>IF(ISERROR(IF(MOD(IF(AND(B49&gt;='Energy margins'!$M$59,B49&lt;='Energy margins'!$N$59),B49-'Energy margins'!$M$59,""),'Energy margins'!$O$59)=0,'Energy margins'!$L$59,0)),0,IF(MOD(IF(AND(B49&gt;='Energy margins'!$M$59,B49&lt;='Energy margins'!$N$59),B49-'Energy margins'!$M$59,""),'Energy margins'!$O$59)=0,'Energy margins'!$L$59,0))</f>
        <v>0</v>
      </c>
      <c r="R49" s="918">
        <f>IF(ISERROR(IF(MOD(IF(AND(B49&gt;='Energy margins'!$M$60,B49&lt;='Energy margins'!$N$60),B49-'Energy margins'!$M$60,""),'Energy margins'!$O$60)=0,'Energy margins'!$L$60,0)),0,IF(MOD(IF(AND(B49&gt;='Energy margins'!$M$60,B49&lt;='Energy margins'!$N$60),B49-'Energy margins'!$M$60,""),'Energy margins'!$O$60)=0,'Energy margins'!$L$60,0))</f>
        <v>270.5</v>
      </c>
      <c r="S49" s="918">
        <f>IF(ISERROR(IF(MOD(IF(AND(B49&gt;='Energy margins'!$M$61,B49&lt;='Energy margins'!$N$61),B49-'Energy margins'!$M$61,""),'Energy margins'!$O$61)=0,'Energy margins'!$L$61,0)),0,IF(MOD(IF(AND(B49&gt;='Energy margins'!$M$61,B49&lt;='Energy margins'!$N$61),B49-'Energy margins'!$M$61,""),'Energy margins'!$O$61)=0,'Energy margins'!$L$61,0))</f>
        <v>0</v>
      </c>
      <c r="T49" s="918">
        <f>IF(ISERROR(IF(MOD(IF(AND(B49&gt;='Energy margins'!$M$62,B49&lt;='Energy margins'!$N$62),B49-'Energy margins'!$M$62,""),'Energy margins'!$O$62)=0,'Energy margins'!$L$62,0)),0,IF(MOD(IF(AND(B49&gt;='Energy margins'!$M$62,B49&lt;='Energy margins'!$N$62),B49-'Energy margins'!$M$62,""),'Energy margins'!$O$62)=0,'Energy margins'!$L$62,0))</f>
        <v>0</v>
      </c>
      <c r="U49" s="944">
        <f t="shared" si="19"/>
        <v>423.52324399999998</v>
      </c>
      <c r="V49" s="197"/>
      <c r="W49" s="197">
        <f t="shared" si="20"/>
        <v>423.52324399999998</v>
      </c>
      <c r="X49" s="197">
        <f t="shared" si="14"/>
        <v>125.10175600000002</v>
      </c>
      <c r="Y49" s="197">
        <f t="shared" si="15"/>
        <v>455.10175600000002</v>
      </c>
      <c r="Z49" s="973">
        <f t="shared" si="21"/>
        <v>408.22852406021588</v>
      </c>
      <c r="AA49" s="974">
        <f t="shared" si="22"/>
        <v>245.55099191591933</v>
      </c>
      <c r="AB49" s="974">
        <f t="shared" si="23"/>
        <v>315.14106867772097</v>
      </c>
      <c r="AC49" s="974">
        <f t="shared" si="24"/>
        <v>93.087455382494895</v>
      </c>
      <c r="AD49" s="974">
        <f t="shared" si="25"/>
        <v>338.63844729841423</v>
      </c>
      <c r="AE49" s="973">
        <f t="shared" si="30"/>
        <v>4280.8205909924609</v>
      </c>
      <c r="AF49" s="974">
        <f t="shared" si="26"/>
        <v>3144.9669361360243</v>
      </c>
      <c r="AG49" s="974">
        <f t="shared" si="27"/>
        <v>6084.4331632322819</v>
      </c>
      <c r="AH49" s="974">
        <f t="shared" si="28"/>
        <v>-1803.612572239821</v>
      </c>
      <c r="AI49" s="975">
        <f t="shared" si="29"/>
        <v>1341.3543638962024</v>
      </c>
    </row>
    <row r="50" spans="2:35" x14ac:dyDescent="0.3">
      <c r="B50" s="900">
        <v>12</v>
      </c>
      <c r="C50" s="922">
        <f>'Energy Inputs'!E41</f>
        <v>1</v>
      </c>
      <c r="D50" s="918">
        <f>C50*'Energy Inputs'!$E$24</f>
        <v>12.54</v>
      </c>
      <c r="E50" s="197">
        <f>'Energy margins'!$L$12</f>
        <v>43.75</v>
      </c>
      <c r="F50" s="197">
        <f t="shared" si="17"/>
        <v>548.625</v>
      </c>
      <c r="G50" s="918">
        <f>'Energy Inputs'!$D$10</f>
        <v>330</v>
      </c>
      <c r="H50" s="197">
        <f t="shared" si="18"/>
        <v>878.625</v>
      </c>
      <c r="I50" s="197"/>
      <c r="J50" s="943">
        <f>IF(ISERROR(IF(MOD(IF(AND(B50&gt;='Energy margins'!$M$44,B50&lt;='Energy margins'!$N$44),B50-'Energy margins'!$M$44,""),'Energy margins'!$O$44)=0,'Energy margins'!$L$44,0)),0,IF(MOD(IF(AND(B50&gt;='Energy margins'!$M$44,B50&lt;='Energy margins'!$N$44),B50-'Energy margins'!$M$44,""),'Energy margins'!$O$44)=0,'Energy margins'!$L$44,0))</f>
        <v>0</v>
      </c>
      <c r="K50" s="918">
        <f>IF(ISERROR(IF(MOD(IF(AND(B50&gt;='Energy margins'!$M$45,B50&lt;='Energy margins'!$N$45),B50-'Energy margins'!$M$45,""),'Energy margins'!$O$45)=0,'Energy margins'!$L$45,0)),0,IF(MOD(IF(AND(B50&gt;='Energy margins'!$M$45,B50&lt;='Energy margins'!$N$45),B50-'Energy margins'!$M$45,""),'Energy margins'!$O$45)=0,'Energy margins'!$L$45,0))</f>
        <v>0</v>
      </c>
      <c r="L50" s="918">
        <f>IF(ISERROR(IF(MOD(IF(AND(B50&gt;='Energy margins'!$M$46,B50&lt;='Energy margins'!$N$46),B50-'Energy margins'!$M$46,""),'Energy margins'!$O$46)=0,'Energy margins'!$L$46,0)),0,IF(MOD(IF(AND(B50&gt;='Energy margins'!$M$46,B50&lt;='Energy margins'!$N$46),B50-'Energy margins'!$M$46,""),'Energy margins'!$O$46)=0,'Energy margins'!$L$46,0))</f>
        <v>0</v>
      </c>
      <c r="M50" s="918">
        <f>IF(ISERROR(IF(MOD(IF(AND(B50&gt;='Energy margins'!$M$47,B50&lt;='Energy margins'!$N$47),B50-'Energy margins'!$M$47,""),'Energy margins'!$O$47)=0,'Energy margins'!$L$47,0)),0,IF(MOD(IF(AND(B50&gt;='Energy margins'!$M$47,B50&lt;='Energy margins'!$N$47),B50-'Energy margins'!$M$47,""),'Energy margins'!$O$47)=0,'Energy margins'!$L$47,0))</f>
        <v>19.974783999999993</v>
      </c>
      <c r="N50" s="918">
        <f>IF(ISERROR(IF(MOD(IF(AND(B50&gt;='Energy margins'!$M$50,B50&lt;='Energy margins'!$N$50),B50-'Energy margins'!$M$50,""),'Energy margins'!$O$50)=0,'Energy margins'!$L$50,0)),0,IF(MOD(IF(AND(B50&gt;='Energy margins'!$M$50,B50&lt;='Energy margins'!$N$50),B50-'Energy margins'!$M$50,""),'Energy margins'!$O$50)=0,'Energy margins'!$L$50,0))</f>
        <v>61.887839999999997</v>
      </c>
      <c r="O50" s="918">
        <f>IF(ISERROR(IF(MOD(IF(AND(B50&gt;='Energy margins'!$M$53,B50&lt;='Energy margins'!$N$53),B50-'Energy margins'!$M$53,""),'Energy margins'!$O$53)=0,'Energy margins'!$L$53,0)),0,IF(MOD(IF(AND(B50&gt;='Energy margins'!$M$53,B50&lt;='Energy margins'!$N$53),B50-'Energy margins'!$M$53,""),'Energy margins'!$O$53)=0,'Energy margins'!$L$53,0))</f>
        <v>10.140619999999998</v>
      </c>
      <c r="P50" s="918">
        <f>IF(ISERROR(IF(MOD(IF(AND(B50&gt;='Energy margins'!$M$56,B50&lt;='Energy margins'!$N$56),B50-'Energy margins'!$M$56,""),'Energy margins'!$O$56)=0,'Energy margins'!$L$56,0)),0,IF(MOD(IF(AND(B50&gt;='Energy margins'!$M$56,B50&lt;='Energy margins'!$N$56),B50-'Energy margins'!$M$56,""),'Energy margins'!$O$56)=0,'Energy margins'!$L$56,0))</f>
        <v>61.019999999999996</v>
      </c>
      <c r="Q50" s="918">
        <f>IF(ISERROR(IF(MOD(IF(AND(B50&gt;='Energy margins'!$M$59,B50&lt;='Energy margins'!$N$59),B50-'Energy margins'!$M$59,""),'Energy margins'!$O$59)=0,'Energy margins'!$L$59,0)),0,IF(MOD(IF(AND(B50&gt;='Energy margins'!$M$59,B50&lt;='Energy margins'!$N$59),B50-'Energy margins'!$M$59,""),'Energy margins'!$O$59)=0,'Energy margins'!$L$59,0))</f>
        <v>0</v>
      </c>
      <c r="R50" s="918">
        <f>IF(ISERROR(IF(MOD(IF(AND(B50&gt;='Energy margins'!$M$60,B50&lt;='Energy margins'!$N$60),B50-'Energy margins'!$M$60,""),'Energy margins'!$O$60)=0,'Energy margins'!$L$60,0)),0,IF(MOD(IF(AND(B50&gt;='Energy margins'!$M$60,B50&lt;='Energy margins'!$N$60),B50-'Energy margins'!$M$60,""),'Energy margins'!$O$60)=0,'Energy margins'!$L$60,0))</f>
        <v>270.5</v>
      </c>
      <c r="S50" s="918">
        <f>IF(ISERROR(IF(MOD(IF(AND(B50&gt;='Energy margins'!$M$61,B50&lt;='Energy margins'!$N$61),B50-'Energy margins'!$M$61,""),'Energy margins'!$O$61)=0,'Energy margins'!$L$61,0)),0,IF(MOD(IF(AND(B50&gt;='Energy margins'!$M$61,B50&lt;='Energy margins'!$N$61),B50-'Energy margins'!$M$61,""),'Energy margins'!$O$61)=0,'Energy margins'!$L$61,0))</f>
        <v>0</v>
      </c>
      <c r="T50" s="918">
        <f>IF(ISERROR(IF(MOD(IF(AND(B50&gt;='Energy margins'!$M$62,B50&lt;='Energy margins'!$N$62),B50-'Energy margins'!$M$62,""),'Energy margins'!$O$62)=0,'Energy margins'!$L$62,0)),0,IF(MOD(IF(AND(B50&gt;='Energy margins'!$M$62,B50&lt;='Energy margins'!$N$62),B50-'Energy margins'!$M$62,""),'Energy margins'!$O$62)=0,'Energy margins'!$L$62,0))</f>
        <v>0</v>
      </c>
      <c r="U50" s="944">
        <f t="shared" si="19"/>
        <v>423.52324399999998</v>
      </c>
      <c r="V50" s="197"/>
      <c r="W50" s="197">
        <f t="shared" si="20"/>
        <v>423.52324399999998</v>
      </c>
      <c r="X50" s="197">
        <f t="shared" si="14"/>
        <v>125.10175600000002</v>
      </c>
      <c r="Y50" s="197">
        <f t="shared" si="15"/>
        <v>455.10175600000002</v>
      </c>
      <c r="Z50" s="973">
        <f t="shared" si="21"/>
        <v>396.33837287399598</v>
      </c>
      <c r="AA50" s="974">
        <f t="shared" si="22"/>
        <v>238.39902127759154</v>
      </c>
      <c r="AB50" s="974">
        <f t="shared" si="23"/>
        <v>305.9622025997291</v>
      </c>
      <c r="AC50" s="974">
        <f t="shared" si="24"/>
        <v>90.376170274266883</v>
      </c>
      <c r="AD50" s="974">
        <f t="shared" si="25"/>
        <v>328.77519155185843</v>
      </c>
      <c r="AE50" s="973">
        <f t="shared" si="30"/>
        <v>4677.1589638664573</v>
      </c>
      <c r="AF50" s="974">
        <f t="shared" si="26"/>
        <v>3383.3659574136159</v>
      </c>
      <c r="AG50" s="974">
        <f t="shared" si="27"/>
        <v>6390.3953658320106</v>
      </c>
      <c r="AH50" s="974">
        <f t="shared" si="28"/>
        <v>-1713.2364019655543</v>
      </c>
      <c r="AI50" s="975">
        <f t="shared" si="29"/>
        <v>1670.1295554480607</v>
      </c>
    </row>
    <row r="51" spans="2:35" x14ac:dyDescent="0.3">
      <c r="B51" s="900">
        <v>13</v>
      </c>
      <c r="C51" s="922">
        <f>'Energy Inputs'!E42</f>
        <v>1</v>
      </c>
      <c r="D51" s="918">
        <f>C51*'Energy Inputs'!$E$24</f>
        <v>12.54</v>
      </c>
      <c r="E51" s="197">
        <f>'Energy margins'!$L$12</f>
        <v>43.75</v>
      </c>
      <c r="F51" s="197">
        <f t="shared" si="17"/>
        <v>548.625</v>
      </c>
      <c r="G51" s="918">
        <f>'Energy Inputs'!$D$10</f>
        <v>330</v>
      </c>
      <c r="H51" s="197">
        <f t="shared" si="18"/>
        <v>878.625</v>
      </c>
      <c r="I51" s="197"/>
      <c r="J51" s="943">
        <f>IF(ISERROR(IF(MOD(IF(AND(B51&gt;='Energy margins'!$M$44,B51&lt;='Energy margins'!$N$44),B51-'Energy margins'!$M$44,""),'Energy margins'!$O$44)=0,'Energy margins'!$L$44,0)),0,IF(MOD(IF(AND(B51&gt;='Energy margins'!$M$44,B51&lt;='Energy margins'!$N$44),B51-'Energy margins'!$M$44,""),'Energy margins'!$O$44)=0,'Energy margins'!$L$44,0))</f>
        <v>0</v>
      </c>
      <c r="K51" s="918">
        <f>IF(ISERROR(IF(MOD(IF(AND(B51&gt;='Energy margins'!$M$45,B51&lt;='Energy margins'!$N$45),B51-'Energy margins'!$M$45,""),'Energy margins'!$O$45)=0,'Energy margins'!$L$45,0)),0,IF(MOD(IF(AND(B51&gt;='Energy margins'!$M$45,B51&lt;='Energy margins'!$N$45),B51-'Energy margins'!$M$45,""),'Energy margins'!$O$45)=0,'Energy margins'!$L$45,0))</f>
        <v>0</v>
      </c>
      <c r="L51" s="918">
        <f>IF(ISERROR(IF(MOD(IF(AND(B51&gt;='Energy margins'!$M$46,B51&lt;='Energy margins'!$N$46),B51-'Energy margins'!$M$46,""),'Energy margins'!$O$46)=0,'Energy margins'!$L$46,0)),0,IF(MOD(IF(AND(B51&gt;='Energy margins'!$M$46,B51&lt;='Energy margins'!$N$46),B51-'Energy margins'!$M$46,""),'Energy margins'!$O$46)=0,'Energy margins'!$L$46,0))</f>
        <v>0</v>
      </c>
      <c r="M51" s="918">
        <f>IF(ISERROR(IF(MOD(IF(AND(B51&gt;='Energy margins'!$M$47,B51&lt;='Energy margins'!$N$47),B51-'Energy margins'!$M$47,""),'Energy margins'!$O$47)=0,'Energy margins'!$L$47,0)),0,IF(MOD(IF(AND(B51&gt;='Energy margins'!$M$47,B51&lt;='Energy margins'!$N$47),B51-'Energy margins'!$M$47,""),'Energy margins'!$O$47)=0,'Energy margins'!$L$47,0))</f>
        <v>19.974783999999993</v>
      </c>
      <c r="N51" s="918">
        <f>IF(ISERROR(IF(MOD(IF(AND(B51&gt;='Energy margins'!$M$50,B51&lt;='Energy margins'!$N$50),B51-'Energy margins'!$M$50,""),'Energy margins'!$O$50)=0,'Energy margins'!$L$50,0)),0,IF(MOD(IF(AND(B51&gt;='Energy margins'!$M$50,B51&lt;='Energy margins'!$N$50),B51-'Energy margins'!$M$50,""),'Energy margins'!$O$50)=0,'Energy margins'!$L$50,0))</f>
        <v>61.887839999999997</v>
      </c>
      <c r="O51" s="918">
        <f>IF(ISERROR(IF(MOD(IF(AND(B51&gt;='Energy margins'!$M$53,B51&lt;='Energy margins'!$N$53),B51-'Energy margins'!$M$53,""),'Energy margins'!$O$53)=0,'Energy margins'!$L$53,0)),0,IF(MOD(IF(AND(B51&gt;='Energy margins'!$M$53,B51&lt;='Energy margins'!$N$53),B51-'Energy margins'!$M$53,""),'Energy margins'!$O$53)=0,'Energy margins'!$L$53,0))</f>
        <v>10.140619999999998</v>
      </c>
      <c r="P51" s="918">
        <f>IF(ISERROR(IF(MOD(IF(AND(B51&gt;='Energy margins'!$M$56,B51&lt;='Energy margins'!$N$56),B51-'Energy margins'!$M$56,""),'Energy margins'!$O$56)=0,'Energy margins'!$L$56,0)),0,IF(MOD(IF(AND(B51&gt;='Energy margins'!$M$56,B51&lt;='Energy margins'!$N$56),B51-'Energy margins'!$M$56,""),'Energy margins'!$O$56)=0,'Energy margins'!$L$56,0))</f>
        <v>61.019999999999996</v>
      </c>
      <c r="Q51" s="918">
        <f>IF(ISERROR(IF(MOD(IF(AND(B51&gt;='Energy margins'!$M$59,B51&lt;='Energy margins'!$N$59),B51-'Energy margins'!$M$59,""),'Energy margins'!$O$59)=0,'Energy margins'!$L$59,0)),0,IF(MOD(IF(AND(B51&gt;='Energy margins'!$M$59,B51&lt;='Energy margins'!$N$59),B51-'Energy margins'!$M$59,""),'Energy margins'!$O$59)=0,'Energy margins'!$L$59,0))</f>
        <v>0</v>
      </c>
      <c r="R51" s="918">
        <f>IF(ISERROR(IF(MOD(IF(AND(B51&gt;='Energy margins'!$M$60,B51&lt;='Energy margins'!$N$60),B51-'Energy margins'!$M$60,""),'Energy margins'!$O$60)=0,'Energy margins'!$L$60,0)),0,IF(MOD(IF(AND(B51&gt;='Energy margins'!$M$60,B51&lt;='Energy margins'!$N$60),B51-'Energy margins'!$M$60,""),'Energy margins'!$O$60)=0,'Energy margins'!$L$60,0))</f>
        <v>270.5</v>
      </c>
      <c r="S51" s="918">
        <f>IF(ISERROR(IF(MOD(IF(AND(B51&gt;='Energy margins'!$M$61,B51&lt;='Energy margins'!$N$61),B51-'Energy margins'!$M$61,""),'Energy margins'!$O$61)=0,'Energy margins'!$L$61,0)),0,IF(MOD(IF(AND(B51&gt;='Energy margins'!$M$61,B51&lt;='Energy margins'!$N$61),B51-'Energy margins'!$M$61,""),'Energy margins'!$O$61)=0,'Energy margins'!$L$61,0))</f>
        <v>0</v>
      </c>
      <c r="T51" s="918">
        <f>IF(ISERROR(IF(MOD(IF(AND(B51&gt;='Energy margins'!$M$62,B51&lt;='Energy margins'!$N$62),B51-'Energy margins'!$M$62,""),'Energy margins'!$O$62)=0,'Energy margins'!$L$62,0)),0,IF(MOD(IF(AND(B51&gt;='Energy margins'!$M$62,B51&lt;='Energy margins'!$N$62),B51-'Energy margins'!$M$62,""),'Energy margins'!$O$62)=0,'Energy margins'!$L$62,0))</f>
        <v>0</v>
      </c>
      <c r="U51" s="944">
        <f t="shared" si="19"/>
        <v>423.52324399999998</v>
      </c>
      <c r="V51" s="197"/>
      <c r="W51" s="197">
        <f t="shared" si="20"/>
        <v>423.52324399999998</v>
      </c>
      <c r="X51" s="197">
        <f t="shared" si="14"/>
        <v>125.10175600000002</v>
      </c>
      <c r="Y51" s="197">
        <f t="shared" si="15"/>
        <v>455.10175600000002</v>
      </c>
      <c r="Z51" s="973">
        <f t="shared" si="21"/>
        <v>384.79453677086991</v>
      </c>
      <c r="AA51" s="974">
        <f t="shared" si="22"/>
        <v>231.45536046368116</v>
      </c>
      <c r="AB51" s="974">
        <f t="shared" si="23"/>
        <v>297.05068213565932</v>
      </c>
      <c r="AC51" s="974">
        <f t="shared" si="24"/>
        <v>87.743854635210582</v>
      </c>
      <c r="AD51" s="974">
        <f t="shared" si="25"/>
        <v>319.19921509889173</v>
      </c>
      <c r="AE51" s="973">
        <f t="shared" si="30"/>
        <v>5061.9535006373271</v>
      </c>
      <c r="AF51" s="974">
        <f t="shared" si="26"/>
        <v>3614.8213178772971</v>
      </c>
      <c r="AG51" s="974">
        <f t="shared" si="27"/>
        <v>6687.44604796767</v>
      </c>
      <c r="AH51" s="974">
        <f t="shared" si="28"/>
        <v>-1625.4925473303438</v>
      </c>
      <c r="AI51" s="975">
        <f t="shared" si="29"/>
        <v>1989.3287705469525</v>
      </c>
    </row>
    <row r="52" spans="2:35" x14ac:dyDescent="0.3">
      <c r="B52" s="900">
        <v>14</v>
      </c>
      <c r="C52" s="922">
        <f>'Energy Inputs'!E43</f>
        <v>1</v>
      </c>
      <c r="D52" s="918">
        <f>C52*'Energy Inputs'!$E$24</f>
        <v>12.54</v>
      </c>
      <c r="E52" s="197">
        <f>'Energy margins'!$L$12</f>
        <v>43.75</v>
      </c>
      <c r="F52" s="197">
        <f t="shared" si="17"/>
        <v>548.625</v>
      </c>
      <c r="G52" s="918">
        <f>'Energy Inputs'!$D$10</f>
        <v>330</v>
      </c>
      <c r="H52" s="197">
        <f t="shared" si="18"/>
        <v>878.625</v>
      </c>
      <c r="I52" s="197"/>
      <c r="J52" s="943">
        <f>IF(ISERROR(IF(MOD(IF(AND(B52&gt;='Energy margins'!$M$44,B52&lt;='Energy margins'!$N$44),B52-'Energy margins'!$M$44,""),'Energy margins'!$O$44)=0,'Energy margins'!$L$44,0)),0,IF(MOD(IF(AND(B52&gt;='Energy margins'!$M$44,B52&lt;='Energy margins'!$N$44),B52-'Energy margins'!$M$44,""),'Energy margins'!$O$44)=0,'Energy margins'!$L$44,0))</f>
        <v>0</v>
      </c>
      <c r="K52" s="918">
        <f>IF(ISERROR(IF(MOD(IF(AND(B52&gt;='Energy margins'!$M$45,B52&lt;='Energy margins'!$N$45),B52-'Energy margins'!$M$45,""),'Energy margins'!$O$45)=0,'Energy margins'!$L$45,0)),0,IF(MOD(IF(AND(B52&gt;='Energy margins'!$M$45,B52&lt;='Energy margins'!$N$45),B52-'Energy margins'!$M$45,""),'Energy margins'!$O$45)=0,'Energy margins'!$L$45,0))</f>
        <v>0</v>
      </c>
      <c r="L52" s="918">
        <f>IF(ISERROR(IF(MOD(IF(AND(B52&gt;='Energy margins'!$M$46,B52&lt;='Energy margins'!$N$46),B52-'Energy margins'!$M$46,""),'Energy margins'!$O$46)=0,'Energy margins'!$L$46,0)),0,IF(MOD(IF(AND(B52&gt;='Energy margins'!$M$46,B52&lt;='Energy margins'!$N$46),B52-'Energy margins'!$M$46,""),'Energy margins'!$O$46)=0,'Energy margins'!$L$46,0))</f>
        <v>0</v>
      </c>
      <c r="M52" s="918">
        <f>IF(ISERROR(IF(MOD(IF(AND(B52&gt;='Energy margins'!$M$47,B52&lt;='Energy margins'!$N$47),B52-'Energy margins'!$M$47,""),'Energy margins'!$O$47)=0,'Energy margins'!$L$47,0)),0,IF(MOD(IF(AND(B52&gt;='Energy margins'!$M$47,B52&lt;='Energy margins'!$N$47),B52-'Energy margins'!$M$47,""),'Energy margins'!$O$47)=0,'Energy margins'!$L$47,0))</f>
        <v>19.974783999999993</v>
      </c>
      <c r="N52" s="918">
        <f>IF(ISERROR(IF(MOD(IF(AND(B52&gt;='Energy margins'!$M$50,B52&lt;='Energy margins'!$N$50),B52-'Energy margins'!$M$50,""),'Energy margins'!$O$50)=0,'Energy margins'!$L$50,0)),0,IF(MOD(IF(AND(B52&gt;='Energy margins'!$M$50,B52&lt;='Energy margins'!$N$50),B52-'Energy margins'!$M$50,""),'Energy margins'!$O$50)=0,'Energy margins'!$L$50,0))</f>
        <v>61.887839999999997</v>
      </c>
      <c r="O52" s="918">
        <f>IF(ISERROR(IF(MOD(IF(AND(B52&gt;='Energy margins'!$M$53,B52&lt;='Energy margins'!$N$53),B52-'Energy margins'!$M$53,""),'Energy margins'!$O$53)=0,'Energy margins'!$L$53,0)),0,IF(MOD(IF(AND(B52&gt;='Energy margins'!$M$53,B52&lt;='Energy margins'!$N$53),B52-'Energy margins'!$M$53,""),'Energy margins'!$O$53)=0,'Energy margins'!$L$53,0))</f>
        <v>10.140619999999998</v>
      </c>
      <c r="P52" s="918">
        <f>IF(ISERROR(IF(MOD(IF(AND(B52&gt;='Energy margins'!$M$56,B52&lt;='Energy margins'!$N$56),B52-'Energy margins'!$M$56,""),'Energy margins'!$O$56)=0,'Energy margins'!$L$56,0)),0,IF(MOD(IF(AND(B52&gt;='Energy margins'!$M$56,B52&lt;='Energy margins'!$N$56),B52-'Energy margins'!$M$56,""),'Energy margins'!$O$56)=0,'Energy margins'!$L$56,0))</f>
        <v>61.019999999999996</v>
      </c>
      <c r="Q52" s="918">
        <f>IF(ISERROR(IF(MOD(IF(AND(B52&gt;='Energy margins'!$M$59,B52&lt;='Energy margins'!$N$59),B52-'Energy margins'!$M$59,""),'Energy margins'!$O$59)=0,'Energy margins'!$L$59,0)),0,IF(MOD(IF(AND(B52&gt;='Energy margins'!$M$59,B52&lt;='Energy margins'!$N$59),B52-'Energy margins'!$M$59,""),'Energy margins'!$O$59)=0,'Energy margins'!$L$59,0))</f>
        <v>0</v>
      </c>
      <c r="R52" s="918">
        <f>IF(ISERROR(IF(MOD(IF(AND(B52&gt;='Energy margins'!$M$60,B52&lt;='Energy margins'!$N$60),B52-'Energy margins'!$M$60,""),'Energy margins'!$O$60)=0,'Energy margins'!$L$60,0)),0,IF(MOD(IF(AND(B52&gt;='Energy margins'!$M$60,B52&lt;='Energy margins'!$N$60),B52-'Energy margins'!$M$60,""),'Energy margins'!$O$60)=0,'Energy margins'!$L$60,0))</f>
        <v>270.5</v>
      </c>
      <c r="S52" s="918">
        <f>IF(ISERROR(IF(MOD(IF(AND(B52&gt;='Energy margins'!$M$61,B52&lt;='Energy margins'!$N$61),B52-'Energy margins'!$M$61,""),'Energy margins'!$O$61)=0,'Energy margins'!$L$61,0)),0,IF(MOD(IF(AND(B52&gt;='Energy margins'!$M$61,B52&lt;='Energy margins'!$N$61),B52-'Energy margins'!$M$61,""),'Energy margins'!$O$61)=0,'Energy margins'!$L$61,0))</f>
        <v>0</v>
      </c>
      <c r="T52" s="918">
        <f>IF(ISERROR(IF(MOD(IF(AND(B52&gt;='Energy margins'!$M$62,B52&lt;='Energy margins'!$N$62),B52-'Energy margins'!$M$62,""),'Energy margins'!$O$62)=0,'Energy margins'!$L$62,0)),0,IF(MOD(IF(AND(B52&gt;='Energy margins'!$M$62,B52&lt;='Energy margins'!$N$62),B52-'Energy margins'!$M$62,""),'Energy margins'!$O$62)=0,'Energy margins'!$L$62,0))</f>
        <v>0</v>
      </c>
      <c r="U52" s="944">
        <f t="shared" si="19"/>
        <v>423.52324399999998</v>
      </c>
      <c r="V52" s="197"/>
      <c r="W52" s="197">
        <f t="shared" si="20"/>
        <v>423.52324399999998</v>
      </c>
      <c r="X52" s="197">
        <f t="shared" si="14"/>
        <v>125.10175600000002</v>
      </c>
      <c r="Y52" s="197">
        <f t="shared" si="15"/>
        <v>455.10175600000002</v>
      </c>
      <c r="Z52" s="973">
        <f t="shared" si="21"/>
        <v>373.58692890375721</v>
      </c>
      <c r="AA52" s="974">
        <f t="shared" si="22"/>
        <v>224.71394219774871</v>
      </c>
      <c r="AB52" s="974">
        <f t="shared" si="23"/>
        <v>288.39872052005762</v>
      </c>
      <c r="AC52" s="974">
        <f t="shared" si="24"/>
        <v>85.188208383699603</v>
      </c>
      <c r="AD52" s="974">
        <f t="shared" si="25"/>
        <v>309.90215058144832</v>
      </c>
      <c r="AE52" s="973">
        <f t="shared" si="30"/>
        <v>5435.5404295410844</v>
      </c>
      <c r="AF52" s="974">
        <f t="shared" si="26"/>
        <v>3839.5352600750457</v>
      </c>
      <c r="AG52" s="974">
        <f t="shared" si="27"/>
        <v>6975.8447684877274</v>
      </c>
      <c r="AH52" s="974">
        <f t="shared" si="28"/>
        <v>-1540.3043389466441</v>
      </c>
      <c r="AI52" s="975">
        <f t="shared" si="29"/>
        <v>2299.230921128401</v>
      </c>
    </row>
    <row r="53" spans="2:35" x14ac:dyDescent="0.3">
      <c r="B53" s="900">
        <v>15</v>
      </c>
      <c r="C53" s="922">
        <f>'Energy Inputs'!E44</f>
        <v>1</v>
      </c>
      <c r="D53" s="918">
        <f>C53*'Energy Inputs'!$E$24</f>
        <v>12.54</v>
      </c>
      <c r="E53" s="197">
        <f>'Energy margins'!$L$12</f>
        <v>43.75</v>
      </c>
      <c r="F53" s="197">
        <f t="shared" si="17"/>
        <v>548.625</v>
      </c>
      <c r="G53" s="918">
        <f>'Energy Inputs'!$D$10</f>
        <v>330</v>
      </c>
      <c r="H53" s="197">
        <f t="shared" si="18"/>
        <v>878.625</v>
      </c>
      <c r="I53" s="197"/>
      <c r="J53" s="943">
        <f>IF(ISERROR(IF(MOD(IF(AND(B53&gt;='Energy margins'!$M$44,B53&lt;='Energy margins'!$N$44),B53-'Energy margins'!$M$44,""),'Energy margins'!$O$44)=0,'Energy margins'!$L$44,0)),0,IF(MOD(IF(AND(B53&gt;='Energy margins'!$M$44,B53&lt;='Energy margins'!$N$44),B53-'Energy margins'!$M$44,""),'Energy margins'!$O$44)=0,'Energy margins'!$L$44,0))</f>
        <v>0</v>
      </c>
      <c r="K53" s="918">
        <f>IF(ISERROR(IF(MOD(IF(AND(B53&gt;='Energy margins'!$M$45,B53&lt;='Energy margins'!$N$45),B53-'Energy margins'!$M$45,""),'Energy margins'!$O$45)=0,'Energy margins'!$L$45,0)),0,IF(MOD(IF(AND(B53&gt;='Energy margins'!$M$45,B53&lt;='Energy margins'!$N$45),B53-'Energy margins'!$M$45,""),'Energy margins'!$O$45)=0,'Energy margins'!$L$45,0))</f>
        <v>0</v>
      </c>
      <c r="L53" s="918">
        <f>IF(ISERROR(IF(MOD(IF(AND(B53&gt;='Energy margins'!$M$46,B53&lt;='Energy margins'!$N$46),B53-'Energy margins'!$M$46,""),'Energy margins'!$O$46)=0,'Energy margins'!$L$46,0)),0,IF(MOD(IF(AND(B53&gt;='Energy margins'!$M$46,B53&lt;='Energy margins'!$N$46),B53-'Energy margins'!$M$46,""),'Energy margins'!$O$46)=0,'Energy margins'!$L$46,0))</f>
        <v>0</v>
      </c>
      <c r="M53" s="918">
        <f>IF(ISERROR(IF(MOD(IF(AND(B53&gt;='Energy margins'!$M$47,B53&lt;='Energy margins'!$N$47),B53-'Energy margins'!$M$47,""),'Energy margins'!$O$47)=0,'Energy margins'!$L$47,0)),0,IF(MOD(IF(AND(B53&gt;='Energy margins'!$M$47,B53&lt;='Energy margins'!$N$47),B53-'Energy margins'!$M$47,""),'Energy margins'!$O$47)=0,'Energy margins'!$L$47,0))</f>
        <v>19.974783999999993</v>
      </c>
      <c r="N53" s="918">
        <f>IF(ISERROR(IF(MOD(IF(AND(B53&gt;='Energy margins'!$M$50,B53&lt;='Energy margins'!$N$50),B53-'Energy margins'!$M$50,""),'Energy margins'!$O$50)=0,'Energy margins'!$L$50,0)),0,IF(MOD(IF(AND(B53&gt;='Energy margins'!$M$50,B53&lt;='Energy margins'!$N$50),B53-'Energy margins'!$M$50,""),'Energy margins'!$O$50)=0,'Energy margins'!$L$50,0))</f>
        <v>61.887839999999997</v>
      </c>
      <c r="O53" s="918">
        <f>IF(ISERROR(IF(MOD(IF(AND(B53&gt;='Energy margins'!$M$53,B53&lt;='Energy margins'!$N$53),B53-'Energy margins'!$M$53,""),'Energy margins'!$O$53)=0,'Energy margins'!$L$53,0)),0,IF(MOD(IF(AND(B53&gt;='Energy margins'!$M$53,B53&lt;='Energy margins'!$N$53),B53-'Energy margins'!$M$53,""),'Energy margins'!$O$53)=0,'Energy margins'!$L$53,0))</f>
        <v>10.140619999999998</v>
      </c>
      <c r="P53" s="918">
        <f>IF(ISERROR(IF(MOD(IF(AND(B53&gt;='Energy margins'!$M$56,B53&lt;='Energy margins'!$N$56),B53-'Energy margins'!$M$56,""),'Energy margins'!$O$56)=0,'Energy margins'!$L$56,0)),0,IF(MOD(IF(AND(B53&gt;='Energy margins'!$M$56,B53&lt;='Energy margins'!$N$56),B53-'Energy margins'!$M$56,""),'Energy margins'!$O$56)=0,'Energy margins'!$L$56,0))</f>
        <v>61.019999999999996</v>
      </c>
      <c r="Q53" s="918">
        <f>IF(ISERROR(IF(MOD(IF(AND(B53&gt;='Energy margins'!$M$59,B53&lt;='Energy margins'!$N$59),B53-'Energy margins'!$M$59,""),'Energy margins'!$O$59)=0,'Energy margins'!$L$59,0)),0,IF(MOD(IF(AND(B53&gt;='Energy margins'!$M$59,B53&lt;='Energy margins'!$N$59),B53-'Energy margins'!$M$59,""),'Energy margins'!$O$59)=0,'Energy margins'!$L$59,0))</f>
        <v>0</v>
      </c>
      <c r="R53" s="918">
        <f>IF(ISERROR(IF(MOD(IF(AND(B53&gt;='Energy margins'!$M$60,B53&lt;='Energy margins'!$N$60),B53-'Energy margins'!$M$60,""),'Energy margins'!$O$60)=0,'Energy margins'!$L$60,0)),0,IF(MOD(IF(AND(B53&gt;='Energy margins'!$M$60,B53&lt;='Energy margins'!$N$60),B53-'Energy margins'!$M$60,""),'Energy margins'!$O$60)=0,'Energy margins'!$L$60,0))</f>
        <v>270.5</v>
      </c>
      <c r="S53" s="918">
        <f>IF(ISERROR(IF(MOD(IF(AND(B53&gt;='Energy margins'!$M$61,B53&lt;='Energy margins'!$N$61),B53-'Energy margins'!$M$61,""),'Energy margins'!$O$61)=0,'Energy margins'!$L$61,0)),0,IF(MOD(IF(AND(B53&gt;='Energy margins'!$M$61,B53&lt;='Energy margins'!$N$61),B53-'Energy margins'!$M$61,""),'Energy margins'!$O$61)=0,'Energy margins'!$L$61,0))</f>
        <v>0</v>
      </c>
      <c r="T53" s="918">
        <f>IF(ISERROR(IF(MOD(IF(AND(B53&gt;='Energy margins'!$M$62,B53&lt;='Energy margins'!$N$62),B53-'Energy margins'!$M$62,""),'Energy margins'!$O$62)=0,'Energy margins'!$L$62,0)),0,IF(MOD(IF(AND(B53&gt;='Energy margins'!$M$62,B53&lt;='Energy margins'!$N$62),B53-'Energy margins'!$M$62,""),'Energy margins'!$O$62)=0,'Energy margins'!$L$62,0))</f>
        <v>0</v>
      </c>
      <c r="U53" s="944">
        <f t="shared" si="19"/>
        <v>423.52324399999998</v>
      </c>
      <c r="V53" s="197"/>
      <c r="W53" s="197">
        <f t="shared" si="20"/>
        <v>423.52324399999998</v>
      </c>
      <c r="X53" s="197">
        <f t="shared" si="14"/>
        <v>125.10175600000002</v>
      </c>
      <c r="Y53" s="197">
        <f t="shared" si="15"/>
        <v>455.10175600000002</v>
      </c>
      <c r="Z53" s="973">
        <f t="shared" si="21"/>
        <v>362.70575621723998</v>
      </c>
      <c r="AA53" s="974">
        <f t="shared" si="22"/>
        <v>218.16887592014436</v>
      </c>
      <c r="AB53" s="974">
        <f t="shared" si="23"/>
        <v>279.99875778646367</v>
      </c>
      <c r="AC53" s="974">
        <f t="shared" si="24"/>
        <v>82.706998430776295</v>
      </c>
      <c r="AD53" s="974">
        <f t="shared" si="25"/>
        <v>300.87587435092064</v>
      </c>
      <c r="AE53" s="973">
        <f t="shared" si="30"/>
        <v>5798.2461857583248</v>
      </c>
      <c r="AF53" s="974">
        <f t="shared" si="26"/>
        <v>4057.70413599519</v>
      </c>
      <c r="AG53" s="974">
        <f t="shared" si="27"/>
        <v>7255.8435262741914</v>
      </c>
      <c r="AH53" s="974">
        <f t="shared" si="28"/>
        <v>-1457.5973405158677</v>
      </c>
      <c r="AI53" s="975">
        <f t="shared" si="29"/>
        <v>2600.1067954793216</v>
      </c>
    </row>
    <row r="54" spans="2:35" x14ac:dyDescent="0.3">
      <c r="B54" s="901">
        <v>16</v>
      </c>
      <c r="C54" s="919">
        <f>'Energy Inputs'!E45</f>
        <v>1</v>
      </c>
      <c r="D54" s="919">
        <f>C54*'Energy Inputs'!$E$24</f>
        <v>12.54</v>
      </c>
      <c r="E54" s="207">
        <f>'Energy margins'!$L$12</f>
        <v>43.75</v>
      </c>
      <c r="F54" s="207">
        <f t="shared" si="17"/>
        <v>548.625</v>
      </c>
      <c r="G54" s="919">
        <f>'Energy Inputs'!$D$10</f>
        <v>330</v>
      </c>
      <c r="H54" s="207">
        <f t="shared" si="18"/>
        <v>878.625</v>
      </c>
      <c r="I54" s="207"/>
      <c r="J54" s="945">
        <f>IF(ISERROR(IF(MOD(IF(AND(B54&gt;='Energy margins'!$M$44,B54&lt;='Energy margins'!$N$44),B54-'Energy margins'!$M$44,""),'Energy margins'!$O$44)=0,'Energy margins'!$L$44,0)),0,IF(MOD(IF(AND(B54&gt;='Energy margins'!$M$44,B54&lt;='Energy margins'!$N$44),B54-'Energy margins'!$M$44,""),'Energy margins'!$O$44)=0,'Energy margins'!$L$44,0))</f>
        <v>0</v>
      </c>
      <c r="K54" s="919">
        <f>IF(ISERROR(IF(MOD(IF(AND(B54&gt;='Energy margins'!$M$45,B54&lt;='Energy margins'!$N$45),B54-'Energy margins'!$M$45,""),'Energy margins'!$O$45)=0,'Energy margins'!$L$45,0)),0,IF(MOD(IF(AND(B54&gt;='Energy margins'!$M$45,B54&lt;='Energy margins'!$N$45),B54-'Energy margins'!$M$45,""),'Energy margins'!$O$45)=0,'Energy margins'!$L$45,0))</f>
        <v>0</v>
      </c>
      <c r="L54" s="919">
        <f>IF(ISERROR(IF(MOD(IF(AND(B54&gt;='Energy margins'!$M$46,B54&lt;='Energy margins'!$N$46),B54-'Energy margins'!$M$46,""),'Energy margins'!$O$46)=0,'Energy margins'!$L$46,0)),0,IF(MOD(IF(AND(B54&gt;='Energy margins'!$M$46,B54&lt;='Energy margins'!$N$46),B54-'Energy margins'!$M$46,""),'Energy margins'!$O$46)=0,'Energy margins'!$L$46,0))</f>
        <v>0</v>
      </c>
      <c r="M54" s="919">
        <f>IF(ISERROR(IF(MOD(IF(AND(B54&gt;='Energy margins'!$M$47,B54&lt;='Energy margins'!$N$47),B54-'Energy margins'!$M$47,""),'Energy margins'!$O$47)=0,'Energy margins'!$L$47,0)),0,IF(MOD(IF(AND(B54&gt;='Energy margins'!$M$47,B54&lt;='Energy margins'!$N$47),B54-'Energy margins'!$M$47,""),'Energy margins'!$O$47)=0,'Energy margins'!$L$47,0))</f>
        <v>19.974783999999993</v>
      </c>
      <c r="N54" s="919">
        <f>IF(ISERROR(IF(MOD(IF(AND(B54&gt;='Energy margins'!$M$50,B54&lt;='Energy margins'!$N$50),B54-'Energy margins'!$M$50,""),'Energy margins'!$O$50)=0,'Energy margins'!$L$50,0)),0,IF(MOD(IF(AND(B54&gt;='Energy margins'!$M$50,B54&lt;='Energy margins'!$N$50),B54-'Energy margins'!$M$50,""),'Energy margins'!$O$50)=0,'Energy margins'!$L$50,0))</f>
        <v>61.887839999999997</v>
      </c>
      <c r="O54" s="919">
        <f>IF(ISERROR(IF(MOD(IF(AND(B54&gt;='Energy margins'!$M$53,B54&lt;='Energy margins'!$N$53),B54-'Energy margins'!$M$53,""),'Energy margins'!$O$53)=0,'Energy margins'!$L$53,0)),0,IF(MOD(IF(AND(B54&gt;='Energy margins'!$M$53,B54&lt;='Energy margins'!$N$53),B54-'Energy margins'!$M$53,""),'Energy margins'!$O$53)=0,'Energy margins'!$L$53,0))</f>
        <v>10.140619999999998</v>
      </c>
      <c r="P54" s="919">
        <f>IF(ISERROR(IF(MOD(IF(AND(B54&gt;='Energy margins'!$M$56,B54&lt;='Energy margins'!$N$56),B54-'Energy margins'!$M$56,""),'Energy margins'!$O$56)=0,'Energy margins'!$L$56,0)),0,IF(MOD(IF(AND(B54&gt;='Energy margins'!$M$56,B54&lt;='Energy margins'!$N$56),B54-'Energy margins'!$M$56,""),'Energy margins'!$O$56)=0,'Energy margins'!$L$56,0))</f>
        <v>61.019999999999996</v>
      </c>
      <c r="Q54" s="919">
        <f>IF(ISERROR(IF(MOD(IF(AND(B54&gt;='Energy margins'!$M$59,B54&lt;='Energy margins'!$N$59),B54-'Energy margins'!$M$59,""),'Energy margins'!$O$59)=0,'Energy margins'!$L$59,0)),0,IF(MOD(IF(AND(B54&gt;='Energy margins'!$M$59,B54&lt;='Energy margins'!$N$59),B54-'Energy margins'!$M$59,""),'Energy margins'!$O$59)=0,'Energy margins'!$L$59,0))</f>
        <v>0</v>
      </c>
      <c r="R54" s="919">
        <f>IF(ISERROR(IF(MOD(IF(AND(B54&gt;='Energy margins'!$M$60,B54&lt;='Energy margins'!$N$60),B54-'Energy margins'!$M$60,""),'Energy margins'!$O$60)=0,'Energy margins'!$L$60,0)),0,IF(MOD(IF(AND(B54&gt;='Energy margins'!$M$60,B54&lt;='Energy margins'!$N$60),B54-'Energy margins'!$M$60,""),'Energy margins'!$O$60)=0,'Energy margins'!$L$60,0))</f>
        <v>270.5</v>
      </c>
      <c r="S54" s="919">
        <f>IF(ISERROR(IF(MOD(IF(AND(B54&gt;='Energy margins'!$M$61,B54&lt;='Energy margins'!$N$61),B54-'Energy margins'!$M$61,""),'Energy margins'!$O$61)=0,'Energy margins'!$L$61,0)),0,IF(MOD(IF(AND(B54&gt;='Energy margins'!$M$61,B54&lt;='Energy margins'!$N$61),B54-'Energy margins'!$M$61,""),'Energy margins'!$O$61)=0,'Energy margins'!$L$61,0))</f>
        <v>0</v>
      </c>
      <c r="T54" s="919">
        <f>IF(ISERROR(IF(MOD(IF(AND(B54&gt;='Energy margins'!$M$62,B54&lt;='Energy margins'!$N$62),B54-'Energy margins'!$M$62,""),'Energy margins'!$O$62)=0,'Energy margins'!$L$62,0)),0,IF(MOD(IF(AND(B54&gt;='Energy margins'!$M$62,B54&lt;='Energy margins'!$N$62),B54-'Energy margins'!$M$62,""),'Energy margins'!$O$62)=0,'Energy margins'!$L$62,0))</f>
        <v>0</v>
      </c>
      <c r="U54" s="946">
        <f t="shared" si="19"/>
        <v>423.52324399999998</v>
      </c>
      <c r="V54" s="207">
        <f>'Energy margins'!Q67</f>
        <v>192.1</v>
      </c>
      <c r="W54" s="207">
        <f t="shared" si="20"/>
        <v>615.623244</v>
      </c>
      <c r="X54" s="207">
        <f t="shared" si="14"/>
        <v>-66.998244</v>
      </c>
      <c r="Y54" s="207">
        <f t="shared" si="15"/>
        <v>263.001756</v>
      </c>
      <c r="Z54" s="976">
        <f t="shared" si="21"/>
        <v>352.14151089052422</v>
      </c>
      <c r="AA54" s="977">
        <f t="shared" si="22"/>
        <v>211.81444264091684</v>
      </c>
      <c r="AB54" s="977">
        <f t="shared" si="23"/>
        <v>395.14513425652467</v>
      </c>
      <c r="AC54" s="977">
        <f t="shared" si="24"/>
        <v>-43.003623366000454</v>
      </c>
      <c r="AD54" s="978">
        <f t="shared" si="25"/>
        <v>168.81081927491638</v>
      </c>
      <c r="AE54" s="976">
        <f t="shared" si="30"/>
        <v>6150.3876966488488</v>
      </c>
      <c r="AF54" s="977">
        <f t="shared" si="26"/>
        <v>4269.5185786361071</v>
      </c>
      <c r="AG54" s="977">
        <f t="shared" si="27"/>
        <v>7650.9886605307165</v>
      </c>
      <c r="AH54" s="977">
        <f t="shared" si="28"/>
        <v>-1500.6009638818682</v>
      </c>
      <c r="AI54" s="978">
        <f t="shared" si="29"/>
        <v>2768.917614754238</v>
      </c>
    </row>
    <row r="57" spans="2:35" x14ac:dyDescent="0.3">
      <c r="J57" t="s">
        <v>542</v>
      </c>
      <c r="K57" t="s">
        <v>546</v>
      </c>
    </row>
    <row r="58" spans="2:35" x14ac:dyDescent="0.3">
      <c r="J58" t="s">
        <v>543</v>
      </c>
      <c r="K58" t="s">
        <v>547</v>
      </c>
    </row>
    <row r="59" spans="2:35" x14ac:dyDescent="0.3">
      <c r="J59" t="s">
        <v>544</v>
      </c>
      <c r="K59" t="s">
        <v>548</v>
      </c>
    </row>
    <row r="60" spans="2:35" x14ac:dyDescent="0.3">
      <c r="J60" t="s">
        <v>545</v>
      </c>
      <c r="K60" t="s">
        <v>549</v>
      </c>
    </row>
    <row r="61" spans="2:35" x14ac:dyDescent="0.3">
      <c r="B61" s="227" t="s">
        <v>93</v>
      </c>
      <c r="C61" s="231"/>
      <c r="D61" s="231"/>
      <c r="E61" s="231"/>
      <c r="F61" s="194"/>
      <c r="G61" s="193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</row>
    <row r="62" spans="2:35" x14ac:dyDescent="0.3">
      <c r="B62" s="203"/>
      <c r="C62" s="148"/>
      <c r="D62" s="148"/>
      <c r="E62" s="148"/>
      <c r="F62" s="1108"/>
      <c r="G62" s="1108"/>
      <c r="H62" s="1108"/>
      <c r="I62" s="148"/>
      <c r="J62" s="930" t="s">
        <v>85</v>
      </c>
      <c r="K62" s="931"/>
      <c r="L62" s="931"/>
      <c r="M62" s="931"/>
      <c r="N62" s="931"/>
      <c r="O62" s="931"/>
      <c r="P62" s="931"/>
      <c r="Q62" s="931"/>
      <c r="R62" s="931"/>
      <c r="S62" s="931"/>
      <c r="T62" s="931"/>
      <c r="U62" s="932"/>
      <c r="V62" s="1108"/>
      <c r="W62" s="1108"/>
      <c r="X62" s="148"/>
      <c r="Y62" s="148"/>
      <c r="Z62" s="1109" t="s">
        <v>270</v>
      </c>
      <c r="AA62" s="1110"/>
      <c r="AB62" s="1110"/>
      <c r="AC62" s="1110"/>
      <c r="AD62" s="1111"/>
      <c r="AE62" s="1109" t="s">
        <v>271</v>
      </c>
      <c r="AF62" s="1110"/>
      <c r="AG62" s="1110"/>
      <c r="AH62" s="1110"/>
      <c r="AI62" s="1111"/>
    </row>
    <row r="63" spans="2:35" ht="51" x14ac:dyDescent="0.3">
      <c r="B63" s="204" t="s">
        <v>272</v>
      </c>
      <c r="C63" s="205" t="s">
        <v>533</v>
      </c>
      <c r="D63" s="205" t="s">
        <v>289</v>
      </c>
      <c r="E63" s="205" t="s">
        <v>290</v>
      </c>
      <c r="F63" s="171" t="s">
        <v>676</v>
      </c>
      <c r="G63" s="171" t="s">
        <v>672</v>
      </c>
      <c r="H63" s="171" t="s">
        <v>677</v>
      </c>
      <c r="I63" s="205" t="s">
        <v>287</v>
      </c>
      <c r="J63" s="955" t="s">
        <v>250</v>
      </c>
      <c r="K63" s="956" t="s">
        <v>32</v>
      </c>
      <c r="L63" s="956" t="s">
        <v>520</v>
      </c>
      <c r="M63" s="956" t="s">
        <v>144</v>
      </c>
      <c r="N63" s="957" t="s">
        <v>539</v>
      </c>
      <c r="O63" s="957" t="s">
        <v>540</v>
      </c>
      <c r="P63" s="957" t="s">
        <v>541</v>
      </c>
      <c r="Q63" s="958" t="s">
        <v>177</v>
      </c>
      <c r="R63" s="958" t="s">
        <v>462</v>
      </c>
      <c r="S63" s="959" t="s">
        <v>463</v>
      </c>
      <c r="T63" s="958" t="s">
        <v>464</v>
      </c>
      <c r="U63" s="960" t="s">
        <v>288</v>
      </c>
      <c r="V63" s="205" t="s">
        <v>291</v>
      </c>
      <c r="W63" s="171" t="s">
        <v>276</v>
      </c>
      <c r="X63" s="171" t="s">
        <v>678</v>
      </c>
      <c r="Y63" s="171" t="s">
        <v>679</v>
      </c>
      <c r="Z63" s="195" t="s">
        <v>277</v>
      </c>
      <c r="AA63" s="171" t="s">
        <v>680</v>
      </c>
      <c r="AB63" s="171" t="s">
        <v>278</v>
      </c>
      <c r="AC63" s="171" t="s">
        <v>681</v>
      </c>
      <c r="AD63" s="198" t="s">
        <v>279</v>
      </c>
      <c r="AE63" s="195" t="s">
        <v>280</v>
      </c>
      <c r="AF63" s="171" t="s">
        <v>682</v>
      </c>
      <c r="AG63" s="171" t="s">
        <v>281</v>
      </c>
      <c r="AH63" s="171" t="s">
        <v>683</v>
      </c>
      <c r="AI63" s="198" t="s">
        <v>282</v>
      </c>
    </row>
    <row r="64" spans="2:35" x14ac:dyDescent="0.3">
      <c r="B64" s="173"/>
      <c r="C64" s="226" t="s">
        <v>534</v>
      </c>
      <c r="D64" s="226" t="s">
        <v>332</v>
      </c>
      <c r="E64" s="226" t="s">
        <v>569</v>
      </c>
      <c r="F64" s="226" t="s">
        <v>567</v>
      </c>
      <c r="G64" s="226" t="s">
        <v>567</v>
      </c>
      <c r="H64" s="226" t="s">
        <v>567</v>
      </c>
      <c r="I64" s="226" t="s">
        <v>567</v>
      </c>
      <c r="J64" s="937" t="s">
        <v>567</v>
      </c>
      <c r="K64" s="938" t="s">
        <v>567</v>
      </c>
      <c r="L64" s="938" t="s">
        <v>567</v>
      </c>
      <c r="M64" s="938" t="s">
        <v>567</v>
      </c>
      <c r="N64" s="938" t="s">
        <v>567</v>
      </c>
      <c r="O64" s="938" t="s">
        <v>567</v>
      </c>
      <c r="P64" s="938" t="s">
        <v>567</v>
      </c>
      <c r="Q64" s="939" t="s">
        <v>567</v>
      </c>
      <c r="R64" s="939" t="s">
        <v>567</v>
      </c>
      <c r="S64" s="939" t="s">
        <v>567</v>
      </c>
      <c r="T64" s="939" t="s">
        <v>569</v>
      </c>
      <c r="U64" s="940" t="s">
        <v>567</v>
      </c>
      <c r="V64" s="226" t="s">
        <v>567</v>
      </c>
      <c r="W64" s="226" t="s">
        <v>567</v>
      </c>
      <c r="X64" s="226" t="s">
        <v>567</v>
      </c>
      <c r="Y64" s="730" t="s">
        <v>567</v>
      </c>
      <c r="Z64" s="226" t="s">
        <v>567</v>
      </c>
      <c r="AA64" s="226" t="s">
        <v>567</v>
      </c>
      <c r="AB64" s="226" t="s">
        <v>567</v>
      </c>
      <c r="AC64" s="226" t="s">
        <v>567</v>
      </c>
      <c r="AD64" s="730" t="s">
        <v>567</v>
      </c>
      <c r="AE64" s="226" t="s">
        <v>567</v>
      </c>
      <c r="AF64" s="226" t="s">
        <v>567</v>
      </c>
      <c r="AG64" s="226" t="s">
        <v>567</v>
      </c>
      <c r="AH64" s="226" t="s">
        <v>567</v>
      </c>
      <c r="AI64" s="730" t="s">
        <v>567</v>
      </c>
    </row>
    <row r="65" spans="2:35" x14ac:dyDescent="0.3">
      <c r="B65" s="899">
        <v>1</v>
      </c>
      <c r="C65" s="922">
        <f>'Energy Inputs'!F30</f>
        <v>0.1761785888496743</v>
      </c>
      <c r="D65" s="918">
        <f>C65*'Energy Inputs'!$F$24</f>
        <v>1.761785888496743</v>
      </c>
      <c r="E65" s="197">
        <f>'Energy margins'!$S$12</f>
        <v>43.75</v>
      </c>
      <c r="F65" s="197">
        <f>D65*E65</f>
        <v>77.078132621732507</v>
      </c>
      <c r="G65" s="928">
        <f>'Energy Inputs'!$D$10</f>
        <v>330</v>
      </c>
      <c r="H65" s="197">
        <f>F65+G65</f>
        <v>407.07813262173249</v>
      </c>
      <c r="I65" s="197">
        <f>'Margins summary'!T20</f>
        <v>5743.7583439999999</v>
      </c>
      <c r="J65" s="964">
        <f>IF(ISERROR(IF(MOD(IF(AND(B65&gt;='Energy margins'!$T$44,B65&lt;='Energy margins'!$U$44),B65-'Energy margins'!$T$44,""),'Energy margins'!$V$44)=0,'Energy margins'!$S$44,0)),0,IF(MOD(IF(AND(B65&gt;='Energy margins'!$T$44,B65&lt;='Energy margins'!$U$44),B65-'Energy margins'!$T$44,""),'Energy margins'!$V$44)=0,'Energy margins'!$S$44,0))</f>
        <v>0</v>
      </c>
      <c r="K65" s="928">
        <f>IF(ISERROR(IF(MOD(IF(AND(B65&gt;='Energy margins'!$T$45,B65&lt;='Energy margins'!$U$45),B65-'Energy margins'!$T$45,""),'Energy margins'!$V$45)=0,'Energy margins'!$S$45,0)),0,IF(MOD(IF(AND(B65&gt;='Energy margins'!$T$45,B65&lt;='Energy margins'!$U$45),B65-'Energy margins'!$T$45,""),'Energy margins'!$V$45)=0,'Energy margins'!$S$45,0))</f>
        <v>0</v>
      </c>
      <c r="L65" s="928">
        <f>IF(ISERROR(IF(MOD(IF(AND(B65&gt;='Energy margins'!$T$46,B65&lt;='Energy margins'!$U$46),B65-'Energy margins'!$T$46,""),'Energy margins'!$V$46)=0,'Energy margins'!$S$46,0)),0,IF(MOD(IF(AND(B65&gt;='Energy margins'!$T$46,B65&lt;='Energy margins'!$U$46),B65-'Energy margins'!$T$46,""),'Energy margins'!$V$46)=0,'Energy margins'!$S$46,0))</f>
        <v>0</v>
      </c>
      <c r="M65" s="928">
        <f>IF(ISERROR(IF(MOD(IF(AND(B65&gt;='Energy margins'!$T$47,B65&lt;='Energy margins'!$U$47),B65-'Energy margins'!$T$47,""),'Energy margins'!$V$47)=0,'Energy margins'!$S$47,0)),0,IF(MOD(IF(AND(B65&gt;='Energy margins'!$T$47,B65&lt;='Energy margins'!$U$47),B65-'Energy margins'!$T$47,""),'Energy margins'!$V$47)=0,'Energy margins'!$S$47,0))</f>
        <v>0</v>
      </c>
      <c r="N65" s="928">
        <f>IF(ISERROR(IF(MOD(IF(AND(B65&gt;='Energy margins'!$T$50,B65&lt;='Energy margins'!$U$50),B65-'Energy margins'!$T$50,""),'Energy margins'!$V$50)=0,'Energy margins'!$S$50,0)),0,IF(MOD(IF(AND(B65&gt;='Energy margins'!$T$50,B65&lt;='Energy margins'!$U$50),B65-'Energy margins'!$T$50,""),'Energy margins'!$V$50)=0,'Energy margins'!$S$50,0))</f>
        <v>0</v>
      </c>
      <c r="O65" s="928">
        <f>IF(ISERROR(IF(MOD(IF(AND(B65&gt;='Energy margins'!$T$53,B65&lt;='Energy margins'!$U$53),B65-'Energy margins'!$T$53,""),'Energy margins'!$V$53)=0,'Energy margins'!$S$53,0)),0,IF(MOD(IF(AND(B65&gt;='Energy margins'!$T$53,B65&lt;='Energy margins'!$U$53),B65-'Energy margins'!$T$53,""),'Energy margins'!$V$53)=0,'Energy margins'!$S$53,0))</f>
        <v>0</v>
      </c>
      <c r="P65" s="928">
        <f>IF(ISERROR(IF(MOD(IF(AND(B65&gt;='Energy margins'!$T$56,B65&lt;='Energy margins'!$U$56),B65-'Energy margins'!$T$56,""),'Energy margins'!$V$56)=0,'Energy margins'!$S$56,0)),0,IF(MOD(IF(AND(B65&gt;='Energy margins'!$T$56,B65&lt;='Energy margins'!$U$56),B65-'Energy margins'!$T$56,""),'Energy margins'!$V$56)=0,'Energy margins'!$S$56,0))</f>
        <v>0</v>
      </c>
      <c r="Q65" s="928">
        <f>IF(ISERROR(IF(MOD(IF(AND(B65&gt;='Energy margins'!$T$59,B65&lt;='Energy margins'!$U$59),B65-'Energy margins'!$T$59,""),'Energy margins'!$V$59)=0,'Energy margins'!$S$59,0)),0,IF(MOD(IF(AND(B65&gt;='Energy margins'!$T$59,B65&lt;='Energy margins'!$U$59),B65-'Energy margins'!$T$59,""),'Energy margins'!$V$59)=0,'Energy margins'!$S$59,0))</f>
        <v>112.99999999999999</v>
      </c>
      <c r="R65" s="928">
        <f>IF(ISERROR(IF(MOD(IF(AND(B65&gt;='Energy margins'!$T$60,B65&lt;='Energy margins'!$U$60),B65-'Energy margins'!$T$60,""),'Energy margins'!$V$60)=0,'Energy margins'!$S$60,0)),0,IF(MOD(IF(AND(B65&gt;='Energy margins'!$T$60,B65&lt;='Energy margins'!$U$60),B65-'Energy margins'!$T$60,""),'Energy margins'!$V$60)=0,'Energy margins'!$S$60,0))</f>
        <v>0</v>
      </c>
      <c r="S65" s="928">
        <f>IF(ISERROR(IF(MOD(IF(AND(B65&gt;='Energy margins'!$T$61,B65&lt;='Energy margins'!$U$61),B65-'Energy margins'!$T$61,""),'Energy margins'!$V$61)=0,'Energy margins'!$S$61,0)),0,IF(MOD(IF(AND(B65&gt;='Energy margins'!$T$61,B65&lt;='Energy margins'!$U$61),B65-'Energy margins'!$T$61,""),'Energy margins'!$V$61)=0,'Energy margins'!$S$61,0))</f>
        <v>0</v>
      </c>
      <c r="T65" s="928">
        <f>IF(ISERROR(IF(MOD(IF(AND(B65&gt;='Energy margins'!$T$62,B65&lt;='Energy margins'!$U$62),B65-'Energy margins'!$T$62,""),'Energy margins'!$V$62)=0,'Energy margins'!$S$62,0)),0,IF(MOD(IF(AND(B65&gt;='Energy margins'!$T$62,B65&lt;='Energy margins'!$U$62),B65-'Energy margins'!$T$62,""),'Energy margins'!$V$62)=0,'Energy margins'!$S$62,0))</f>
        <v>0</v>
      </c>
      <c r="U65" s="942">
        <f>SUM(J65:T65)</f>
        <v>112.99999999999999</v>
      </c>
      <c r="V65" s="197"/>
      <c r="W65" s="197">
        <f>I65+U65+V65</f>
        <v>5856.7583439999999</v>
      </c>
      <c r="X65" s="197">
        <f t="shared" ref="X65:X80" si="31">F65-W65</f>
        <v>-5779.6802113782669</v>
      </c>
      <c r="Y65" s="197">
        <f t="shared" ref="Y65:Y80" si="32">H65-W65</f>
        <v>-5449.6802113782669</v>
      </c>
      <c r="Z65" s="973">
        <f>F65/((1+$C$6)^($B65-1))</f>
        <v>77.078132621732507</v>
      </c>
      <c r="AA65" s="974">
        <f>G65/((1+$C$6)^($B65-1))</f>
        <v>330</v>
      </c>
      <c r="AB65" s="974">
        <f>W65/((1+$C$6)^($B65-1))</f>
        <v>5856.7583439999999</v>
      </c>
      <c r="AC65" s="974">
        <f t="shared" ref="AC65:AD65" si="33">X65/((1+$C$6)^($B65-1))</f>
        <v>-5779.6802113782669</v>
      </c>
      <c r="AD65" s="974">
        <f t="shared" si="33"/>
        <v>-5449.6802113782669</v>
      </c>
      <c r="AE65" s="973">
        <f>Z65</f>
        <v>77.078132621732507</v>
      </c>
      <c r="AF65" s="974">
        <f>AA65</f>
        <v>330</v>
      </c>
      <c r="AG65" s="974">
        <f>AB65</f>
        <v>5856.7583439999999</v>
      </c>
      <c r="AH65" s="974">
        <f>AC65</f>
        <v>-5779.6802113782669</v>
      </c>
      <c r="AI65" s="975">
        <f>AD65</f>
        <v>-5449.6802113782669</v>
      </c>
    </row>
    <row r="66" spans="2:35" x14ac:dyDescent="0.3">
      <c r="B66" s="900">
        <v>2</v>
      </c>
      <c r="C66" s="922">
        <f>'Energy Inputs'!F31</f>
        <v>0.71188775071016608</v>
      </c>
      <c r="D66" s="918">
        <f>C66*'Energy Inputs'!$F$24</f>
        <v>7.1188775071016606</v>
      </c>
      <c r="E66" s="197">
        <f>'Energy margins'!$S$12</f>
        <v>43.75</v>
      </c>
      <c r="F66" s="197">
        <f t="shared" ref="F66:F80" si="34">D66*E66</f>
        <v>311.45089093569766</v>
      </c>
      <c r="G66" s="918">
        <f>'Energy Inputs'!$D$10</f>
        <v>330</v>
      </c>
      <c r="H66" s="197">
        <f t="shared" ref="H66:H80" si="35">F66+G66</f>
        <v>641.45089093569766</v>
      </c>
      <c r="I66" s="197"/>
      <c r="J66" s="947">
        <f>IF(ISERROR(IF(MOD(IF(AND(B66&gt;='Energy margins'!$T$44,B66&lt;='Energy margins'!$U$44),B66-'Energy margins'!$T$44,""),'Energy margins'!$V$44)=0,'Energy margins'!$S$44,0)),0,IF(MOD(IF(AND(B66&gt;='Energy margins'!$T$44,B66&lt;='Energy margins'!$U$44),B66-'Energy margins'!$T$44,""),'Energy margins'!$V$44)=0,'Energy margins'!$S$44,0))</f>
        <v>181.92999999999998</v>
      </c>
      <c r="K66" s="918">
        <f>IF(ISERROR(IF(MOD(IF(AND(B66&gt;='Energy margins'!$T$45,B66&lt;='Energy margins'!$U$45),B66-'Energy margins'!$T$45,""),'Energy margins'!$V$45)=0,'Energy margins'!$S$45,0)),0,IF(MOD(IF(AND(B66&gt;='Energy margins'!$T$45,B66&lt;='Energy margins'!$U$45),B66-'Energy margins'!$T$45,""),'Energy margins'!$V$45)=0,'Energy margins'!$S$45,0))</f>
        <v>0</v>
      </c>
      <c r="L66" s="918">
        <f>IF(ISERROR(IF(MOD(IF(AND(B66&gt;='Energy margins'!$T$46,B66&lt;='Energy margins'!$U$46),B66-'Energy margins'!$T$46,""),'Energy margins'!$V$46)=0,'Energy margins'!$S$46,0)),0,IF(MOD(IF(AND(B66&gt;='Energy margins'!$T$46,B66&lt;='Energy margins'!$U$46),B66-'Energy margins'!$T$46,""),'Energy margins'!$V$46)=0,'Energy margins'!$S$46,0))</f>
        <v>0</v>
      </c>
      <c r="M66" s="918">
        <f>IF(ISERROR(IF(MOD(IF(AND(B66&gt;='Energy margins'!$T$47,B66&lt;='Energy margins'!$U$47),B66-'Energy margins'!$T$47,""),'Energy margins'!$V$47)=0,'Energy margins'!$S$47,0)),0,IF(MOD(IF(AND(B66&gt;='Energy margins'!$T$47,B66&lt;='Energy margins'!$U$47),B66-'Energy margins'!$T$47,""),'Energy margins'!$V$47)=0,'Energy margins'!$S$47,0))</f>
        <v>19.974783999999993</v>
      </c>
      <c r="N66" s="918">
        <f>IF(ISERROR(IF(MOD(IF(AND(B66&gt;='Energy margins'!$T$50,B66&lt;='Energy margins'!$U$50),B66-'Energy margins'!$T$50,""),'Energy margins'!$V$50)=0,'Energy margins'!$S$50,0)),0,IF(MOD(IF(AND(B66&gt;='Energy margins'!$T$50,B66&lt;='Energy margins'!$U$50),B66-'Energy margins'!$T$50,""),'Energy margins'!$V$50)=0,'Energy margins'!$S$50,0))</f>
        <v>73.676000000000002</v>
      </c>
      <c r="O66" s="918">
        <f>IF(ISERROR(IF(MOD(IF(AND(B66&gt;='Energy margins'!$T$53,B66&lt;='Energy margins'!$U$53),B66-'Energy margins'!$T$53,""),'Energy margins'!$V$53)=0,'Energy margins'!$S$53,0)),0,IF(MOD(IF(AND(B66&gt;='Energy margins'!$T$53,B66&lt;='Energy margins'!$U$53),B66-'Energy margins'!$T$53,""),'Energy margins'!$V$53)=0,'Energy margins'!$S$53,0))</f>
        <v>66.638359999999992</v>
      </c>
      <c r="P66" s="918">
        <f>IF(ISERROR(IF(MOD(IF(AND(B66&gt;='Energy margins'!$T$56,B66&lt;='Energy margins'!$U$56),B66-'Energy margins'!$T$56,""),'Energy margins'!$V$56)=0,'Energy margins'!$S$56,0)),0,IF(MOD(IF(AND(B66&gt;='Energy margins'!$T$56,B66&lt;='Energy margins'!$U$56),B66-'Energy margins'!$T$56,""),'Energy margins'!$V$56)=0,'Energy margins'!$S$56,0))</f>
        <v>42.713999999999999</v>
      </c>
      <c r="Q66" s="918">
        <f>IF(ISERROR(IF(MOD(IF(AND(B66&gt;='Energy margins'!$T$59,B66&lt;='Energy margins'!$U$59),B66-'Energy margins'!$T$59,""),'Energy margins'!$V$59)=0,'Energy margins'!$S$59,0)),0,IF(MOD(IF(AND(B66&gt;='Energy margins'!$T$59,B66&lt;='Energy margins'!$U$59),B66-'Energy margins'!$T$59,""),'Energy margins'!$V$59)=0,'Energy margins'!$S$59,0))</f>
        <v>112.99999999999999</v>
      </c>
      <c r="R66" s="918">
        <f>IF(ISERROR(IF(MOD(IF(AND(B66&gt;='Energy margins'!$T$60,B66&lt;='Energy margins'!$U$60),B66-'Energy margins'!$T$60,""),'Energy margins'!$V$60)=0,'Energy margins'!$S$60,0)),0,IF(MOD(IF(AND(B66&gt;='Energy margins'!$T$60,B66&lt;='Energy margins'!$U$60),B66-'Energy margins'!$T$60,""),'Energy margins'!$V$60)=0,'Energy margins'!$S$60,0))</f>
        <v>0</v>
      </c>
      <c r="S66" s="918">
        <f>IF(ISERROR(IF(MOD(IF(AND(B66&gt;='Energy margins'!$T$61,B66&lt;='Energy margins'!$U$61),B66-'Energy margins'!$T$61,""),'Energy margins'!$V$61)=0,'Energy margins'!$S$61,0)),0,IF(MOD(IF(AND(B66&gt;='Energy margins'!$T$61,B66&lt;='Energy margins'!$U$61),B66-'Energy margins'!$T$61,""),'Energy margins'!$V$61)=0,'Energy margins'!$S$61,0))</f>
        <v>0</v>
      </c>
      <c r="T66" s="918">
        <f>IF(ISERROR(IF(MOD(IF(AND(B66&gt;='Energy margins'!$T$62,B66&lt;='Energy margins'!$U$62),B66-'Energy margins'!$T$62,""),'Energy margins'!$V$62)=0,'Energy margins'!$S$62,0)),0,IF(MOD(IF(AND(B66&gt;='Energy margins'!$T$62,B66&lt;='Energy margins'!$U$62),B66-'Energy margins'!$T$62,""),'Energy margins'!$V$62)=0,'Energy margins'!$S$62,0))</f>
        <v>0</v>
      </c>
      <c r="U66" s="944">
        <f t="shared" ref="U66:U80" si="36">SUM(J66:T66)</f>
        <v>497.93314399999997</v>
      </c>
      <c r="V66" s="197"/>
      <c r="W66" s="197">
        <f t="shared" ref="W66:W80" si="37">I66+U66+V66</f>
        <v>497.93314399999997</v>
      </c>
      <c r="X66" s="197">
        <f t="shared" si="31"/>
        <v>-186.48225306430231</v>
      </c>
      <c r="Y66" s="197">
        <f t="shared" si="32"/>
        <v>143.51774693569769</v>
      </c>
      <c r="Z66" s="973">
        <f t="shared" ref="Z66:Z80" si="38">F66/((1+$C$6)^($B66-1))</f>
        <v>302.37950576281327</v>
      </c>
      <c r="AA66" s="974">
        <f t="shared" ref="AA66:AA80" si="39">G66/((1+$C$6)^($B66-1))</f>
        <v>320.38834951456312</v>
      </c>
      <c r="AB66" s="974">
        <f t="shared" ref="AB66:AB80" si="40">W66/((1+$C$6)^($B66-1))</f>
        <v>483.43023689320387</v>
      </c>
      <c r="AC66" s="974">
        <f t="shared" ref="AC66:AC80" si="41">X66/((1+$C$6)^($B66-1))</f>
        <v>-181.0507311303906</v>
      </c>
      <c r="AD66" s="974">
        <f t="shared" ref="AD66:AD80" si="42">Y66/((1+$C$6)^($B66-1))</f>
        <v>139.33761838417252</v>
      </c>
      <c r="AE66" s="973">
        <f>AE65+Z66</f>
        <v>379.45763838454576</v>
      </c>
      <c r="AF66" s="974">
        <f t="shared" ref="AF66:AF80" si="43">AF65+AA66</f>
        <v>650.38834951456306</v>
      </c>
      <c r="AG66" s="974">
        <f t="shared" ref="AG66:AG80" si="44">AG65+AB66</f>
        <v>6340.1885808932038</v>
      </c>
      <c r="AH66" s="974">
        <f t="shared" ref="AH66:AH80" si="45">AH65+AC66</f>
        <v>-5960.7309425086578</v>
      </c>
      <c r="AI66" s="975">
        <f t="shared" ref="AI66:AI80" si="46">AI65+AD66</f>
        <v>-5310.342592994094</v>
      </c>
    </row>
    <row r="67" spans="2:35" x14ac:dyDescent="0.3">
      <c r="B67" s="900">
        <v>3</v>
      </c>
      <c r="C67" s="922">
        <f>'Energy Inputs'!F32</f>
        <v>0.94057559323979223</v>
      </c>
      <c r="D67" s="918">
        <f>C67*'Energy Inputs'!$F$24</f>
        <v>9.4057559323979216</v>
      </c>
      <c r="E67" s="197">
        <f>'Energy margins'!$S$12</f>
        <v>43.75</v>
      </c>
      <c r="F67" s="197">
        <f t="shared" si="34"/>
        <v>411.50182204240906</v>
      </c>
      <c r="G67" s="918">
        <f>'Energy Inputs'!$D$10</f>
        <v>330</v>
      </c>
      <c r="H67" s="197">
        <f t="shared" si="35"/>
        <v>741.501822042409</v>
      </c>
      <c r="I67" s="197"/>
      <c r="J67" s="947">
        <f>IF(ISERROR(IF(MOD(IF(AND(B67&gt;='Energy margins'!$T$44,B67&lt;='Energy margins'!$U$44),B67-'Energy margins'!$T$44,""),'Energy margins'!$V$44)=0,'Energy margins'!$S$44,0)),0,IF(MOD(IF(AND(B67&gt;='Energy margins'!$T$44,B67&lt;='Energy margins'!$U$44),B67-'Energy margins'!$T$44,""),'Energy margins'!$V$44)=0,'Energy margins'!$S$44,0))</f>
        <v>181.92999999999998</v>
      </c>
      <c r="K67" s="918">
        <f>IF(ISERROR(IF(MOD(IF(AND(B67&gt;='Energy margins'!$T$45,B67&lt;='Energy margins'!$U$45),B67-'Energy margins'!$T$45,""),'Energy margins'!$V$45)=0,'Energy margins'!$S$45,0)),0,IF(MOD(IF(AND(B67&gt;='Energy margins'!$T$45,B67&lt;='Energy margins'!$U$45),B67-'Energy margins'!$T$45,""),'Energy margins'!$V$45)=0,'Energy margins'!$S$45,0))</f>
        <v>0</v>
      </c>
      <c r="L67" s="918">
        <f>IF(ISERROR(IF(MOD(IF(AND(B67&gt;='Energy margins'!$T$46,B67&lt;='Energy margins'!$U$46),B67-'Energy margins'!$T$46,""),'Energy margins'!$V$46)=0,'Energy margins'!$S$46,0)),0,IF(MOD(IF(AND(B67&gt;='Energy margins'!$T$46,B67&lt;='Energy margins'!$U$46),B67-'Energy margins'!$T$46,""),'Energy margins'!$V$46)=0,'Energy margins'!$S$46,0))</f>
        <v>0</v>
      </c>
      <c r="M67" s="918">
        <f>IF(ISERROR(IF(MOD(IF(AND(B67&gt;='Energy margins'!$T$47,B67&lt;='Energy margins'!$U$47),B67-'Energy margins'!$T$47,""),'Energy margins'!$V$47)=0,'Energy margins'!$S$47,0)),0,IF(MOD(IF(AND(B67&gt;='Energy margins'!$T$47,B67&lt;='Energy margins'!$U$47),B67-'Energy margins'!$T$47,""),'Energy margins'!$V$47)=0,'Energy margins'!$S$47,0))</f>
        <v>19.974783999999993</v>
      </c>
      <c r="N67" s="918">
        <f>IF(ISERROR(IF(MOD(IF(AND(B67&gt;='Energy margins'!$T$50,B67&lt;='Energy margins'!$U$50),B67-'Energy margins'!$T$50,""),'Energy margins'!$V$50)=0,'Energy margins'!$S$50,0)),0,IF(MOD(IF(AND(B67&gt;='Energy margins'!$T$50,B67&lt;='Energy margins'!$U$50),B67-'Energy margins'!$T$50,""),'Energy margins'!$V$50)=0,'Energy margins'!$S$50,0))</f>
        <v>73.676000000000002</v>
      </c>
      <c r="O67" s="918">
        <f>IF(ISERROR(IF(MOD(IF(AND(B67&gt;='Energy margins'!$T$53,B67&lt;='Energy margins'!$U$53),B67-'Energy margins'!$T$53,""),'Energy margins'!$V$53)=0,'Energy margins'!$S$53,0)),0,IF(MOD(IF(AND(B67&gt;='Energy margins'!$T$53,B67&lt;='Energy margins'!$U$53),B67-'Energy margins'!$T$53,""),'Energy margins'!$V$53)=0,'Energy margins'!$S$53,0))</f>
        <v>66.638359999999992</v>
      </c>
      <c r="P67" s="918">
        <f>IF(ISERROR(IF(MOD(IF(AND(B67&gt;='Energy margins'!$T$56,B67&lt;='Energy margins'!$U$56),B67-'Energy margins'!$T$56,""),'Energy margins'!$V$56)=0,'Energy margins'!$S$56,0)),0,IF(MOD(IF(AND(B67&gt;='Energy margins'!$T$56,B67&lt;='Energy margins'!$U$56),B67-'Energy margins'!$T$56,""),'Energy margins'!$V$56)=0,'Energy margins'!$S$56,0))</f>
        <v>42.713999999999999</v>
      </c>
      <c r="Q67" s="918">
        <f>IF(ISERROR(IF(MOD(IF(AND(B67&gt;='Energy margins'!$T$59,B67&lt;='Energy margins'!$U$59),B67-'Energy margins'!$T$59,""),'Energy margins'!$V$59)=0,'Energy margins'!$S$59,0)),0,IF(MOD(IF(AND(B67&gt;='Energy margins'!$T$59,B67&lt;='Energy margins'!$U$59),B67-'Energy margins'!$T$59,""),'Energy margins'!$V$59)=0,'Energy margins'!$S$59,0))</f>
        <v>112.99999999999999</v>
      </c>
      <c r="R67" s="918">
        <f>IF(ISERROR(IF(MOD(IF(AND(B67&gt;='Energy margins'!$T$60,B67&lt;='Energy margins'!$U$60),B67-'Energy margins'!$T$60,""),'Energy margins'!$V$60)=0,'Energy margins'!$S$60,0)),0,IF(MOD(IF(AND(B67&gt;='Energy margins'!$T$60,B67&lt;='Energy margins'!$U$60),B67-'Energy margins'!$T$60,""),'Energy margins'!$V$60)=0,'Energy margins'!$S$60,0))</f>
        <v>0</v>
      </c>
      <c r="S67" s="918">
        <f>IF(ISERROR(IF(MOD(IF(AND(B67&gt;='Energy margins'!$T$61,B67&lt;='Energy margins'!$U$61),B67-'Energy margins'!$T$61,""),'Energy margins'!$V$61)=0,'Energy margins'!$S$61,0)),0,IF(MOD(IF(AND(B67&gt;='Energy margins'!$T$61,B67&lt;='Energy margins'!$U$61),B67-'Energy margins'!$T$61,""),'Energy margins'!$V$61)=0,'Energy margins'!$S$61,0))</f>
        <v>0</v>
      </c>
      <c r="T67" s="918">
        <f>IF(ISERROR(IF(MOD(IF(AND(B67&gt;='Energy margins'!$T$62,B67&lt;='Energy margins'!$U$62),B67-'Energy margins'!$T$62,""),'Energy margins'!$V$62)=0,'Energy margins'!$S$62,0)),0,IF(MOD(IF(AND(B67&gt;='Energy margins'!$T$62,B67&lt;='Energy margins'!$U$62),B67-'Energy margins'!$T$62,""),'Energy margins'!$V$62)=0,'Energy margins'!$S$62,0))</f>
        <v>0</v>
      </c>
      <c r="U67" s="944">
        <f t="shared" si="36"/>
        <v>497.93314399999997</v>
      </c>
      <c r="V67" s="197"/>
      <c r="W67" s="197">
        <f t="shared" si="37"/>
        <v>497.93314399999997</v>
      </c>
      <c r="X67" s="197">
        <f t="shared" si="31"/>
        <v>-86.43132195759091</v>
      </c>
      <c r="Y67" s="197">
        <f t="shared" si="32"/>
        <v>243.56867804240903</v>
      </c>
      <c r="Z67" s="973">
        <f t="shared" si="38"/>
        <v>387.87993405826097</v>
      </c>
      <c r="AA67" s="974">
        <f t="shared" si="39"/>
        <v>311.05665001413894</v>
      </c>
      <c r="AB67" s="974">
        <f t="shared" si="40"/>
        <v>469.3497445565086</v>
      </c>
      <c r="AC67" s="974">
        <f t="shared" si="41"/>
        <v>-81.469810498247639</v>
      </c>
      <c r="AD67" s="974">
        <f t="shared" si="42"/>
        <v>229.58683951589126</v>
      </c>
      <c r="AE67" s="973">
        <f t="shared" ref="AE67:AE80" si="47">AE66+Z67</f>
        <v>767.33757244280673</v>
      </c>
      <c r="AF67" s="974">
        <f t="shared" si="43"/>
        <v>961.44499952870206</v>
      </c>
      <c r="AG67" s="974">
        <f t="shared" si="44"/>
        <v>6809.5383254497128</v>
      </c>
      <c r="AH67" s="974">
        <f t="shared" si="45"/>
        <v>-6042.2007530069059</v>
      </c>
      <c r="AI67" s="975">
        <f t="shared" si="46"/>
        <v>-5080.7557534782027</v>
      </c>
    </row>
    <row r="68" spans="2:35" x14ac:dyDescent="0.3">
      <c r="B68" s="900">
        <v>4</v>
      </c>
      <c r="C68" s="922">
        <f>'Energy Inputs'!F33</f>
        <v>1</v>
      </c>
      <c r="D68" s="918">
        <f>C68*'Energy Inputs'!$F$24</f>
        <v>10</v>
      </c>
      <c r="E68" s="197">
        <f>'Energy margins'!$S$12</f>
        <v>43.75</v>
      </c>
      <c r="F68" s="197">
        <f t="shared" si="34"/>
        <v>437.5</v>
      </c>
      <c r="G68" s="918">
        <f>'Energy Inputs'!$D$10</f>
        <v>330</v>
      </c>
      <c r="H68" s="197">
        <f t="shared" si="35"/>
        <v>767.5</v>
      </c>
      <c r="I68" s="197"/>
      <c r="J68" s="947">
        <f>IF(ISERROR(IF(MOD(IF(AND(B68&gt;='Energy margins'!$T$44,B68&lt;='Energy margins'!$U$44),B68-'Energy margins'!$T$44,""),'Energy margins'!$V$44)=0,'Energy margins'!$S$44,0)),0,IF(MOD(IF(AND(B68&gt;='Energy margins'!$T$44,B68&lt;='Energy margins'!$U$44),B68-'Energy margins'!$T$44,""),'Energy margins'!$V$44)=0,'Energy margins'!$S$44,0))</f>
        <v>0</v>
      </c>
      <c r="K68" s="918">
        <f>IF(ISERROR(IF(MOD(IF(AND(B68&gt;='Energy margins'!$T$45,B68&lt;='Energy margins'!$U$45),B68-'Energy margins'!$T$45,""),'Energy margins'!$V$45)=0,'Energy margins'!$S$45,0)),0,IF(MOD(IF(AND(B68&gt;='Energy margins'!$T$45,B68&lt;='Energy margins'!$U$45),B68-'Energy margins'!$T$45,""),'Energy margins'!$V$45)=0,'Energy margins'!$S$45,0))</f>
        <v>0</v>
      </c>
      <c r="L68" s="918">
        <f>IF(ISERROR(IF(MOD(IF(AND(B68&gt;='Energy margins'!$T$46,B68&lt;='Energy margins'!$U$46),B68-'Energy margins'!$T$46,""),'Energy margins'!$V$46)=0,'Energy margins'!$S$46,0)),0,IF(MOD(IF(AND(B68&gt;='Energy margins'!$T$46,B68&lt;='Energy margins'!$U$46),B68-'Energy margins'!$T$46,""),'Energy margins'!$V$46)=0,'Energy margins'!$S$46,0))</f>
        <v>0</v>
      </c>
      <c r="M68" s="918">
        <f>IF(ISERROR(IF(MOD(IF(AND(B68&gt;='Energy margins'!$T$47,B68&lt;='Energy margins'!$U$47),B68-'Energy margins'!$T$47,""),'Energy margins'!$V$47)=0,'Energy margins'!$S$47,0)),0,IF(MOD(IF(AND(B68&gt;='Energy margins'!$T$47,B68&lt;='Energy margins'!$U$47),B68-'Energy margins'!$T$47,""),'Energy margins'!$V$47)=0,'Energy margins'!$S$47,0))</f>
        <v>19.974783999999993</v>
      </c>
      <c r="N68" s="918">
        <f>IF(ISERROR(IF(MOD(IF(AND(B68&gt;='Energy margins'!$T$50,B68&lt;='Energy margins'!$U$50),B68-'Energy margins'!$T$50,""),'Energy margins'!$V$50)=0,'Energy margins'!$S$50,0)),0,IF(MOD(IF(AND(B68&gt;='Energy margins'!$T$50,B68&lt;='Energy margins'!$U$50),B68-'Energy margins'!$T$50,""),'Energy margins'!$V$50)=0,'Energy margins'!$S$50,0))</f>
        <v>73.676000000000002</v>
      </c>
      <c r="O68" s="918">
        <f>IF(ISERROR(IF(MOD(IF(AND(B68&gt;='Energy margins'!$T$53,B68&lt;='Energy margins'!$U$53),B68-'Energy margins'!$T$53,""),'Energy margins'!$V$53)=0,'Energy margins'!$S$53,0)),0,IF(MOD(IF(AND(B68&gt;='Energy margins'!$T$53,B68&lt;='Energy margins'!$U$53),B68-'Energy margins'!$T$53,""),'Energy margins'!$V$53)=0,'Energy margins'!$S$53,0))</f>
        <v>66.638359999999992</v>
      </c>
      <c r="P68" s="918">
        <f>IF(ISERROR(IF(MOD(IF(AND(B68&gt;='Energy margins'!$T$56,B68&lt;='Energy margins'!$U$56),B68-'Energy margins'!$T$56,""),'Energy margins'!$V$56)=0,'Energy margins'!$S$56,0)),0,IF(MOD(IF(AND(B68&gt;='Energy margins'!$T$56,B68&lt;='Energy margins'!$U$56),B68-'Energy margins'!$T$56,""),'Energy margins'!$V$56)=0,'Energy margins'!$S$56,0))</f>
        <v>42.713999999999999</v>
      </c>
      <c r="Q68" s="918">
        <f>IF(ISERROR(IF(MOD(IF(AND(B68&gt;='Energy margins'!$T$59,B68&lt;='Energy margins'!$U$59),B68-'Energy margins'!$T$59,""),'Energy margins'!$V$59)=0,'Energy margins'!$S$59,0)),0,IF(MOD(IF(AND(B68&gt;='Energy margins'!$T$59,B68&lt;='Energy margins'!$U$59),B68-'Energy margins'!$T$59,""),'Energy margins'!$V$59)=0,'Energy margins'!$S$59,0))</f>
        <v>112.99999999999999</v>
      </c>
      <c r="R68" s="918">
        <f>IF(ISERROR(IF(MOD(IF(AND(B68&gt;='Energy margins'!$T$60,B68&lt;='Energy margins'!$U$60),B68-'Energy margins'!$T$60,""),'Energy margins'!$V$60)=0,'Energy margins'!$S$60,0)),0,IF(MOD(IF(AND(B68&gt;='Energy margins'!$T$60,B68&lt;='Energy margins'!$U$60),B68-'Energy margins'!$T$60,""),'Energy margins'!$V$60)=0,'Energy margins'!$S$60,0))</f>
        <v>0</v>
      </c>
      <c r="S68" s="918">
        <f>IF(ISERROR(IF(MOD(IF(AND(B68&gt;='Energy margins'!$T$61,B68&lt;='Energy margins'!$U$61),B68-'Energy margins'!$T$61,""),'Energy margins'!$V$61)=0,'Energy margins'!$S$61,0)),0,IF(MOD(IF(AND(B68&gt;='Energy margins'!$T$61,B68&lt;='Energy margins'!$U$61),B68-'Energy margins'!$T$61,""),'Energy margins'!$V$61)=0,'Energy margins'!$S$61,0))</f>
        <v>0</v>
      </c>
      <c r="T68" s="918">
        <f>IF(ISERROR(IF(MOD(IF(AND(B68&gt;='Energy margins'!$T$62,B68&lt;='Energy margins'!$U$62),B68-'Energy margins'!$T$62,""),'Energy margins'!$V$62)=0,'Energy margins'!$S$62,0)),0,IF(MOD(IF(AND(B68&gt;='Energy margins'!$T$62,B68&lt;='Energy margins'!$U$62),B68-'Energy margins'!$T$62,""),'Energy margins'!$V$62)=0,'Energy margins'!$S$62,0))</f>
        <v>0</v>
      </c>
      <c r="U68" s="944">
        <f t="shared" si="36"/>
        <v>316.00314399999996</v>
      </c>
      <c r="V68" s="197"/>
      <c r="W68" s="197">
        <f t="shared" si="37"/>
        <v>316.00314399999996</v>
      </c>
      <c r="X68" s="197">
        <f t="shared" si="31"/>
        <v>121.49685600000004</v>
      </c>
      <c r="Y68" s="197">
        <f t="shared" si="32"/>
        <v>451.49685600000004</v>
      </c>
      <c r="Z68" s="973">
        <f t="shared" si="38"/>
        <v>400.3744759670073</v>
      </c>
      <c r="AA68" s="974">
        <f t="shared" si="39"/>
        <v>301.99674758654265</v>
      </c>
      <c r="AB68" s="974">
        <f t="shared" si="40"/>
        <v>289.18764156097541</v>
      </c>
      <c r="AC68" s="974">
        <f t="shared" si="41"/>
        <v>111.18683440603192</v>
      </c>
      <c r="AD68" s="974">
        <f t="shared" si="42"/>
        <v>413.18358199257455</v>
      </c>
      <c r="AE68" s="973">
        <f t="shared" si="47"/>
        <v>1167.7120484098141</v>
      </c>
      <c r="AF68" s="974">
        <f t="shared" si="43"/>
        <v>1263.4417471152447</v>
      </c>
      <c r="AG68" s="974">
        <f t="shared" si="44"/>
        <v>7098.7259670106887</v>
      </c>
      <c r="AH68" s="974">
        <f t="shared" si="45"/>
        <v>-5931.0139186008737</v>
      </c>
      <c r="AI68" s="975">
        <f t="shared" si="46"/>
        <v>-4667.5721714856281</v>
      </c>
    </row>
    <row r="69" spans="2:35" x14ac:dyDescent="0.3">
      <c r="B69" s="900">
        <v>5</v>
      </c>
      <c r="C69" s="922">
        <f>'Energy Inputs'!F34</f>
        <v>1</v>
      </c>
      <c r="D69" s="918">
        <f>C69*'Energy Inputs'!$F$24</f>
        <v>10</v>
      </c>
      <c r="E69" s="197">
        <f>'Energy margins'!$S$12</f>
        <v>43.75</v>
      </c>
      <c r="F69" s="197">
        <f t="shared" si="34"/>
        <v>437.5</v>
      </c>
      <c r="G69" s="918">
        <f>'Energy Inputs'!$D$10</f>
        <v>330</v>
      </c>
      <c r="H69" s="197">
        <f t="shared" si="35"/>
        <v>767.5</v>
      </c>
      <c r="I69" s="197"/>
      <c r="J69" s="947">
        <f>IF(ISERROR(IF(MOD(IF(AND(B69&gt;='Energy margins'!$T$44,B69&lt;='Energy margins'!$U$44),B69-'Energy margins'!$T$44,""),'Energy margins'!$V$44)=0,'Energy margins'!$S$44,0)),0,IF(MOD(IF(AND(B69&gt;='Energy margins'!$T$44,B69&lt;='Energy margins'!$U$44),B69-'Energy margins'!$T$44,""),'Energy margins'!$V$44)=0,'Energy margins'!$S$44,0))</f>
        <v>0</v>
      </c>
      <c r="K69" s="918">
        <f>IF(ISERROR(IF(MOD(IF(AND(B69&gt;='Energy margins'!$T$45,B69&lt;='Energy margins'!$U$45),B69-'Energy margins'!$T$45,""),'Energy margins'!$V$45)=0,'Energy margins'!$S$45,0)),0,IF(MOD(IF(AND(B69&gt;='Energy margins'!$T$45,B69&lt;='Energy margins'!$U$45),B69-'Energy margins'!$T$45,""),'Energy margins'!$V$45)=0,'Energy margins'!$S$45,0))</f>
        <v>0</v>
      </c>
      <c r="L69" s="918">
        <f>IF(ISERROR(IF(MOD(IF(AND(B69&gt;='Energy margins'!$T$46,B69&lt;='Energy margins'!$U$46),B69-'Energy margins'!$T$46,""),'Energy margins'!$V$46)=0,'Energy margins'!$S$46,0)),0,IF(MOD(IF(AND(B69&gt;='Energy margins'!$T$46,B69&lt;='Energy margins'!$U$46),B69-'Energy margins'!$T$46,""),'Energy margins'!$V$46)=0,'Energy margins'!$S$46,0))</f>
        <v>0</v>
      </c>
      <c r="M69" s="918">
        <f>IF(ISERROR(IF(MOD(IF(AND(B69&gt;='Energy margins'!$T$47,B69&lt;='Energy margins'!$U$47),B69-'Energy margins'!$T$47,""),'Energy margins'!$V$47)=0,'Energy margins'!$S$47,0)),0,IF(MOD(IF(AND(B69&gt;='Energy margins'!$T$47,B69&lt;='Energy margins'!$U$47),B69-'Energy margins'!$T$47,""),'Energy margins'!$V$47)=0,'Energy margins'!$S$47,0))</f>
        <v>19.974783999999993</v>
      </c>
      <c r="N69" s="918">
        <f>IF(ISERROR(IF(MOD(IF(AND(B69&gt;='Energy margins'!$T$50,B69&lt;='Energy margins'!$U$50),B69-'Energy margins'!$T$50,""),'Energy margins'!$V$50)=0,'Energy margins'!$S$50,0)),0,IF(MOD(IF(AND(B69&gt;='Energy margins'!$T$50,B69&lt;='Energy margins'!$U$50),B69-'Energy margins'!$T$50,""),'Energy margins'!$V$50)=0,'Energy margins'!$S$50,0))</f>
        <v>73.676000000000002</v>
      </c>
      <c r="O69" s="918">
        <f>IF(ISERROR(IF(MOD(IF(AND(B69&gt;='Energy margins'!$T$53,B69&lt;='Energy margins'!$U$53),B69-'Energy margins'!$T$53,""),'Energy margins'!$V$53)=0,'Energy margins'!$S$53,0)),0,IF(MOD(IF(AND(B69&gt;='Energy margins'!$T$53,B69&lt;='Energy margins'!$U$53),B69-'Energy margins'!$T$53,""),'Energy margins'!$V$53)=0,'Energy margins'!$S$53,0))</f>
        <v>66.638359999999992</v>
      </c>
      <c r="P69" s="918">
        <f>IF(ISERROR(IF(MOD(IF(AND(B69&gt;='Energy margins'!$T$56,B69&lt;='Energy margins'!$U$56),B69-'Energy margins'!$T$56,""),'Energy margins'!$V$56)=0,'Energy margins'!$S$56,0)),0,IF(MOD(IF(AND(B69&gt;='Energy margins'!$T$56,B69&lt;='Energy margins'!$U$56),B69-'Energy margins'!$T$56,""),'Energy margins'!$V$56)=0,'Energy margins'!$S$56,0))</f>
        <v>42.713999999999999</v>
      </c>
      <c r="Q69" s="918">
        <f>IF(ISERROR(IF(MOD(IF(AND(B69&gt;='Energy margins'!$T$59,B69&lt;='Energy margins'!$U$59),B69-'Energy margins'!$T$59,""),'Energy margins'!$V$59)=0,'Energy margins'!$S$59,0)),0,IF(MOD(IF(AND(B69&gt;='Energy margins'!$T$59,B69&lt;='Energy margins'!$U$59),B69-'Energy margins'!$T$59,""),'Energy margins'!$V$59)=0,'Energy margins'!$S$59,0))</f>
        <v>112.99999999999999</v>
      </c>
      <c r="R69" s="918">
        <f>IF(ISERROR(IF(MOD(IF(AND(B69&gt;='Energy margins'!$T$60,B69&lt;='Energy margins'!$U$60),B69-'Energy margins'!$T$60,""),'Energy margins'!$V$60)=0,'Energy margins'!$S$60,0)),0,IF(MOD(IF(AND(B69&gt;='Energy margins'!$T$60,B69&lt;='Energy margins'!$U$60),B69-'Energy margins'!$T$60,""),'Energy margins'!$V$60)=0,'Energy margins'!$S$60,0))</f>
        <v>0</v>
      </c>
      <c r="S69" s="918">
        <f>IF(ISERROR(IF(MOD(IF(AND(B69&gt;='Energy margins'!$T$61,B69&lt;='Energy margins'!$U$61),B69-'Energy margins'!$T$61,""),'Energy margins'!$V$61)=0,'Energy margins'!$S$61,0)),0,IF(MOD(IF(AND(B69&gt;='Energy margins'!$T$61,B69&lt;='Energy margins'!$U$61),B69-'Energy margins'!$T$61,""),'Energy margins'!$V$61)=0,'Energy margins'!$S$61,0))</f>
        <v>0</v>
      </c>
      <c r="T69" s="918">
        <f>IF(ISERROR(IF(MOD(IF(AND(B69&gt;='Energy margins'!$T$62,B69&lt;='Energy margins'!$U$62),B69-'Energy margins'!$T$62,""),'Energy margins'!$V$62)=0,'Energy margins'!$S$62,0)),0,IF(MOD(IF(AND(B69&gt;='Energy margins'!$T$62,B69&lt;='Energy margins'!$U$62),B69-'Energy margins'!$T$62,""),'Energy margins'!$V$62)=0,'Energy margins'!$S$62,0))</f>
        <v>0</v>
      </c>
      <c r="U69" s="944">
        <f t="shared" si="36"/>
        <v>316.00314399999996</v>
      </c>
      <c r="V69" s="197"/>
      <c r="W69" s="197">
        <f t="shared" si="37"/>
        <v>316.00314399999996</v>
      </c>
      <c r="X69" s="197">
        <f t="shared" si="31"/>
        <v>121.49685600000004</v>
      </c>
      <c r="Y69" s="197">
        <f t="shared" si="32"/>
        <v>451.49685600000004</v>
      </c>
      <c r="Z69" s="973">
        <f t="shared" si="38"/>
        <v>388.71308346311395</v>
      </c>
      <c r="AA69" s="974">
        <f t="shared" si="39"/>
        <v>293.20072581217738</v>
      </c>
      <c r="AB69" s="974">
        <f t="shared" si="40"/>
        <v>280.76470054463636</v>
      </c>
      <c r="AC69" s="974">
        <f t="shared" si="41"/>
        <v>107.94838291847759</v>
      </c>
      <c r="AD69" s="974">
        <f t="shared" si="42"/>
        <v>401.14910873065497</v>
      </c>
      <c r="AE69" s="973">
        <f t="shared" si="47"/>
        <v>1556.425131872928</v>
      </c>
      <c r="AF69" s="974">
        <f t="shared" si="43"/>
        <v>1556.642472927422</v>
      </c>
      <c r="AG69" s="974">
        <f t="shared" si="44"/>
        <v>7379.4906675553248</v>
      </c>
      <c r="AH69" s="974">
        <f t="shared" si="45"/>
        <v>-5823.0655356823963</v>
      </c>
      <c r="AI69" s="975">
        <f t="shared" si="46"/>
        <v>-4266.4230627549732</v>
      </c>
    </row>
    <row r="70" spans="2:35" x14ac:dyDescent="0.3">
      <c r="B70" s="900">
        <v>6</v>
      </c>
      <c r="C70" s="922">
        <f>'Energy Inputs'!F35</f>
        <v>1</v>
      </c>
      <c r="D70" s="918">
        <f>C70*'Energy Inputs'!$F$24</f>
        <v>10</v>
      </c>
      <c r="E70" s="197">
        <f>'Energy margins'!$S$12</f>
        <v>43.75</v>
      </c>
      <c r="F70" s="197">
        <f t="shared" si="34"/>
        <v>437.5</v>
      </c>
      <c r="G70" s="918">
        <f>'Energy Inputs'!$D$10</f>
        <v>330</v>
      </c>
      <c r="H70" s="197">
        <f t="shared" si="35"/>
        <v>767.5</v>
      </c>
      <c r="I70" s="197"/>
      <c r="J70" s="947">
        <f>IF(ISERROR(IF(MOD(IF(AND(B70&gt;='Energy margins'!$T$44,B70&lt;='Energy margins'!$U$44),B70-'Energy margins'!$T$44,""),'Energy margins'!$V$44)=0,'Energy margins'!$S$44,0)),0,IF(MOD(IF(AND(B70&gt;='Energy margins'!$T$44,B70&lt;='Energy margins'!$U$44),B70-'Energy margins'!$T$44,""),'Energy margins'!$V$44)=0,'Energy margins'!$S$44,0))</f>
        <v>0</v>
      </c>
      <c r="K70" s="918">
        <f>IF(ISERROR(IF(MOD(IF(AND(B70&gt;='Energy margins'!$T$45,B70&lt;='Energy margins'!$U$45),B70-'Energy margins'!$T$45,""),'Energy margins'!$V$45)=0,'Energy margins'!$S$45,0)),0,IF(MOD(IF(AND(B70&gt;='Energy margins'!$T$45,B70&lt;='Energy margins'!$U$45),B70-'Energy margins'!$T$45,""),'Energy margins'!$V$45)=0,'Energy margins'!$S$45,0))</f>
        <v>0</v>
      </c>
      <c r="L70" s="918">
        <f>IF(ISERROR(IF(MOD(IF(AND(B70&gt;='Energy margins'!$T$46,B70&lt;='Energy margins'!$U$46),B70-'Energy margins'!$T$46,""),'Energy margins'!$V$46)=0,'Energy margins'!$S$46,0)),0,IF(MOD(IF(AND(B70&gt;='Energy margins'!$T$46,B70&lt;='Energy margins'!$U$46),B70-'Energy margins'!$T$46,""),'Energy margins'!$V$46)=0,'Energy margins'!$S$46,0))</f>
        <v>0</v>
      </c>
      <c r="M70" s="918">
        <f>IF(ISERROR(IF(MOD(IF(AND(B70&gt;='Energy margins'!$T$47,B70&lt;='Energy margins'!$U$47),B70-'Energy margins'!$T$47,""),'Energy margins'!$V$47)=0,'Energy margins'!$S$47,0)),0,IF(MOD(IF(AND(B70&gt;='Energy margins'!$T$47,B70&lt;='Energy margins'!$U$47),B70-'Energy margins'!$T$47,""),'Energy margins'!$V$47)=0,'Energy margins'!$S$47,0))</f>
        <v>19.974783999999993</v>
      </c>
      <c r="N70" s="918">
        <f>IF(ISERROR(IF(MOD(IF(AND(B70&gt;='Energy margins'!$T$50,B70&lt;='Energy margins'!$U$50),B70-'Energy margins'!$T$50,""),'Energy margins'!$V$50)=0,'Energy margins'!$S$50,0)),0,IF(MOD(IF(AND(B70&gt;='Energy margins'!$T$50,B70&lt;='Energy margins'!$U$50),B70-'Energy margins'!$T$50,""),'Energy margins'!$V$50)=0,'Energy margins'!$S$50,0))</f>
        <v>73.676000000000002</v>
      </c>
      <c r="O70" s="918">
        <f>IF(ISERROR(IF(MOD(IF(AND(B70&gt;='Energy margins'!$T$53,B70&lt;='Energy margins'!$U$53),B70-'Energy margins'!$T$53,""),'Energy margins'!$V$53)=0,'Energy margins'!$S$53,0)),0,IF(MOD(IF(AND(B70&gt;='Energy margins'!$T$53,B70&lt;='Energy margins'!$U$53),B70-'Energy margins'!$T$53,""),'Energy margins'!$V$53)=0,'Energy margins'!$S$53,0))</f>
        <v>66.638359999999992</v>
      </c>
      <c r="P70" s="918">
        <f>IF(ISERROR(IF(MOD(IF(AND(B70&gt;='Energy margins'!$T$56,B70&lt;='Energy margins'!$U$56),B70-'Energy margins'!$T$56,""),'Energy margins'!$V$56)=0,'Energy margins'!$S$56,0)),0,IF(MOD(IF(AND(B70&gt;='Energy margins'!$T$56,B70&lt;='Energy margins'!$U$56),B70-'Energy margins'!$T$56,""),'Energy margins'!$V$56)=0,'Energy margins'!$S$56,0))</f>
        <v>42.713999999999999</v>
      </c>
      <c r="Q70" s="918">
        <f>IF(ISERROR(IF(MOD(IF(AND(B70&gt;='Energy margins'!$T$59,B70&lt;='Energy margins'!$U$59),B70-'Energy margins'!$T$59,""),'Energy margins'!$V$59)=0,'Energy margins'!$S$59,0)),0,IF(MOD(IF(AND(B70&gt;='Energy margins'!$T$59,B70&lt;='Energy margins'!$U$59),B70-'Energy margins'!$T$59,""),'Energy margins'!$V$59)=0,'Energy margins'!$S$59,0))</f>
        <v>112.99999999999999</v>
      </c>
      <c r="R70" s="918">
        <f>IF(ISERROR(IF(MOD(IF(AND(B70&gt;='Energy margins'!$T$60,B70&lt;='Energy margins'!$U$60),B70-'Energy margins'!$T$60,""),'Energy margins'!$V$60)=0,'Energy margins'!$S$60,0)),0,IF(MOD(IF(AND(B70&gt;='Energy margins'!$T$60,B70&lt;='Energy margins'!$U$60),B70-'Energy margins'!$T$60,""),'Energy margins'!$V$60)=0,'Energy margins'!$S$60,0))</f>
        <v>0</v>
      </c>
      <c r="S70" s="918">
        <f>IF(ISERROR(IF(MOD(IF(AND(B70&gt;='Energy margins'!$T$61,B70&lt;='Energy margins'!$U$61),B70-'Energy margins'!$T$61,""),'Energy margins'!$V$61)=0,'Energy margins'!$S$61,0)),0,IF(MOD(IF(AND(B70&gt;='Energy margins'!$T$61,B70&lt;='Energy margins'!$U$61),B70-'Energy margins'!$T$61,""),'Energy margins'!$V$61)=0,'Energy margins'!$S$61,0))</f>
        <v>0</v>
      </c>
      <c r="T70" s="918">
        <f>IF(ISERROR(IF(MOD(IF(AND(B70&gt;='Energy margins'!$T$62,B70&lt;='Energy margins'!$U$62),B70-'Energy margins'!$T$62,""),'Energy margins'!$V$62)=0,'Energy margins'!$S$62,0)),0,IF(MOD(IF(AND(B70&gt;='Energy margins'!$T$62,B70&lt;='Energy margins'!$U$62),B70-'Energy margins'!$T$62,""),'Energy margins'!$V$62)=0,'Energy margins'!$S$62,0))</f>
        <v>0</v>
      </c>
      <c r="U70" s="944">
        <f t="shared" si="36"/>
        <v>316.00314399999996</v>
      </c>
      <c r="V70" s="197"/>
      <c r="W70" s="197">
        <f t="shared" si="37"/>
        <v>316.00314399999996</v>
      </c>
      <c r="X70" s="197">
        <f t="shared" si="31"/>
        <v>121.49685600000004</v>
      </c>
      <c r="Y70" s="197">
        <f t="shared" si="32"/>
        <v>451.49685600000004</v>
      </c>
      <c r="Z70" s="973">
        <f t="shared" si="38"/>
        <v>377.39134316807178</v>
      </c>
      <c r="AA70" s="974">
        <f t="shared" si="39"/>
        <v>284.66089884677416</v>
      </c>
      <c r="AB70" s="974">
        <f t="shared" si="40"/>
        <v>272.58708790741395</v>
      </c>
      <c r="AC70" s="974">
        <f t="shared" si="41"/>
        <v>104.80425526065787</v>
      </c>
      <c r="AD70" s="974">
        <f t="shared" si="42"/>
        <v>389.465154107432</v>
      </c>
      <c r="AE70" s="973">
        <f t="shared" si="47"/>
        <v>1933.8164750409996</v>
      </c>
      <c r="AF70" s="974">
        <f t="shared" si="43"/>
        <v>1841.3033717741962</v>
      </c>
      <c r="AG70" s="974">
        <f t="shared" si="44"/>
        <v>7652.0777554627384</v>
      </c>
      <c r="AH70" s="974">
        <f t="shared" si="45"/>
        <v>-5718.2612804217388</v>
      </c>
      <c r="AI70" s="975">
        <f t="shared" si="46"/>
        <v>-3876.9579086475414</v>
      </c>
    </row>
    <row r="71" spans="2:35" x14ac:dyDescent="0.3">
      <c r="B71" s="900">
        <v>7</v>
      </c>
      <c r="C71" s="922">
        <f>'Energy Inputs'!F36</f>
        <v>1</v>
      </c>
      <c r="D71" s="918">
        <f>C71*'Energy Inputs'!$F$24</f>
        <v>10</v>
      </c>
      <c r="E71" s="197">
        <f>'Energy margins'!$S$12</f>
        <v>43.75</v>
      </c>
      <c r="F71" s="197">
        <f t="shared" si="34"/>
        <v>437.5</v>
      </c>
      <c r="G71" s="918">
        <f>'Energy Inputs'!$D$10</f>
        <v>330</v>
      </c>
      <c r="H71" s="197">
        <f t="shared" si="35"/>
        <v>767.5</v>
      </c>
      <c r="I71" s="197"/>
      <c r="J71" s="947">
        <f>IF(ISERROR(IF(MOD(IF(AND(B71&gt;='Energy margins'!$T$44,B71&lt;='Energy margins'!$U$44),B71-'Energy margins'!$T$44,""),'Energy margins'!$V$44)=0,'Energy margins'!$S$44,0)),0,IF(MOD(IF(AND(B71&gt;='Energy margins'!$T$44,B71&lt;='Energy margins'!$U$44),B71-'Energy margins'!$T$44,""),'Energy margins'!$V$44)=0,'Energy margins'!$S$44,0))</f>
        <v>0</v>
      </c>
      <c r="K71" s="918">
        <f>IF(ISERROR(IF(MOD(IF(AND(B71&gt;='Energy margins'!$T$45,B71&lt;='Energy margins'!$U$45),B71-'Energy margins'!$T$45,""),'Energy margins'!$V$45)=0,'Energy margins'!$S$45,0)),0,IF(MOD(IF(AND(B71&gt;='Energy margins'!$T$45,B71&lt;='Energy margins'!$U$45),B71-'Energy margins'!$T$45,""),'Energy margins'!$V$45)=0,'Energy margins'!$S$45,0))</f>
        <v>0</v>
      </c>
      <c r="L71" s="918">
        <f>IF(ISERROR(IF(MOD(IF(AND(B71&gt;='Energy margins'!$T$46,B71&lt;='Energy margins'!$U$46),B71-'Energy margins'!$T$46,""),'Energy margins'!$V$46)=0,'Energy margins'!$S$46,0)),0,IF(MOD(IF(AND(B71&gt;='Energy margins'!$T$46,B71&lt;='Energy margins'!$U$46),B71-'Energy margins'!$T$46,""),'Energy margins'!$V$46)=0,'Energy margins'!$S$46,0))</f>
        <v>0</v>
      </c>
      <c r="M71" s="918">
        <f>IF(ISERROR(IF(MOD(IF(AND(B71&gt;='Energy margins'!$T$47,B71&lt;='Energy margins'!$U$47),B71-'Energy margins'!$T$47,""),'Energy margins'!$V$47)=0,'Energy margins'!$S$47,0)),0,IF(MOD(IF(AND(B71&gt;='Energy margins'!$T$47,B71&lt;='Energy margins'!$U$47),B71-'Energy margins'!$T$47,""),'Energy margins'!$V$47)=0,'Energy margins'!$S$47,0))</f>
        <v>19.974783999999993</v>
      </c>
      <c r="N71" s="918">
        <f>IF(ISERROR(IF(MOD(IF(AND(B71&gt;='Energy margins'!$T$50,B71&lt;='Energy margins'!$U$50),B71-'Energy margins'!$T$50,""),'Energy margins'!$V$50)=0,'Energy margins'!$S$50,0)),0,IF(MOD(IF(AND(B71&gt;='Energy margins'!$T$50,B71&lt;='Energy margins'!$U$50),B71-'Energy margins'!$T$50,""),'Energy margins'!$V$50)=0,'Energy margins'!$S$50,0))</f>
        <v>73.676000000000002</v>
      </c>
      <c r="O71" s="918">
        <f>IF(ISERROR(IF(MOD(IF(AND(B71&gt;='Energy margins'!$T$53,B71&lt;='Energy margins'!$U$53),B71-'Energy margins'!$T$53,""),'Energy margins'!$V$53)=0,'Energy margins'!$S$53,0)),0,IF(MOD(IF(AND(B71&gt;='Energy margins'!$T$53,B71&lt;='Energy margins'!$U$53),B71-'Energy margins'!$T$53,""),'Energy margins'!$V$53)=0,'Energy margins'!$S$53,0))</f>
        <v>66.638359999999992</v>
      </c>
      <c r="P71" s="918">
        <f>IF(ISERROR(IF(MOD(IF(AND(B71&gt;='Energy margins'!$T$56,B71&lt;='Energy margins'!$U$56),B71-'Energy margins'!$T$56,""),'Energy margins'!$V$56)=0,'Energy margins'!$S$56,0)),0,IF(MOD(IF(AND(B71&gt;='Energy margins'!$T$56,B71&lt;='Energy margins'!$U$56),B71-'Energy margins'!$T$56,""),'Energy margins'!$V$56)=0,'Energy margins'!$S$56,0))</f>
        <v>42.713999999999999</v>
      </c>
      <c r="Q71" s="918">
        <f>IF(ISERROR(IF(MOD(IF(AND(B71&gt;='Energy margins'!$T$59,B71&lt;='Energy margins'!$U$59),B71-'Energy margins'!$T$59,""),'Energy margins'!$V$59)=0,'Energy margins'!$S$59,0)),0,IF(MOD(IF(AND(B71&gt;='Energy margins'!$T$59,B71&lt;='Energy margins'!$U$59),B71-'Energy margins'!$T$59,""),'Energy margins'!$V$59)=0,'Energy margins'!$S$59,0))</f>
        <v>112.99999999999999</v>
      </c>
      <c r="R71" s="918">
        <f>IF(ISERROR(IF(MOD(IF(AND(B71&gt;='Energy margins'!$T$60,B71&lt;='Energy margins'!$U$60),B71-'Energy margins'!$T$60,""),'Energy margins'!$V$60)=0,'Energy margins'!$S$60,0)),0,IF(MOD(IF(AND(B71&gt;='Energy margins'!$T$60,B71&lt;='Energy margins'!$U$60),B71-'Energy margins'!$T$60,""),'Energy margins'!$V$60)=0,'Energy margins'!$S$60,0))</f>
        <v>0</v>
      </c>
      <c r="S71" s="918">
        <f>IF(ISERROR(IF(MOD(IF(AND(B71&gt;='Energy margins'!$T$61,B71&lt;='Energy margins'!$U$61),B71-'Energy margins'!$T$61,""),'Energy margins'!$V$61)=0,'Energy margins'!$S$61,0)),0,IF(MOD(IF(AND(B71&gt;='Energy margins'!$T$61,B71&lt;='Energy margins'!$U$61),B71-'Energy margins'!$T$61,""),'Energy margins'!$V$61)=0,'Energy margins'!$S$61,0))</f>
        <v>0</v>
      </c>
      <c r="T71" s="918">
        <f>IF(ISERROR(IF(MOD(IF(AND(B71&gt;='Energy margins'!$T$62,B71&lt;='Energy margins'!$U$62),B71-'Energy margins'!$T$62,""),'Energy margins'!$V$62)=0,'Energy margins'!$S$62,0)),0,IF(MOD(IF(AND(B71&gt;='Energy margins'!$T$62,B71&lt;='Energy margins'!$U$62),B71-'Energy margins'!$T$62,""),'Energy margins'!$V$62)=0,'Energy margins'!$S$62,0))</f>
        <v>0</v>
      </c>
      <c r="U71" s="944">
        <f t="shared" si="36"/>
        <v>316.00314399999996</v>
      </c>
      <c r="V71" s="197"/>
      <c r="W71" s="197">
        <f t="shared" si="37"/>
        <v>316.00314399999996</v>
      </c>
      <c r="X71" s="197">
        <f t="shared" si="31"/>
        <v>121.49685600000004</v>
      </c>
      <c r="Y71" s="197">
        <f t="shared" si="32"/>
        <v>451.49685600000004</v>
      </c>
      <c r="Z71" s="973">
        <f t="shared" si="38"/>
        <v>366.39936229909881</v>
      </c>
      <c r="AA71" s="974">
        <f t="shared" si="39"/>
        <v>276.36980470560593</v>
      </c>
      <c r="AB71" s="974">
        <f t="shared" si="40"/>
        <v>264.64765816253777</v>
      </c>
      <c r="AC71" s="974">
        <f t="shared" si="41"/>
        <v>101.75170413656103</v>
      </c>
      <c r="AD71" s="974">
        <f t="shared" si="42"/>
        <v>378.12150884216697</v>
      </c>
      <c r="AE71" s="973">
        <f t="shared" si="47"/>
        <v>2300.2158373400985</v>
      </c>
      <c r="AF71" s="974">
        <f t="shared" si="43"/>
        <v>2117.6731764798024</v>
      </c>
      <c r="AG71" s="974">
        <f t="shared" si="44"/>
        <v>7916.7254136252759</v>
      </c>
      <c r="AH71" s="974">
        <f t="shared" si="45"/>
        <v>-5616.5095762851779</v>
      </c>
      <c r="AI71" s="975">
        <f t="shared" si="46"/>
        <v>-3498.8363998053746</v>
      </c>
    </row>
    <row r="72" spans="2:35" x14ac:dyDescent="0.3">
      <c r="B72" s="900">
        <v>8</v>
      </c>
      <c r="C72" s="922">
        <f>'Energy Inputs'!F37</f>
        <v>1</v>
      </c>
      <c r="D72" s="918">
        <f>C72*'Energy Inputs'!$F$24</f>
        <v>10</v>
      </c>
      <c r="E72" s="197">
        <f>'Energy margins'!$S$12</f>
        <v>43.75</v>
      </c>
      <c r="F72" s="197">
        <f t="shared" si="34"/>
        <v>437.5</v>
      </c>
      <c r="G72" s="918">
        <f>'Energy Inputs'!$D$10</f>
        <v>330</v>
      </c>
      <c r="H72" s="197">
        <f t="shared" si="35"/>
        <v>767.5</v>
      </c>
      <c r="I72" s="197"/>
      <c r="J72" s="947">
        <f>IF(ISERROR(IF(MOD(IF(AND(B72&gt;='Energy margins'!$T$44,B72&lt;='Energy margins'!$U$44),B72-'Energy margins'!$T$44,""),'Energy margins'!$V$44)=0,'Energy margins'!$S$44,0)),0,IF(MOD(IF(AND(B72&gt;='Energy margins'!$T$44,B72&lt;='Energy margins'!$U$44),B72-'Energy margins'!$T$44,""),'Energy margins'!$V$44)=0,'Energy margins'!$S$44,0))</f>
        <v>0</v>
      </c>
      <c r="K72" s="918">
        <f>IF(ISERROR(IF(MOD(IF(AND(B72&gt;='Energy margins'!$T$45,B72&lt;='Energy margins'!$U$45),B72-'Energy margins'!$T$45,""),'Energy margins'!$V$45)=0,'Energy margins'!$S$45,0)),0,IF(MOD(IF(AND(B72&gt;='Energy margins'!$T$45,B72&lt;='Energy margins'!$U$45),B72-'Energy margins'!$T$45,""),'Energy margins'!$V$45)=0,'Energy margins'!$S$45,0))</f>
        <v>0</v>
      </c>
      <c r="L72" s="918">
        <f>IF(ISERROR(IF(MOD(IF(AND(B72&gt;='Energy margins'!$T$46,B72&lt;='Energy margins'!$U$46),B72-'Energy margins'!$T$46,""),'Energy margins'!$V$46)=0,'Energy margins'!$S$46,0)),0,IF(MOD(IF(AND(B72&gt;='Energy margins'!$T$46,B72&lt;='Energy margins'!$U$46),B72-'Energy margins'!$T$46,""),'Energy margins'!$V$46)=0,'Energy margins'!$S$46,0))</f>
        <v>0</v>
      </c>
      <c r="M72" s="918">
        <f>IF(ISERROR(IF(MOD(IF(AND(B72&gt;='Energy margins'!$T$47,B72&lt;='Energy margins'!$U$47),B72-'Energy margins'!$T$47,""),'Energy margins'!$V$47)=0,'Energy margins'!$S$47,0)),0,IF(MOD(IF(AND(B72&gt;='Energy margins'!$T$47,B72&lt;='Energy margins'!$U$47),B72-'Energy margins'!$T$47,""),'Energy margins'!$V$47)=0,'Energy margins'!$S$47,0))</f>
        <v>19.974783999999993</v>
      </c>
      <c r="N72" s="918">
        <f>IF(ISERROR(IF(MOD(IF(AND(B72&gt;='Energy margins'!$T$50,B72&lt;='Energy margins'!$U$50),B72-'Energy margins'!$T$50,""),'Energy margins'!$V$50)=0,'Energy margins'!$S$50,0)),0,IF(MOD(IF(AND(B72&gt;='Energy margins'!$T$50,B72&lt;='Energy margins'!$U$50),B72-'Energy margins'!$T$50,""),'Energy margins'!$V$50)=0,'Energy margins'!$S$50,0))</f>
        <v>73.676000000000002</v>
      </c>
      <c r="O72" s="918">
        <f>IF(ISERROR(IF(MOD(IF(AND(B72&gt;='Energy margins'!$T$53,B72&lt;='Energy margins'!$U$53),B72-'Energy margins'!$T$53,""),'Energy margins'!$V$53)=0,'Energy margins'!$S$53,0)),0,IF(MOD(IF(AND(B72&gt;='Energy margins'!$T$53,B72&lt;='Energy margins'!$U$53),B72-'Energy margins'!$T$53,""),'Energy margins'!$V$53)=0,'Energy margins'!$S$53,0))</f>
        <v>66.638359999999992</v>
      </c>
      <c r="P72" s="918">
        <f>IF(ISERROR(IF(MOD(IF(AND(B72&gt;='Energy margins'!$T$56,B72&lt;='Energy margins'!$U$56),B72-'Energy margins'!$T$56,""),'Energy margins'!$V$56)=0,'Energy margins'!$S$56,0)),0,IF(MOD(IF(AND(B72&gt;='Energy margins'!$T$56,B72&lt;='Energy margins'!$U$56),B72-'Energy margins'!$T$56,""),'Energy margins'!$V$56)=0,'Energy margins'!$S$56,0))</f>
        <v>42.713999999999999</v>
      </c>
      <c r="Q72" s="918">
        <f>IF(ISERROR(IF(MOD(IF(AND(B72&gt;='Energy margins'!$T$59,B72&lt;='Energy margins'!$U$59),B72-'Energy margins'!$T$59,""),'Energy margins'!$V$59)=0,'Energy margins'!$S$59,0)),0,IF(MOD(IF(AND(B72&gt;='Energy margins'!$T$59,B72&lt;='Energy margins'!$U$59),B72-'Energy margins'!$T$59,""),'Energy margins'!$V$59)=0,'Energy margins'!$S$59,0))</f>
        <v>112.99999999999999</v>
      </c>
      <c r="R72" s="918">
        <f>IF(ISERROR(IF(MOD(IF(AND(B72&gt;='Energy margins'!$T$60,B72&lt;='Energy margins'!$U$60),B72-'Energy margins'!$T$60,""),'Energy margins'!$V$60)=0,'Energy margins'!$S$60,0)),0,IF(MOD(IF(AND(B72&gt;='Energy margins'!$T$60,B72&lt;='Energy margins'!$U$60),B72-'Energy margins'!$T$60,""),'Energy margins'!$V$60)=0,'Energy margins'!$S$60,0))</f>
        <v>0</v>
      </c>
      <c r="S72" s="918">
        <f>IF(ISERROR(IF(MOD(IF(AND(B72&gt;='Energy margins'!$T$61,B72&lt;='Energy margins'!$U$61),B72-'Energy margins'!$T$61,""),'Energy margins'!$V$61)=0,'Energy margins'!$S$61,0)),0,IF(MOD(IF(AND(B72&gt;='Energy margins'!$T$61,B72&lt;='Energy margins'!$U$61),B72-'Energy margins'!$T$61,""),'Energy margins'!$V$61)=0,'Energy margins'!$S$61,0))</f>
        <v>0</v>
      </c>
      <c r="T72" s="918">
        <f>IF(ISERROR(IF(MOD(IF(AND(B72&gt;='Energy margins'!$T$62,B72&lt;='Energy margins'!$U$62),B72-'Energy margins'!$T$62,""),'Energy margins'!$V$62)=0,'Energy margins'!$S$62,0)),0,IF(MOD(IF(AND(B72&gt;='Energy margins'!$T$62,B72&lt;='Energy margins'!$U$62),B72-'Energy margins'!$T$62,""),'Energy margins'!$V$62)=0,'Energy margins'!$S$62,0))</f>
        <v>0</v>
      </c>
      <c r="U72" s="944">
        <f t="shared" si="36"/>
        <v>316.00314399999996</v>
      </c>
      <c r="V72" s="197"/>
      <c r="W72" s="197">
        <f t="shared" si="37"/>
        <v>316.00314399999996</v>
      </c>
      <c r="X72" s="197">
        <f t="shared" si="31"/>
        <v>121.49685600000004</v>
      </c>
      <c r="Y72" s="197">
        <f t="shared" si="32"/>
        <v>451.49685600000004</v>
      </c>
      <c r="Z72" s="973">
        <f t="shared" si="38"/>
        <v>355.72753621271727</v>
      </c>
      <c r="AA72" s="974">
        <f t="shared" si="39"/>
        <v>268.32019874330672</v>
      </c>
      <c r="AB72" s="974">
        <f t="shared" si="40"/>
        <v>256.93947394421144</v>
      </c>
      <c r="AC72" s="974">
        <f t="shared" si="41"/>
        <v>98.788062268505854</v>
      </c>
      <c r="AD72" s="974">
        <f t="shared" si="42"/>
        <v>367.1082610118126</v>
      </c>
      <c r="AE72" s="973">
        <f t="shared" si="47"/>
        <v>2655.9433735528155</v>
      </c>
      <c r="AF72" s="974">
        <f t="shared" si="43"/>
        <v>2385.9933752231091</v>
      </c>
      <c r="AG72" s="974">
        <f t="shared" si="44"/>
        <v>8173.6648875694873</v>
      </c>
      <c r="AH72" s="974">
        <f t="shared" si="45"/>
        <v>-5517.7215140166718</v>
      </c>
      <c r="AI72" s="975">
        <f t="shared" si="46"/>
        <v>-3131.7281387935618</v>
      </c>
    </row>
    <row r="73" spans="2:35" x14ac:dyDescent="0.3">
      <c r="B73" s="900">
        <v>9</v>
      </c>
      <c r="C73" s="922">
        <f>'Energy Inputs'!F38</f>
        <v>1</v>
      </c>
      <c r="D73" s="918">
        <f>C73*'Energy Inputs'!$F$24</f>
        <v>10</v>
      </c>
      <c r="E73" s="197">
        <f>'Energy margins'!$S$12</f>
        <v>43.75</v>
      </c>
      <c r="F73" s="197">
        <f t="shared" si="34"/>
        <v>437.5</v>
      </c>
      <c r="G73" s="918">
        <f>'Energy Inputs'!$D$10</f>
        <v>330</v>
      </c>
      <c r="H73" s="197">
        <f t="shared" si="35"/>
        <v>767.5</v>
      </c>
      <c r="I73" s="197"/>
      <c r="J73" s="947">
        <f>IF(ISERROR(IF(MOD(IF(AND(B73&gt;='Energy margins'!$T$44,B73&lt;='Energy margins'!$U$44),B73-'Energy margins'!$T$44,""),'Energy margins'!$V$44)=0,'Energy margins'!$S$44,0)),0,IF(MOD(IF(AND(B73&gt;='Energy margins'!$T$44,B73&lt;='Energy margins'!$U$44),B73-'Energy margins'!$T$44,""),'Energy margins'!$V$44)=0,'Energy margins'!$S$44,0))</f>
        <v>0</v>
      </c>
      <c r="K73" s="918">
        <f>IF(ISERROR(IF(MOD(IF(AND(B73&gt;='Energy margins'!$T$45,B73&lt;='Energy margins'!$U$45),B73-'Energy margins'!$T$45,""),'Energy margins'!$V$45)=0,'Energy margins'!$S$45,0)),0,IF(MOD(IF(AND(B73&gt;='Energy margins'!$T$45,B73&lt;='Energy margins'!$U$45),B73-'Energy margins'!$T$45,""),'Energy margins'!$V$45)=0,'Energy margins'!$S$45,0))</f>
        <v>0</v>
      </c>
      <c r="L73" s="918">
        <f>IF(ISERROR(IF(MOD(IF(AND(B73&gt;='Energy margins'!$T$46,B73&lt;='Energy margins'!$U$46),B73-'Energy margins'!$T$46,""),'Energy margins'!$V$46)=0,'Energy margins'!$S$46,0)),0,IF(MOD(IF(AND(B73&gt;='Energy margins'!$T$46,B73&lt;='Energy margins'!$U$46),B73-'Energy margins'!$T$46,""),'Energy margins'!$V$46)=0,'Energy margins'!$S$46,0))</f>
        <v>0</v>
      </c>
      <c r="M73" s="918">
        <f>IF(ISERROR(IF(MOD(IF(AND(B73&gt;='Energy margins'!$T$47,B73&lt;='Energy margins'!$U$47),B73-'Energy margins'!$T$47,""),'Energy margins'!$V$47)=0,'Energy margins'!$S$47,0)),0,IF(MOD(IF(AND(B73&gt;='Energy margins'!$T$47,B73&lt;='Energy margins'!$U$47),B73-'Energy margins'!$T$47,""),'Energy margins'!$V$47)=0,'Energy margins'!$S$47,0))</f>
        <v>19.974783999999993</v>
      </c>
      <c r="N73" s="918">
        <f>IF(ISERROR(IF(MOD(IF(AND(B73&gt;='Energy margins'!$T$50,B73&lt;='Energy margins'!$U$50),B73-'Energy margins'!$T$50,""),'Energy margins'!$V$50)=0,'Energy margins'!$S$50,0)),0,IF(MOD(IF(AND(B73&gt;='Energy margins'!$T$50,B73&lt;='Energy margins'!$U$50),B73-'Energy margins'!$T$50,""),'Energy margins'!$V$50)=0,'Energy margins'!$S$50,0))</f>
        <v>73.676000000000002</v>
      </c>
      <c r="O73" s="918">
        <f>IF(ISERROR(IF(MOD(IF(AND(B73&gt;='Energy margins'!$T$53,B73&lt;='Energy margins'!$U$53),B73-'Energy margins'!$T$53,""),'Energy margins'!$V$53)=0,'Energy margins'!$S$53,0)),0,IF(MOD(IF(AND(B73&gt;='Energy margins'!$T$53,B73&lt;='Energy margins'!$U$53),B73-'Energy margins'!$T$53,""),'Energy margins'!$V$53)=0,'Energy margins'!$S$53,0))</f>
        <v>66.638359999999992</v>
      </c>
      <c r="P73" s="918">
        <f>IF(ISERROR(IF(MOD(IF(AND(B73&gt;='Energy margins'!$T$56,B73&lt;='Energy margins'!$U$56),B73-'Energy margins'!$T$56,""),'Energy margins'!$V$56)=0,'Energy margins'!$S$56,0)),0,IF(MOD(IF(AND(B73&gt;='Energy margins'!$T$56,B73&lt;='Energy margins'!$U$56),B73-'Energy margins'!$T$56,""),'Energy margins'!$V$56)=0,'Energy margins'!$S$56,0))</f>
        <v>42.713999999999999</v>
      </c>
      <c r="Q73" s="918">
        <f>IF(ISERROR(IF(MOD(IF(AND(B73&gt;='Energy margins'!$T$59,B73&lt;='Energy margins'!$U$59),B73-'Energy margins'!$T$59,""),'Energy margins'!$V$59)=0,'Energy margins'!$S$59,0)),0,IF(MOD(IF(AND(B73&gt;='Energy margins'!$T$59,B73&lt;='Energy margins'!$U$59),B73-'Energy margins'!$T$59,""),'Energy margins'!$V$59)=0,'Energy margins'!$S$59,0))</f>
        <v>112.99999999999999</v>
      </c>
      <c r="R73" s="918">
        <f>IF(ISERROR(IF(MOD(IF(AND(B73&gt;='Energy margins'!$T$60,B73&lt;='Energy margins'!$U$60),B73-'Energy margins'!$T$60,""),'Energy margins'!$V$60)=0,'Energy margins'!$S$60,0)),0,IF(MOD(IF(AND(B73&gt;='Energy margins'!$T$60,B73&lt;='Energy margins'!$U$60),B73-'Energy margins'!$T$60,""),'Energy margins'!$V$60)=0,'Energy margins'!$S$60,0))</f>
        <v>0</v>
      </c>
      <c r="S73" s="918">
        <f>IF(ISERROR(IF(MOD(IF(AND(B73&gt;='Energy margins'!$T$61,B73&lt;='Energy margins'!$U$61),B73-'Energy margins'!$T$61,""),'Energy margins'!$V$61)=0,'Energy margins'!$S$61,0)),0,IF(MOD(IF(AND(B73&gt;='Energy margins'!$T$61,B73&lt;='Energy margins'!$U$61),B73-'Energy margins'!$T$61,""),'Energy margins'!$V$61)=0,'Energy margins'!$S$61,0))</f>
        <v>0</v>
      </c>
      <c r="T73" s="918">
        <f>IF(ISERROR(IF(MOD(IF(AND(B73&gt;='Energy margins'!$T$62,B73&lt;='Energy margins'!$U$62),B73-'Energy margins'!$T$62,""),'Energy margins'!$V$62)=0,'Energy margins'!$S$62,0)),0,IF(MOD(IF(AND(B73&gt;='Energy margins'!$T$62,B73&lt;='Energy margins'!$U$62),B73-'Energy margins'!$T$62,""),'Energy margins'!$V$62)=0,'Energy margins'!$S$62,0))</f>
        <v>0</v>
      </c>
      <c r="U73" s="944">
        <f t="shared" si="36"/>
        <v>316.00314399999996</v>
      </c>
      <c r="V73" s="197"/>
      <c r="W73" s="197">
        <f t="shared" si="37"/>
        <v>316.00314399999996</v>
      </c>
      <c r="X73" s="197">
        <f t="shared" si="31"/>
        <v>121.49685600000004</v>
      </c>
      <c r="Y73" s="197">
        <f t="shared" si="32"/>
        <v>451.49685600000004</v>
      </c>
      <c r="Z73" s="973">
        <f t="shared" si="38"/>
        <v>345.36654001234689</v>
      </c>
      <c r="AA73" s="974">
        <f t="shared" si="39"/>
        <v>260.50504732359883</v>
      </c>
      <c r="AB73" s="974">
        <f t="shared" si="40"/>
        <v>249.45579994583636</v>
      </c>
      <c r="AC73" s="974">
        <f t="shared" si="41"/>
        <v>95.910740066510542</v>
      </c>
      <c r="AD73" s="974">
        <f t="shared" si="42"/>
        <v>356.41578739010936</v>
      </c>
      <c r="AE73" s="973">
        <f t="shared" si="47"/>
        <v>3001.3099135651623</v>
      </c>
      <c r="AF73" s="974">
        <f t="shared" si="43"/>
        <v>2646.4984225467078</v>
      </c>
      <c r="AG73" s="974">
        <f t="shared" si="44"/>
        <v>8423.1206875153239</v>
      </c>
      <c r="AH73" s="974">
        <f t="shared" si="45"/>
        <v>-5421.8107739501611</v>
      </c>
      <c r="AI73" s="975">
        <f t="shared" si="46"/>
        <v>-2775.3123514034523</v>
      </c>
    </row>
    <row r="74" spans="2:35" x14ac:dyDescent="0.3">
      <c r="B74" s="900">
        <v>10</v>
      </c>
      <c r="C74" s="922">
        <f>'Energy Inputs'!F39</f>
        <v>1</v>
      </c>
      <c r="D74" s="918">
        <f>C74*'Energy Inputs'!$F$24</f>
        <v>10</v>
      </c>
      <c r="E74" s="197">
        <f>'Energy margins'!$S$12</f>
        <v>43.75</v>
      </c>
      <c r="F74" s="197">
        <f t="shared" si="34"/>
        <v>437.5</v>
      </c>
      <c r="G74" s="918">
        <f>'Energy Inputs'!$D$10</f>
        <v>330</v>
      </c>
      <c r="H74" s="197">
        <f t="shared" si="35"/>
        <v>767.5</v>
      </c>
      <c r="I74" s="197"/>
      <c r="J74" s="947">
        <f>IF(ISERROR(IF(MOD(IF(AND(B74&gt;='Energy margins'!$T$44,B74&lt;='Energy margins'!$U$44),B74-'Energy margins'!$T$44,""),'Energy margins'!$V$44)=0,'Energy margins'!$S$44,0)),0,IF(MOD(IF(AND(B74&gt;='Energy margins'!$T$44,B74&lt;='Energy margins'!$U$44),B74-'Energy margins'!$T$44,""),'Energy margins'!$V$44)=0,'Energy margins'!$S$44,0))</f>
        <v>0</v>
      </c>
      <c r="K74" s="918">
        <f>IF(ISERROR(IF(MOD(IF(AND(B74&gt;='Energy margins'!$T$45,B74&lt;='Energy margins'!$U$45),B74-'Energy margins'!$T$45,""),'Energy margins'!$V$45)=0,'Energy margins'!$S$45,0)),0,IF(MOD(IF(AND(B74&gt;='Energy margins'!$T$45,B74&lt;='Energy margins'!$U$45),B74-'Energy margins'!$T$45,""),'Energy margins'!$V$45)=0,'Energy margins'!$S$45,0))</f>
        <v>0</v>
      </c>
      <c r="L74" s="918">
        <f>IF(ISERROR(IF(MOD(IF(AND(B74&gt;='Energy margins'!$T$46,B74&lt;='Energy margins'!$U$46),B74-'Energy margins'!$T$46,""),'Energy margins'!$V$46)=0,'Energy margins'!$S$46,0)),0,IF(MOD(IF(AND(B74&gt;='Energy margins'!$T$46,B74&lt;='Energy margins'!$U$46),B74-'Energy margins'!$T$46,""),'Energy margins'!$V$46)=0,'Energy margins'!$S$46,0))</f>
        <v>0</v>
      </c>
      <c r="M74" s="918">
        <f>IF(ISERROR(IF(MOD(IF(AND(B74&gt;='Energy margins'!$T$47,B74&lt;='Energy margins'!$U$47),B74-'Energy margins'!$T$47,""),'Energy margins'!$V$47)=0,'Energy margins'!$S$47,0)),0,IF(MOD(IF(AND(B74&gt;='Energy margins'!$T$47,B74&lt;='Energy margins'!$U$47),B74-'Energy margins'!$T$47,""),'Energy margins'!$V$47)=0,'Energy margins'!$S$47,0))</f>
        <v>19.974783999999993</v>
      </c>
      <c r="N74" s="918">
        <f>IF(ISERROR(IF(MOD(IF(AND(B74&gt;='Energy margins'!$T$50,B74&lt;='Energy margins'!$U$50),B74-'Energy margins'!$T$50,""),'Energy margins'!$V$50)=0,'Energy margins'!$S$50,0)),0,IF(MOD(IF(AND(B74&gt;='Energy margins'!$T$50,B74&lt;='Energy margins'!$U$50),B74-'Energy margins'!$T$50,""),'Energy margins'!$V$50)=0,'Energy margins'!$S$50,0))</f>
        <v>73.676000000000002</v>
      </c>
      <c r="O74" s="918">
        <f>IF(ISERROR(IF(MOD(IF(AND(B74&gt;='Energy margins'!$T$53,B74&lt;='Energy margins'!$U$53),B74-'Energy margins'!$T$53,""),'Energy margins'!$V$53)=0,'Energy margins'!$S$53,0)),0,IF(MOD(IF(AND(B74&gt;='Energy margins'!$T$53,B74&lt;='Energy margins'!$U$53),B74-'Energy margins'!$T$53,""),'Energy margins'!$V$53)=0,'Energy margins'!$S$53,0))</f>
        <v>66.638359999999992</v>
      </c>
      <c r="P74" s="918">
        <f>IF(ISERROR(IF(MOD(IF(AND(B74&gt;='Energy margins'!$T$56,B74&lt;='Energy margins'!$U$56),B74-'Energy margins'!$T$56,""),'Energy margins'!$V$56)=0,'Energy margins'!$S$56,0)),0,IF(MOD(IF(AND(B74&gt;='Energy margins'!$T$56,B74&lt;='Energy margins'!$U$56),B74-'Energy margins'!$T$56,""),'Energy margins'!$V$56)=0,'Energy margins'!$S$56,0))</f>
        <v>42.713999999999999</v>
      </c>
      <c r="Q74" s="918">
        <f>IF(ISERROR(IF(MOD(IF(AND(B74&gt;='Energy margins'!$T$59,B74&lt;='Energy margins'!$U$59),B74-'Energy margins'!$T$59,""),'Energy margins'!$V$59)=0,'Energy margins'!$S$59,0)),0,IF(MOD(IF(AND(B74&gt;='Energy margins'!$T$59,B74&lt;='Energy margins'!$U$59),B74-'Energy margins'!$T$59,""),'Energy margins'!$V$59)=0,'Energy margins'!$S$59,0))</f>
        <v>112.99999999999999</v>
      </c>
      <c r="R74" s="918">
        <f>IF(ISERROR(IF(MOD(IF(AND(B74&gt;='Energy margins'!$T$60,B74&lt;='Energy margins'!$U$60),B74-'Energy margins'!$T$60,""),'Energy margins'!$V$60)=0,'Energy margins'!$S$60,0)),0,IF(MOD(IF(AND(B74&gt;='Energy margins'!$T$60,B74&lt;='Energy margins'!$U$60),B74-'Energy margins'!$T$60,""),'Energy margins'!$V$60)=0,'Energy margins'!$S$60,0))</f>
        <v>0</v>
      </c>
      <c r="S74" s="918">
        <f>IF(ISERROR(IF(MOD(IF(AND(B74&gt;='Energy margins'!$T$61,B74&lt;='Energy margins'!$U$61),B74-'Energy margins'!$T$61,""),'Energy margins'!$V$61)=0,'Energy margins'!$S$61,0)),0,IF(MOD(IF(AND(B74&gt;='Energy margins'!$T$61,B74&lt;='Energy margins'!$U$61),B74-'Energy margins'!$T$61,""),'Energy margins'!$V$61)=0,'Energy margins'!$S$61,0))</f>
        <v>0</v>
      </c>
      <c r="T74" s="918">
        <f>IF(ISERROR(IF(MOD(IF(AND(B74&gt;='Energy margins'!$T$62,B74&lt;='Energy margins'!$U$62),B74-'Energy margins'!$T$62,""),'Energy margins'!$V$62)=0,'Energy margins'!$S$62,0)),0,IF(MOD(IF(AND(B74&gt;='Energy margins'!$T$62,B74&lt;='Energy margins'!$U$62),B74-'Energy margins'!$T$62,""),'Energy margins'!$V$62)=0,'Energy margins'!$S$62,0))</f>
        <v>0</v>
      </c>
      <c r="U74" s="944">
        <f t="shared" si="36"/>
        <v>316.00314399999996</v>
      </c>
      <c r="V74" s="197"/>
      <c r="W74" s="197">
        <f t="shared" si="37"/>
        <v>316.00314399999996</v>
      </c>
      <c r="X74" s="197">
        <f t="shared" si="31"/>
        <v>121.49685600000004</v>
      </c>
      <c r="Y74" s="197">
        <f t="shared" si="32"/>
        <v>451.49685600000004</v>
      </c>
      <c r="Z74" s="973">
        <f t="shared" si="38"/>
        <v>335.30732040033678</v>
      </c>
      <c r="AA74" s="974">
        <f t="shared" si="39"/>
        <v>252.91752167339689</v>
      </c>
      <c r="AB74" s="974">
        <f t="shared" si="40"/>
        <v>242.19009703479259</v>
      </c>
      <c r="AC74" s="974">
        <f t="shared" si="41"/>
        <v>93.11722336554422</v>
      </c>
      <c r="AD74" s="974">
        <f t="shared" si="42"/>
        <v>346.03474503894108</v>
      </c>
      <c r="AE74" s="973">
        <f t="shared" si="47"/>
        <v>3336.6172339654991</v>
      </c>
      <c r="AF74" s="974">
        <f t="shared" si="43"/>
        <v>2899.4159442201048</v>
      </c>
      <c r="AG74" s="974">
        <f t="shared" si="44"/>
        <v>8665.3107845501163</v>
      </c>
      <c r="AH74" s="974">
        <f t="shared" si="45"/>
        <v>-5328.6935505846168</v>
      </c>
      <c r="AI74" s="975">
        <f t="shared" si="46"/>
        <v>-2429.2776063645115</v>
      </c>
    </row>
    <row r="75" spans="2:35" x14ac:dyDescent="0.3">
      <c r="B75" s="900">
        <v>11</v>
      </c>
      <c r="C75" s="922">
        <f>'Energy Inputs'!F40</f>
        <v>1</v>
      </c>
      <c r="D75" s="918">
        <f>C75*'Energy Inputs'!$F$24</f>
        <v>10</v>
      </c>
      <c r="E75" s="197">
        <f>'Energy margins'!$S$12</f>
        <v>43.75</v>
      </c>
      <c r="F75" s="197">
        <f t="shared" si="34"/>
        <v>437.5</v>
      </c>
      <c r="G75" s="918">
        <f>'Energy Inputs'!$D$10</f>
        <v>330</v>
      </c>
      <c r="H75" s="197">
        <f t="shared" si="35"/>
        <v>767.5</v>
      </c>
      <c r="I75" s="197"/>
      <c r="J75" s="947">
        <f>IF(ISERROR(IF(MOD(IF(AND(B75&gt;='Energy margins'!$T$44,B75&lt;='Energy margins'!$U$44),B75-'Energy margins'!$T$44,""),'Energy margins'!$V$44)=0,'Energy margins'!$S$44,0)),0,IF(MOD(IF(AND(B75&gt;='Energy margins'!$T$44,B75&lt;='Energy margins'!$U$44),B75-'Energy margins'!$T$44,""),'Energy margins'!$V$44)=0,'Energy margins'!$S$44,0))</f>
        <v>0</v>
      </c>
      <c r="K75" s="918">
        <f>IF(ISERROR(IF(MOD(IF(AND(B75&gt;='Energy margins'!$T$45,B75&lt;='Energy margins'!$U$45),B75-'Energy margins'!$T$45,""),'Energy margins'!$V$45)=0,'Energy margins'!$S$45,0)),0,IF(MOD(IF(AND(B75&gt;='Energy margins'!$T$45,B75&lt;='Energy margins'!$U$45),B75-'Energy margins'!$T$45,""),'Energy margins'!$V$45)=0,'Energy margins'!$S$45,0))</f>
        <v>0</v>
      </c>
      <c r="L75" s="918">
        <f>IF(ISERROR(IF(MOD(IF(AND(B75&gt;='Energy margins'!$T$46,B75&lt;='Energy margins'!$U$46),B75-'Energy margins'!$T$46,""),'Energy margins'!$V$46)=0,'Energy margins'!$S$46,0)),0,IF(MOD(IF(AND(B75&gt;='Energy margins'!$T$46,B75&lt;='Energy margins'!$U$46),B75-'Energy margins'!$T$46,""),'Energy margins'!$V$46)=0,'Energy margins'!$S$46,0))</f>
        <v>0</v>
      </c>
      <c r="M75" s="918">
        <f>IF(ISERROR(IF(MOD(IF(AND(B75&gt;='Energy margins'!$T$47,B75&lt;='Energy margins'!$U$47),B75-'Energy margins'!$T$47,""),'Energy margins'!$V$47)=0,'Energy margins'!$S$47,0)),0,IF(MOD(IF(AND(B75&gt;='Energy margins'!$T$47,B75&lt;='Energy margins'!$U$47),B75-'Energy margins'!$T$47,""),'Energy margins'!$V$47)=0,'Energy margins'!$S$47,0))</f>
        <v>19.974783999999993</v>
      </c>
      <c r="N75" s="918">
        <f>IF(ISERROR(IF(MOD(IF(AND(B75&gt;='Energy margins'!$T$50,B75&lt;='Energy margins'!$U$50),B75-'Energy margins'!$T$50,""),'Energy margins'!$V$50)=0,'Energy margins'!$S$50,0)),0,IF(MOD(IF(AND(B75&gt;='Energy margins'!$T$50,B75&lt;='Energy margins'!$U$50),B75-'Energy margins'!$T$50,""),'Energy margins'!$V$50)=0,'Energy margins'!$S$50,0))</f>
        <v>73.676000000000002</v>
      </c>
      <c r="O75" s="918">
        <f>IF(ISERROR(IF(MOD(IF(AND(B75&gt;='Energy margins'!$T$53,B75&lt;='Energy margins'!$U$53),B75-'Energy margins'!$T$53,""),'Energy margins'!$V$53)=0,'Energy margins'!$S$53,0)),0,IF(MOD(IF(AND(B75&gt;='Energy margins'!$T$53,B75&lt;='Energy margins'!$U$53),B75-'Energy margins'!$T$53,""),'Energy margins'!$V$53)=0,'Energy margins'!$S$53,0))</f>
        <v>66.638359999999992</v>
      </c>
      <c r="P75" s="918">
        <f>IF(ISERROR(IF(MOD(IF(AND(B75&gt;='Energy margins'!$T$56,B75&lt;='Energy margins'!$U$56),B75-'Energy margins'!$T$56,""),'Energy margins'!$V$56)=0,'Energy margins'!$S$56,0)),0,IF(MOD(IF(AND(B75&gt;='Energy margins'!$T$56,B75&lt;='Energy margins'!$U$56),B75-'Energy margins'!$T$56,""),'Energy margins'!$V$56)=0,'Energy margins'!$S$56,0))</f>
        <v>42.713999999999999</v>
      </c>
      <c r="Q75" s="918">
        <f>IF(ISERROR(IF(MOD(IF(AND(B75&gt;='Energy margins'!$T$59,B75&lt;='Energy margins'!$U$59),B75-'Energy margins'!$T$59,""),'Energy margins'!$V$59)=0,'Energy margins'!$S$59,0)),0,IF(MOD(IF(AND(B75&gt;='Energy margins'!$T$59,B75&lt;='Energy margins'!$U$59),B75-'Energy margins'!$T$59,""),'Energy margins'!$V$59)=0,'Energy margins'!$S$59,0))</f>
        <v>112.99999999999999</v>
      </c>
      <c r="R75" s="918">
        <f>IF(ISERROR(IF(MOD(IF(AND(B75&gt;='Energy margins'!$T$60,B75&lt;='Energy margins'!$U$60),B75-'Energy margins'!$T$60,""),'Energy margins'!$V$60)=0,'Energy margins'!$S$60,0)),0,IF(MOD(IF(AND(B75&gt;='Energy margins'!$T$60,B75&lt;='Energy margins'!$U$60),B75-'Energy margins'!$T$60,""),'Energy margins'!$V$60)=0,'Energy margins'!$S$60,0))</f>
        <v>0</v>
      </c>
      <c r="S75" s="918">
        <f>IF(ISERROR(IF(MOD(IF(AND(B75&gt;='Energy margins'!$T$61,B75&lt;='Energy margins'!$U$61),B75-'Energy margins'!$T$61,""),'Energy margins'!$V$61)=0,'Energy margins'!$S$61,0)),0,IF(MOD(IF(AND(B75&gt;='Energy margins'!$T$61,B75&lt;='Energy margins'!$U$61),B75-'Energy margins'!$T$61,""),'Energy margins'!$V$61)=0,'Energy margins'!$S$61,0))</f>
        <v>0</v>
      </c>
      <c r="T75" s="918">
        <f>IF(ISERROR(IF(MOD(IF(AND(B75&gt;='Energy margins'!$T$62,B75&lt;='Energy margins'!$U$62),B75-'Energy margins'!$T$62,""),'Energy margins'!$V$62)=0,'Energy margins'!$S$62,0)),0,IF(MOD(IF(AND(B75&gt;='Energy margins'!$T$62,B75&lt;='Energy margins'!$U$62),B75-'Energy margins'!$T$62,""),'Energy margins'!$V$62)=0,'Energy margins'!$S$62,0))</f>
        <v>0</v>
      </c>
      <c r="U75" s="944">
        <f t="shared" si="36"/>
        <v>316.00314399999996</v>
      </c>
      <c r="V75" s="197"/>
      <c r="W75" s="197">
        <f t="shared" si="37"/>
        <v>316.00314399999996</v>
      </c>
      <c r="X75" s="197">
        <f t="shared" si="31"/>
        <v>121.49685600000004</v>
      </c>
      <c r="Y75" s="197">
        <f t="shared" si="32"/>
        <v>451.49685600000004</v>
      </c>
      <c r="Z75" s="973">
        <f t="shared" si="38"/>
        <v>325.54108776731726</v>
      </c>
      <c r="AA75" s="974">
        <f t="shared" si="39"/>
        <v>245.55099191591933</v>
      </c>
      <c r="AB75" s="974">
        <f t="shared" si="40"/>
        <v>235.13601653863356</v>
      </c>
      <c r="AC75" s="974">
        <f t="shared" si="41"/>
        <v>90.405071228683695</v>
      </c>
      <c r="AD75" s="974">
        <f t="shared" si="42"/>
        <v>335.95606314460304</v>
      </c>
      <c r="AE75" s="973">
        <f t="shared" si="47"/>
        <v>3662.1583217328161</v>
      </c>
      <c r="AF75" s="974">
        <f t="shared" si="43"/>
        <v>3144.9669361360243</v>
      </c>
      <c r="AG75" s="974">
        <f t="shared" si="44"/>
        <v>8900.4468010887504</v>
      </c>
      <c r="AH75" s="974">
        <f t="shared" si="45"/>
        <v>-5238.2884793559333</v>
      </c>
      <c r="AI75" s="975">
        <f t="shared" si="46"/>
        <v>-2093.3215432199086</v>
      </c>
    </row>
    <row r="76" spans="2:35" x14ac:dyDescent="0.3">
      <c r="B76" s="900">
        <v>12</v>
      </c>
      <c r="C76" s="922">
        <f>'Energy Inputs'!F41</f>
        <v>1</v>
      </c>
      <c r="D76" s="918">
        <f>C76*'Energy Inputs'!$F$24</f>
        <v>10</v>
      </c>
      <c r="E76" s="197">
        <f>'Energy margins'!$S$12</f>
        <v>43.75</v>
      </c>
      <c r="F76" s="197">
        <f t="shared" si="34"/>
        <v>437.5</v>
      </c>
      <c r="G76" s="918">
        <f>'Energy Inputs'!$D$10</f>
        <v>330</v>
      </c>
      <c r="H76" s="197">
        <f t="shared" si="35"/>
        <v>767.5</v>
      </c>
      <c r="I76" s="197"/>
      <c r="J76" s="947">
        <f>IF(ISERROR(IF(MOD(IF(AND(B76&gt;='Energy margins'!$T$44,B76&lt;='Energy margins'!$U$44),B76-'Energy margins'!$T$44,""),'Energy margins'!$V$44)=0,'Energy margins'!$S$44,0)),0,IF(MOD(IF(AND(B76&gt;='Energy margins'!$T$44,B76&lt;='Energy margins'!$U$44),B76-'Energy margins'!$T$44,""),'Energy margins'!$V$44)=0,'Energy margins'!$S$44,0))</f>
        <v>0</v>
      </c>
      <c r="K76" s="918">
        <f>IF(ISERROR(IF(MOD(IF(AND(B76&gt;='Energy margins'!$T$45,B76&lt;='Energy margins'!$U$45),B76-'Energy margins'!$T$45,""),'Energy margins'!$V$45)=0,'Energy margins'!$S$45,0)),0,IF(MOD(IF(AND(B76&gt;='Energy margins'!$T$45,B76&lt;='Energy margins'!$U$45),B76-'Energy margins'!$T$45,""),'Energy margins'!$V$45)=0,'Energy margins'!$S$45,0))</f>
        <v>0</v>
      </c>
      <c r="L76" s="918">
        <f>IF(ISERROR(IF(MOD(IF(AND(B76&gt;='Energy margins'!$T$46,B76&lt;='Energy margins'!$U$46),B76-'Energy margins'!$T$46,""),'Energy margins'!$V$46)=0,'Energy margins'!$S$46,0)),0,IF(MOD(IF(AND(B76&gt;='Energy margins'!$T$46,B76&lt;='Energy margins'!$U$46),B76-'Energy margins'!$T$46,""),'Energy margins'!$V$46)=0,'Energy margins'!$S$46,0))</f>
        <v>0</v>
      </c>
      <c r="M76" s="918">
        <f>IF(ISERROR(IF(MOD(IF(AND(B76&gt;='Energy margins'!$T$47,B76&lt;='Energy margins'!$U$47),B76-'Energy margins'!$T$47,""),'Energy margins'!$V$47)=0,'Energy margins'!$S$47,0)),0,IF(MOD(IF(AND(B76&gt;='Energy margins'!$T$47,B76&lt;='Energy margins'!$U$47),B76-'Energy margins'!$T$47,""),'Energy margins'!$V$47)=0,'Energy margins'!$S$47,0))</f>
        <v>19.974783999999993</v>
      </c>
      <c r="N76" s="918">
        <f>IF(ISERROR(IF(MOD(IF(AND(B76&gt;='Energy margins'!$T$50,B76&lt;='Energy margins'!$U$50),B76-'Energy margins'!$T$50,""),'Energy margins'!$V$50)=0,'Energy margins'!$S$50,0)),0,IF(MOD(IF(AND(B76&gt;='Energy margins'!$T$50,B76&lt;='Energy margins'!$U$50),B76-'Energy margins'!$T$50,""),'Energy margins'!$V$50)=0,'Energy margins'!$S$50,0))</f>
        <v>73.676000000000002</v>
      </c>
      <c r="O76" s="918">
        <f>IF(ISERROR(IF(MOD(IF(AND(B76&gt;='Energy margins'!$T$53,B76&lt;='Energy margins'!$U$53),B76-'Energy margins'!$T$53,""),'Energy margins'!$V$53)=0,'Energy margins'!$S$53,0)),0,IF(MOD(IF(AND(B76&gt;='Energy margins'!$T$53,B76&lt;='Energy margins'!$U$53),B76-'Energy margins'!$T$53,""),'Energy margins'!$V$53)=0,'Energy margins'!$S$53,0))</f>
        <v>66.638359999999992</v>
      </c>
      <c r="P76" s="918">
        <f>IF(ISERROR(IF(MOD(IF(AND(B76&gt;='Energy margins'!$T$56,B76&lt;='Energy margins'!$U$56),B76-'Energy margins'!$T$56,""),'Energy margins'!$V$56)=0,'Energy margins'!$S$56,0)),0,IF(MOD(IF(AND(B76&gt;='Energy margins'!$T$56,B76&lt;='Energy margins'!$U$56),B76-'Energy margins'!$T$56,""),'Energy margins'!$V$56)=0,'Energy margins'!$S$56,0))</f>
        <v>42.713999999999999</v>
      </c>
      <c r="Q76" s="918">
        <f>IF(ISERROR(IF(MOD(IF(AND(B76&gt;='Energy margins'!$T$59,B76&lt;='Energy margins'!$U$59),B76-'Energy margins'!$T$59,""),'Energy margins'!$V$59)=0,'Energy margins'!$S$59,0)),0,IF(MOD(IF(AND(B76&gt;='Energy margins'!$T$59,B76&lt;='Energy margins'!$U$59),B76-'Energy margins'!$T$59,""),'Energy margins'!$V$59)=0,'Energy margins'!$S$59,0))</f>
        <v>112.99999999999999</v>
      </c>
      <c r="R76" s="918">
        <f>IF(ISERROR(IF(MOD(IF(AND(B76&gt;='Energy margins'!$T$60,B76&lt;='Energy margins'!$U$60),B76-'Energy margins'!$T$60,""),'Energy margins'!$V$60)=0,'Energy margins'!$S$60,0)),0,IF(MOD(IF(AND(B76&gt;='Energy margins'!$T$60,B76&lt;='Energy margins'!$U$60),B76-'Energy margins'!$T$60,""),'Energy margins'!$V$60)=0,'Energy margins'!$S$60,0))</f>
        <v>0</v>
      </c>
      <c r="S76" s="918">
        <f>IF(ISERROR(IF(MOD(IF(AND(B76&gt;='Energy margins'!$T$61,B76&lt;='Energy margins'!$U$61),B76-'Energy margins'!$T$61,""),'Energy margins'!$V$61)=0,'Energy margins'!$S$61,0)),0,IF(MOD(IF(AND(B76&gt;='Energy margins'!$T$61,B76&lt;='Energy margins'!$U$61),B76-'Energy margins'!$T$61,""),'Energy margins'!$V$61)=0,'Energy margins'!$S$61,0))</f>
        <v>0</v>
      </c>
      <c r="T76" s="918">
        <f>IF(ISERROR(IF(MOD(IF(AND(B76&gt;='Energy margins'!$T$62,B76&lt;='Energy margins'!$U$62),B76-'Energy margins'!$T$62,""),'Energy margins'!$V$62)=0,'Energy margins'!$S$62,0)),0,IF(MOD(IF(AND(B76&gt;='Energy margins'!$T$62,B76&lt;='Energy margins'!$U$62),B76-'Energy margins'!$T$62,""),'Energy margins'!$V$62)=0,'Energy margins'!$S$62,0))</f>
        <v>0</v>
      </c>
      <c r="U76" s="944">
        <f t="shared" si="36"/>
        <v>316.00314399999996</v>
      </c>
      <c r="V76" s="197"/>
      <c r="W76" s="197">
        <f t="shared" si="37"/>
        <v>316.00314399999996</v>
      </c>
      <c r="X76" s="197">
        <f t="shared" si="31"/>
        <v>121.49685600000004</v>
      </c>
      <c r="Y76" s="197">
        <f t="shared" si="32"/>
        <v>451.49685600000004</v>
      </c>
      <c r="Z76" s="973">
        <f t="shared" si="38"/>
        <v>316.05930851195848</v>
      </c>
      <c r="AA76" s="974">
        <f t="shared" si="39"/>
        <v>238.39902127759154</v>
      </c>
      <c r="AB76" s="974">
        <f t="shared" si="40"/>
        <v>228.2873946977025</v>
      </c>
      <c r="AC76" s="974">
        <f t="shared" si="41"/>
        <v>87.771913814256024</v>
      </c>
      <c r="AD76" s="974">
        <f t="shared" si="42"/>
        <v>326.17093509184758</v>
      </c>
      <c r="AE76" s="973">
        <f t="shared" si="47"/>
        <v>3978.2176302447747</v>
      </c>
      <c r="AF76" s="974">
        <f t="shared" si="43"/>
        <v>3383.3659574136159</v>
      </c>
      <c r="AG76" s="974">
        <f t="shared" si="44"/>
        <v>9128.7341957864537</v>
      </c>
      <c r="AH76" s="974">
        <f t="shared" si="45"/>
        <v>-5150.5165655416777</v>
      </c>
      <c r="AI76" s="975">
        <f t="shared" si="46"/>
        <v>-1767.1506081280609</v>
      </c>
    </row>
    <row r="77" spans="2:35" x14ac:dyDescent="0.3">
      <c r="B77" s="900">
        <v>13</v>
      </c>
      <c r="C77" s="922">
        <f>'Energy Inputs'!F42</f>
        <v>1</v>
      </c>
      <c r="D77" s="918">
        <f>C77*'Energy Inputs'!$F$24</f>
        <v>10</v>
      </c>
      <c r="E77" s="197">
        <f>'Energy margins'!$S$12</f>
        <v>43.75</v>
      </c>
      <c r="F77" s="197">
        <f t="shared" si="34"/>
        <v>437.5</v>
      </c>
      <c r="G77" s="918">
        <f>'Energy Inputs'!$D$10</f>
        <v>330</v>
      </c>
      <c r="H77" s="197">
        <f t="shared" si="35"/>
        <v>767.5</v>
      </c>
      <c r="I77" s="197"/>
      <c r="J77" s="947">
        <f>IF(ISERROR(IF(MOD(IF(AND(B77&gt;='Energy margins'!$T$44,B77&lt;='Energy margins'!$U$44),B77-'Energy margins'!$T$44,""),'Energy margins'!$V$44)=0,'Energy margins'!$S$44,0)),0,IF(MOD(IF(AND(B77&gt;='Energy margins'!$T$44,B77&lt;='Energy margins'!$U$44),B77-'Energy margins'!$T$44,""),'Energy margins'!$V$44)=0,'Energy margins'!$S$44,0))</f>
        <v>0</v>
      </c>
      <c r="K77" s="918">
        <f>IF(ISERROR(IF(MOD(IF(AND(B77&gt;='Energy margins'!$T$45,B77&lt;='Energy margins'!$U$45),B77-'Energy margins'!$T$45,""),'Energy margins'!$V$45)=0,'Energy margins'!$S$45,0)),0,IF(MOD(IF(AND(B77&gt;='Energy margins'!$T$45,B77&lt;='Energy margins'!$U$45),B77-'Energy margins'!$T$45,""),'Energy margins'!$V$45)=0,'Energy margins'!$S$45,0))</f>
        <v>0</v>
      </c>
      <c r="L77" s="918">
        <f>IF(ISERROR(IF(MOD(IF(AND(B77&gt;='Energy margins'!$T$46,B77&lt;='Energy margins'!$U$46),B77-'Energy margins'!$T$46,""),'Energy margins'!$V$46)=0,'Energy margins'!$S$46,0)),0,IF(MOD(IF(AND(B77&gt;='Energy margins'!$T$46,B77&lt;='Energy margins'!$U$46),B77-'Energy margins'!$T$46,""),'Energy margins'!$V$46)=0,'Energy margins'!$S$46,0))</f>
        <v>0</v>
      </c>
      <c r="M77" s="918">
        <f>IF(ISERROR(IF(MOD(IF(AND(B77&gt;='Energy margins'!$T$47,B77&lt;='Energy margins'!$U$47),B77-'Energy margins'!$T$47,""),'Energy margins'!$V$47)=0,'Energy margins'!$S$47,0)),0,IF(MOD(IF(AND(B77&gt;='Energy margins'!$T$47,B77&lt;='Energy margins'!$U$47),B77-'Energy margins'!$T$47,""),'Energy margins'!$V$47)=0,'Energy margins'!$S$47,0))</f>
        <v>19.974783999999993</v>
      </c>
      <c r="N77" s="918">
        <f>IF(ISERROR(IF(MOD(IF(AND(B77&gt;='Energy margins'!$T$50,B77&lt;='Energy margins'!$U$50),B77-'Energy margins'!$T$50,""),'Energy margins'!$V$50)=0,'Energy margins'!$S$50,0)),0,IF(MOD(IF(AND(B77&gt;='Energy margins'!$T$50,B77&lt;='Energy margins'!$U$50),B77-'Energy margins'!$T$50,""),'Energy margins'!$V$50)=0,'Energy margins'!$S$50,0))</f>
        <v>73.676000000000002</v>
      </c>
      <c r="O77" s="918">
        <f>IF(ISERROR(IF(MOD(IF(AND(B77&gt;='Energy margins'!$T$53,B77&lt;='Energy margins'!$U$53),B77-'Energy margins'!$T$53,""),'Energy margins'!$V$53)=0,'Energy margins'!$S$53,0)),0,IF(MOD(IF(AND(B77&gt;='Energy margins'!$T$53,B77&lt;='Energy margins'!$U$53),B77-'Energy margins'!$T$53,""),'Energy margins'!$V$53)=0,'Energy margins'!$S$53,0))</f>
        <v>66.638359999999992</v>
      </c>
      <c r="P77" s="918">
        <f>IF(ISERROR(IF(MOD(IF(AND(B77&gt;='Energy margins'!$T$56,B77&lt;='Energy margins'!$U$56),B77-'Energy margins'!$T$56,""),'Energy margins'!$V$56)=0,'Energy margins'!$S$56,0)),0,IF(MOD(IF(AND(B77&gt;='Energy margins'!$T$56,B77&lt;='Energy margins'!$U$56),B77-'Energy margins'!$T$56,""),'Energy margins'!$V$56)=0,'Energy margins'!$S$56,0))</f>
        <v>42.713999999999999</v>
      </c>
      <c r="Q77" s="918">
        <f>IF(ISERROR(IF(MOD(IF(AND(B77&gt;='Energy margins'!$T$59,B77&lt;='Energy margins'!$U$59),B77-'Energy margins'!$T$59,""),'Energy margins'!$V$59)=0,'Energy margins'!$S$59,0)),0,IF(MOD(IF(AND(B77&gt;='Energy margins'!$T$59,B77&lt;='Energy margins'!$U$59),B77-'Energy margins'!$T$59,""),'Energy margins'!$V$59)=0,'Energy margins'!$S$59,0))</f>
        <v>112.99999999999999</v>
      </c>
      <c r="R77" s="918">
        <f>IF(ISERROR(IF(MOD(IF(AND(B77&gt;='Energy margins'!$T$60,B77&lt;='Energy margins'!$U$60),B77-'Energy margins'!$T$60,""),'Energy margins'!$V$60)=0,'Energy margins'!$S$60,0)),0,IF(MOD(IF(AND(B77&gt;='Energy margins'!$T$60,B77&lt;='Energy margins'!$U$60),B77-'Energy margins'!$T$60,""),'Energy margins'!$V$60)=0,'Energy margins'!$S$60,0))</f>
        <v>0</v>
      </c>
      <c r="S77" s="918">
        <f>IF(ISERROR(IF(MOD(IF(AND(B77&gt;='Energy margins'!$T$61,B77&lt;='Energy margins'!$U$61),B77-'Energy margins'!$T$61,""),'Energy margins'!$V$61)=0,'Energy margins'!$S$61,0)),0,IF(MOD(IF(AND(B77&gt;='Energy margins'!$T$61,B77&lt;='Energy margins'!$U$61),B77-'Energy margins'!$T$61,""),'Energy margins'!$V$61)=0,'Energy margins'!$S$61,0))</f>
        <v>0</v>
      </c>
      <c r="T77" s="918">
        <f>IF(ISERROR(IF(MOD(IF(AND(B77&gt;='Energy margins'!$T$62,B77&lt;='Energy margins'!$U$62),B77-'Energy margins'!$T$62,""),'Energy margins'!$V$62)=0,'Energy margins'!$S$62,0)),0,IF(MOD(IF(AND(B77&gt;='Energy margins'!$T$62,B77&lt;='Energy margins'!$U$62),B77-'Energy margins'!$T$62,""),'Energy margins'!$V$62)=0,'Energy margins'!$S$62,0))</f>
        <v>0</v>
      </c>
      <c r="U77" s="944">
        <f t="shared" si="36"/>
        <v>316.00314399999996</v>
      </c>
      <c r="V77" s="197"/>
      <c r="W77" s="197">
        <f t="shared" si="37"/>
        <v>316.00314399999996</v>
      </c>
      <c r="X77" s="197">
        <f t="shared" si="31"/>
        <v>121.49685600000004</v>
      </c>
      <c r="Y77" s="197">
        <f t="shared" si="32"/>
        <v>451.49685600000004</v>
      </c>
      <c r="Z77" s="973">
        <f t="shared" si="38"/>
        <v>306.85369758442579</v>
      </c>
      <c r="AA77" s="974">
        <f t="shared" si="39"/>
        <v>231.45536046368116</v>
      </c>
      <c r="AB77" s="974">
        <f t="shared" si="40"/>
        <v>221.63824727932283</v>
      </c>
      <c r="AC77" s="974">
        <f t="shared" si="41"/>
        <v>85.215450305102948</v>
      </c>
      <c r="AD77" s="974">
        <f t="shared" si="42"/>
        <v>316.67081076878412</v>
      </c>
      <c r="AE77" s="973">
        <f t="shared" si="47"/>
        <v>4285.0713278292005</v>
      </c>
      <c r="AF77" s="974">
        <f t="shared" si="43"/>
        <v>3614.8213178772971</v>
      </c>
      <c r="AG77" s="974">
        <f t="shared" si="44"/>
        <v>9350.3724430657767</v>
      </c>
      <c r="AH77" s="974">
        <f t="shared" si="45"/>
        <v>-5065.3011152365743</v>
      </c>
      <c r="AI77" s="975">
        <f t="shared" si="46"/>
        <v>-1450.4797973592767</v>
      </c>
    </row>
    <row r="78" spans="2:35" x14ac:dyDescent="0.3">
      <c r="B78" s="900">
        <v>14</v>
      </c>
      <c r="C78" s="922">
        <f>'Energy Inputs'!F43</f>
        <v>1</v>
      </c>
      <c r="D78" s="918">
        <f>C78*'Energy Inputs'!$F$24</f>
        <v>10</v>
      </c>
      <c r="E78" s="197">
        <f>'Energy margins'!$S$12</f>
        <v>43.75</v>
      </c>
      <c r="F78" s="197">
        <f t="shared" si="34"/>
        <v>437.5</v>
      </c>
      <c r="G78" s="918">
        <f>'Energy Inputs'!$D$10</f>
        <v>330</v>
      </c>
      <c r="H78" s="197">
        <f t="shared" si="35"/>
        <v>767.5</v>
      </c>
      <c r="I78" s="197"/>
      <c r="J78" s="947">
        <f>IF(ISERROR(IF(MOD(IF(AND(B78&gt;='Energy margins'!$T$44,B78&lt;='Energy margins'!$U$44),B78-'Energy margins'!$T$44,""),'Energy margins'!$V$44)=0,'Energy margins'!$S$44,0)),0,IF(MOD(IF(AND(B78&gt;='Energy margins'!$T$44,B78&lt;='Energy margins'!$U$44),B78-'Energy margins'!$T$44,""),'Energy margins'!$V$44)=0,'Energy margins'!$S$44,0))</f>
        <v>0</v>
      </c>
      <c r="K78" s="918">
        <f>IF(ISERROR(IF(MOD(IF(AND(B78&gt;='Energy margins'!$T$45,B78&lt;='Energy margins'!$U$45),B78-'Energy margins'!$T$45,""),'Energy margins'!$V$45)=0,'Energy margins'!$S$45,0)),0,IF(MOD(IF(AND(B78&gt;='Energy margins'!$T$45,B78&lt;='Energy margins'!$U$45),B78-'Energy margins'!$T$45,""),'Energy margins'!$V$45)=0,'Energy margins'!$S$45,0))</f>
        <v>0</v>
      </c>
      <c r="L78" s="918">
        <f>IF(ISERROR(IF(MOD(IF(AND(B78&gt;='Energy margins'!$T$46,B78&lt;='Energy margins'!$U$46),B78-'Energy margins'!$T$46,""),'Energy margins'!$V$46)=0,'Energy margins'!$S$46,0)),0,IF(MOD(IF(AND(B78&gt;='Energy margins'!$T$46,B78&lt;='Energy margins'!$U$46),B78-'Energy margins'!$T$46,""),'Energy margins'!$V$46)=0,'Energy margins'!$S$46,0))</f>
        <v>0</v>
      </c>
      <c r="M78" s="918">
        <f>IF(ISERROR(IF(MOD(IF(AND(B78&gt;='Energy margins'!$T$47,B78&lt;='Energy margins'!$U$47),B78-'Energy margins'!$T$47,""),'Energy margins'!$V$47)=0,'Energy margins'!$S$47,0)),0,IF(MOD(IF(AND(B78&gt;='Energy margins'!$T$47,B78&lt;='Energy margins'!$U$47),B78-'Energy margins'!$T$47,""),'Energy margins'!$V$47)=0,'Energy margins'!$S$47,0))</f>
        <v>19.974783999999993</v>
      </c>
      <c r="N78" s="918">
        <f>IF(ISERROR(IF(MOD(IF(AND(B78&gt;='Energy margins'!$T$50,B78&lt;='Energy margins'!$U$50),B78-'Energy margins'!$T$50,""),'Energy margins'!$V$50)=0,'Energy margins'!$S$50,0)),0,IF(MOD(IF(AND(B78&gt;='Energy margins'!$T$50,B78&lt;='Energy margins'!$U$50),B78-'Energy margins'!$T$50,""),'Energy margins'!$V$50)=0,'Energy margins'!$S$50,0))</f>
        <v>73.676000000000002</v>
      </c>
      <c r="O78" s="918">
        <f>IF(ISERROR(IF(MOD(IF(AND(B78&gt;='Energy margins'!$T$53,B78&lt;='Energy margins'!$U$53),B78-'Energy margins'!$T$53,""),'Energy margins'!$V$53)=0,'Energy margins'!$S$53,0)),0,IF(MOD(IF(AND(B78&gt;='Energy margins'!$T$53,B78&lt;='Energy margins'!$U$53),B78-'Energy margins'!$T$53,""),'Energy margins'!$V$53)=0,'Energy margins'!$S$53,0))</f>
        <v>66.638359999999992</v>
      </c>
      <c r="P78" s="918">
        <f>IF(ISERROR(IF(MOD(IF(AND(B78&gt;='Energy margins'!$T$56,B78&lt;='Energy margins'!$U$56),B78-'Energy margins'!$T$56,""),'Energy margins'!$V$56)=0,'Energy margins'!$S$56,0)),0,IF(MOD(IF(AND(B78&gt;='Energy margins'!$T$56,B78&lt;='Energy margins'!$U$56),B78-'Energy margins'!$T$56,""),'Energy margins'!$V$56)=0,'Energy margins'!$S$56,0))</f>
        <v>42.713999999999999</v>
      </c>
      <c r="Q78" s="918">
        <f>IF(ISERROR(IF(MOD(IF(AND(B78&gt;='Energy margins'!$T$59,B78&lt;='Energy margins'!$U$59),B78-'Energy margins'!$T$59,""),'Energy margins'!$V$59)=0,'Energy margins'!$S$59,0)),0,IF(MOD(IF(AND(B78&gt;='Energy margins'!$T$59,B78&lt;='Energy margins'!$U$59),B78-'Energy margins'!$T$59,""),'Energy margins'!$V$59)=0,'Energy margins'!$S$59,0))</f>
        <v>112.99999999999999</v>
      </c>
      <c r="R78" s="918">
        <f>IF(ISERROR(IF(MOD(IF(AND(B78&gt;='Energy margins'!$T$60,B78&lt;='Energy margins'!$U$60),B78-'Energy margins'!$T$60,""),'Energy margins'!$V$60)=0,'Energy margins'!$S$60,0)),0,IF(MOD(IF(AND(B78&gt;='Energy margins'!$T$60,B78&lt;='Energy margins'!$U$60),B78-'Energy margins'!$T$60,""),'Energy margins'!$V$60)=0,'Energy margins'!$S$60,0))</f>
        <v>0</v>
      </c>
      <c r="S78" s="918">
        <f>IF(ISERROR(IF(MOD(IF(AND(B78&gt;='Energy margins'!$T$61,B78&lt;='Energy margins'!$U$61),B78-'Energy margins'!$T$61,""),'Energy margins'!$V$61)=0,'Energy margins'!$S$61,0)),0,IF(MOD(IF(AND(B78&gt;='Energy margins'!$T$61,B78&lt;='Energy margins'!$U$61),B78-'Energy margins'!$T$61,""),'Energy margins'!$V$61)=0,'Energy margins'!$S$61,0))</f>
        <v>0</v>
      </c>
      <c r="T78" s="918">
        <f>IF(ISERROR(IF(MOD(IF(AND(B78&gt;='Energy margins'!$T$62,B78&lt;='Energy margins'!$U$62),B78-'Energy margins'!$T$62,""),'Energy margins'!$V$62)=0,'Energy margins'!$S$62,0)),0,IF(MOD(IF(AND(B78&gt;='Energy margins'!$T$62,B78&lt;='Energy margins'!$U$62),B78-'Energy margins'!$T$62,""),'Energy margins'!$V$62)=0,'Energy margins'!$S$62,0))</f>
        <v>0</v>
      </c>
      <c r="U78" s="944">
        <f t="shared" si="36"/>
        <v>316.00314399999996</v>
      </c>
      <c r="V78" s="197"/>
      <c r="W78" s="197">
        <f t="shared" si="37"/>
        <v>316.00314399999996</v>
      </c>
      <c r="X78" s="197">
        <f t="shared" si="31"/>
        <v>121.49685600000004</v>
      </c>
      <c r="Y78" s="197">
        <f t="shared" si="32"/>
        <v>451.49685600000004</v>
      </c>
      <c r="Z78" s="973">
        <f t="shared" si="38"/>
        <v>297.91621124701533</v>
      </c>
      <c r="AA78" s="974">
        <f t="shared" si="39"/>
        <v>224.71394219774871</v>
      </c>
      <c r="AB78" s="974">
        <f t="shared" si="40"/>
        <v>215.18276434885712</v>
      </c>
      <c r="AC78" s="974">
        <f t="shared" si="41"/>
        <v>82.733446898158206</v>
      </c>
      <c r="AD78" s="974">
        <f t="shared" si="42"/>
        <v>307.44738909590689</v>
      </c>
      <c r="AE78" s="973">
        <f t="shared" si="47"/>
        <v>4582.9875390762154</v>
      </c>
      <c r="AF78" s="974">
        <f t="shared" si="43"/>
        <v>3839.5352600750457</v>
      </c>
      <c r="AG78" s="974">
        <f t="shared" si="44"/>
        <v>9565.5552074146344</v>
      </c>
      <c r="AH78" s="974">
        <f t="shared" si="45"/>
        <v>-4982.5676683384163</v>
      </c>
      <c r="AI78" s="975">
        <f t="shared" si="46"/>
        <v>-1143.0324082633699</v>
      </c>
    </row>
    <row r="79" spans="2:35" x14ac:dyDescent="0.3">
      <c r="B79" s="900">
        <v>15</v>
      </c>
      <c r="C79" s="922">
        <f>'Energy Inputs'!F44</f>
        <v>1</v>
      </c>
      <c r="D79" s="918">
        <f>C79*'Energy Inputs'!$F$24</f>
        <v>10</v>
      </c>
      <c r="E79" s="197">
        <f>'Energy margins'!$S$12</f>
        <v>43.75</v>
      </c>
      <c r="F79" s="197">
        <f t="shared" si="34"/>
        <v>437.5</v>
      </c>
      <c r="G79" s="918">
        <f>'Energy Inputs'!$D$10</f>
        <v>330</v>
      </c>
      <c r="H79" s="197">
        <f t="shared" si="35"/>
        <v>767.5</v>
      </c>
      <c r="I79" s="197"/>
      <c r="J79" s="947">
        <f>IF(ISERROR(IF(MOD(IF(AND(B79&gt;='Energy margins'!$T$44,B79&lt;='Energy margins'!$U$44),B79-'Energy margins'!$T$44,""),'Energy margins'!$V$44)=0,'Energy margins'!$S$44,0)),0,IF(MOD(IF(AND(B79&gt;='Energy margins'!$T$44,B79&lt;='Energy margins'!$U$44),B79-'Energy margins'!$T$44,""),'Energy margins'!$V$44)=0,'Energy margins'!$S$44,0))</f>
        <v>0</v>
      </c>
      <c r="K79" s="918">
        <f>IF(ISERROR(IF(MOD(IF(AND(B79&gt;='Energy margins'!$T$45,B79&lt;='Energy margins'!$U$45),B79-'Energy margins'!$T$45,""),'Energy margins'!$V$45)=0,'Energy margins'!$S$45,0)),0,IF(MOD(IF(AND(B79&gt;='Energy margins'!$T$45,B79&lt;='Energy margins'!$U$45),B79-'Energy margins'!$T$45,""),'Energy margins'!$V$45)=0,'Energy margins'!$S$45,0))</f>
        <v>0</v>
      </c>
      <c r="L79" s="918">
        <f>IF(ISERROR(IF(MOD(IF(AND(B79&gt;='Energy margins'!$T$46,B79&lt;='Energy margins'!$U$46),B79-'Energy margins'!$T$46,""),'Energy margins'!$V$46)=0,'Energy margins'!$S$46,0)),0,IF(MOD(IF(AND(B79&gt;='Energy margins'!$T$46,B79&lt;='Energy margins'!$U$46),B79-'Energy margins'!$T$46,""),'Energy margins'!$V$46)=0,'Energy margins'!$S$46,0))</f>
        <v>0</v>
      </c>
      <c r="M79" s="918">
        <f>IF(ISERROR(IF(MOD(IF(AND(B79&gt;='Energy margins'!$T$47,B79&lt;='Energy margins'!$U$47),B79-'Energy margins'!$T$47,""),'Energy margins'!$V$47)=0,'Energy margins'!$S$47,0)),0,IF(MOD(IF(AND(B79&gt;='Energy margins'!$T$47,B79&lt;='Energy margins'!$U$47),B79-'Energy margins'!$T$47,""),'Energy margins'!$V$47)=0,'Energy margins'!$S$47,0))</f>
        <v>19.974783999999993</v>
      </c>
      <c r="N79" s="918">
        <f>IF(ISERROR(IF(MOD(IF(AND(B79&gt;='Energy margins'!$T$50,B79&lt;='Energy margins'!$U$50),B79-'Energy margins'!$T$50,""),'Energy margins'!$V$50)=0,'Energy margins'!$S$50,0)),0,IF(MOD(IF(AND(B79&gt;='Energy margins'!$T$50,B79&lt;='Energy margins'!$U$50),B79-'Energy margins'!$T$50,""),'Energy margins'!$V$50)=0,'Energy margins'!$S$50,0))</f>
        <v>73.676000000000002</v>
      </c>
      <c r="O79" s="918">
        <f>IF(ISERROR(IF(MOD(IF(AND(B79&gt;='Energy margins'!$T$53,B79&lt;='Energy margins'!$U$53),B79-'Energy margins'!$T$53,""),'Energy margins'!$V$53)=0,'Energy margins'!$S$53,0)),0,IF(MOD(IF(AND(B79&gt;='Energy margins'!$T$53,B79&lt;='Energy margins'!$U$53),B79-'Energy margins'!$T$53,""),'Energy margins'!$V$53)=0,'Energy margins'!$S$53,0))</f>
        <v>66.638359999999992</v>
      </c>
      <c r="P79" s="918">
        <f>IF(ISERROR(IF(MOD(IF(AND(B79&gt;='Energy margins'!$T$56,B79&lt;='Energy margins'!$U$56),B79-'Energy margins'!$T$56,""),'Energy margins'!$V$56)=0,'Energy margins'!$S$56,0)),0,IF(MOD(IF(AND(B79&gt;='Energy margins'!$T$56,B79&lt;='Energy margins'!$U$56),B79-'Energy margins'!$T$56,""),'Energy margins'!$V$56)=0,'Energy margins'!$S$56,0))</f>
        <v>42.713999999999999</v>
      </c>
      <c r="Q79" s="918">
        <f>IF(ISERROR(IF(MOD(IF(AND(B79&gt;='Energy margins'!$T$59,B79&lt;='Energy margins'!$U$59),B79-'Energy margins'!$T$59,""),'Energy margins'!$V$59)=0,'Energy margins'!$S$59,0)),0,IF(MOD(IF(AND(B79&gt;='Energy margins'!$T$59,B79&lt;='Energy margins'!$U$59),B79-'Energy margins'!$T$59,""),'Energy margins'!$V$59)=0,'Energy margins'!$S$59,0))</f>
        <v>112.99999999999999</v>
      </c>
      <c r="R79" s="918">
        <f>IF(ISERROR(IF(MOD(IF(AND(B79&gt;='Energy margins'!$T$60,B79&lt;='Energy margins'!$U$60),B79-'Energy margins'!$T$60,""),'Energy margins'!$V$60)=0,'Energy margins'!$S$60,0)),0,IF(MOD(IF(AND(B79&gt;='Energy margins'!$T$60,B79&lt;='Energy margins'!$U$60),B79-'Energy margins'!$T$60,""),'Energy margins'!$V$60)=0,'Energy margins'!$S$60,0))</f>
        <v>0</v>
      </c>
      <c r="S79" s="918">
        <f>IF(ISERROR(IF(MOD(IF(AND(B79&gt;='Energy margins'!$T$61,B79&lt;='Energy margins'!$U$61),B79-'Energy margins'!$T$61,""),'Energy margins'!$V$61)=0,'Energy margins'!$S$61,0)),0,IF(MOD(IF(AND(B79&gt;='Energy margins'!$T$61,B79&lt;='Energy margins'!$U$61),B79-'Energy margins'!$T$61,""),'Energy margins'!$V$61)=0,'Energy margins'!$S$61,0))</f>
        <v>0</v>
      </c>
      <c r="T79" s="918">
        <f>IF(ISERROR(IF(MOD(IF(AND(B79&gt;='Energy margins'!$T$62,B79&lt;='Energy margins'!$U$62),B79-'Energy margins'!$T$62,""),'Energy margins'!$V$62)=0,'Energy margins'!$S$62,0)),0,IF(MOD(IF(AND(B79&gt;='Energy margins'!$T$62,B79&lt;='Energy margins'!$U$62),B79-'Energy margins'!$T$62,""),'Energy margins'!$V$62)=0,'Energy margins'!$S$62,0))</f>
        <v>0</v>
      </c>
      <c r="U79" s="944">
        <f t="shared" si="36"/>
        <v>316.00314399999996</v>
      </c>
      <c r="V79" s="197"/>
      <c r="W79" s="197">
        <f t="shared" si="37"/>
        <v>316.00314399999996</v>
      </c>
      <c r="X79" s="197">
        <f t="shared" si="31"/>
        <v>121.49685600000004</v>
      </c>
      <c r="Y79" s="197">
        <f t="shared" si="32"/>
        <v>451.49685600000004</v>
      </c>
      <c r="Z79" s="973">
        <f t="shared" si="38"/>
        <v>289.23904004564594</v>
      </c>
      <c r="AA79" s="974">
        <f t="shared" si="39"/>
        <v>218.16887592014436</v>
      </c>
      <c r="AB79" s="974">
        <f t="shared" si="40"/>
        <v>208.91530519306517</v>
      </c>
      <c r="AC79" s="974">
        <f t="shared" si="41"/>
        <v>80.32373485258077</v>
      </c>
      <c r="AD79" s="974">
        <f t="shared" si="42"/>
        <v>298.49261077272513</v>
      </c>
      <c r="AE79" s="973">
        <f t="shared" si="47"/>
        <v>4872.2265791218615</v>
      </c>
      <c r="AF79" s="974">
        <f t="shared" si="43"/>
        <v>4057.70413599519</v>
      </c>
      <c r="AG79" s="974">
        <f t="shared" si="44"/>
        <v>9774.4705126076988</v>
      </c>
      <c r="AH79" s="974">
        <f t="shared" si="45"/>
        <v>-4902.2439334858354</v>
      </c>
      <c r="AI79" s="975">
        <f t="shared" si="46"/>
        <v>-844.53979749064479</v>
      </c>
    </row>
    <row r="80" spans="2:35" x14ac:dyDescent="0.3">
      <c r="B80" s="901">
        <v>16</v>
      </c>
      <c r="C80" s="919">
        <f>'Energy Inputs'!F45</f>
        <v>1</v>
      </c>
      <c r="D80" s="919">
        <f>C80*'Energy Inputs'!$F$24</f>
        <v>10</v>
      </c>
      <c r="E80" s="207">
        <f>'Energy margins'!$S$12</f>
        <v>43.75</v>
      </c>
      <c r="F80" s="207">
        <f t="shared" si="34"/>
        <v>437.5</v>
      </c>
      <c r="G80" s="919">
        <f>'Energy Inputs'!$D$10</f>
        <v>330</v>
      </c>
      <c r="H80" s="207">
        <f t="shared" si="35"/>
        <v>767.5</v>
      </c>
      <c r="I80" s="207"/>
      <c r="J80" s="948">
        <f>IF(ISERROR(IF(MOD(IF(AND(B80&gt;='Energy margins'!$T$44,B80&lt;='Energy margins'!$U$44),B80-'Energy margins'!$T$44,""),'Energy margins'!$V$44)=0,'Energy margins'!$S$44,0)),0,IF(MOD(IF(AND(B80&gt;='Energy margins'!$T$44,B80&lt;='Energy margins'!$U$44),B80-'Energy margins'!$T$44,""),'Energy margins'!$V$44)=0,'Energy margins'!$S$44,0))</f>
        <v>0</v>
      </c>
      <c r="K80" s="919">
        <f>IF(ISERROR(IF(MOD(IF(AND(B80&gt;='Energy margins'!$T$45,B80&lt;='Energy margins'!$U$45),B80-'Energy margins'!$T$45,""),'Energy margins'!$V$45)=0,'Energy margins'!$S$45,0)),0,IF(MOD(IF(AND(B80&gt;='Energy margins'!$T$45,B80&lt;='Energy margins'!$U$45),B80-'Energy margins'!$T$45,""),'Energy margins'!$V$45)=0,'Energy margins'!$S$45,0))</f>
        <v>0</v>
      </c>
      <c r="L80" s="919">
        <f>IF(ISERROR(IF(MOD(IF(AND(B80&gt;='Energy margins'!$T$46,B80&lt;='Energy margins'!$U$46),B80-'Energy margins'!$T$46,""),'Energy margins'!$V$46)=0,'Energy margins'!$S$46,0)),0,IF(MOD(IF(AND(B80&gt;='Energy margins'!$T$46,B80&lt;='Energy margins'!$U$46),B80-'Energy margins'!$T$46,""),'Energy margins'!$V$46)=0,'Energy margins'!$S$46,0))</f>
        <v>0</v>
      </c>
      <c r="M80" s="919">
        <f>IF(ISERROR(IF(MOD(IF(AND(B80&gt;='Energy margins'!$T$47,B80&lt;='Energy margins'!$U$47),B80-'Energy margins'!$T$47,""),'Energy margins'!$V$47)=0,'Energy margins'!$S$47,0)),0,IF(MOD(IF(AND(B80&gt;='Energy margins'!$T$47,B80&lt;='Energy margins'!$U$47),B80-'Energy margins'!$T$47,""),'Energy margins'!$V$47)=0,'Energy margins'!$S$47,0))</f>
        <v>19.974783999999993</v>
      </c>
      <c r="N80" s="919">
        <f>IF(ISERROR(IF(MOD(IF(AND(B80&gt;='Energy margins'!$T$50,B80&lt;='Energy margins'!$U$50),B80-'Energy margins'!$T$50,""),'Energy margins'!$V$50)=0,'Energy margins'!$S$50,0)),0,IF(MOD(IF(AND(B80&gt;='Energy margins'!$T$50,B80&lt;='Energy margins'!$U$50),B80-'Energy margins'!$T$50,""),'Energy margins'!$V$50)=0,'Energy margins'!$S$50,0))</f>
        <v>73.676000000000002</v>
      </c>
      <c r="O80" s="919">
        <f>IF(ISERROR(IF(MOD(IF(AND(B80&gt;='Energy margins'!$T$53,B80&lt;='Energy margins'!$U$53),B80-'Energy margins'!$T$53,""),'Energy margins'!$V$53)=0,'Energy margins'!$S$53,0)),0,IF(MOD(IF(AND(B80&gt;='Energy margins'!$T$53,B80&lt;='Energy margins'!$U$53),B80-'Energy margins'!$T$53,""),'Energy margins'!$V$53)=0,'Energy margins'!$S$53,0))</f>
        <v>66.638359999999992</v>
      </c>
      <c r="P80" s="919">
        <f>IF(ISERROR(IF(MOD(IF(AND(B80&gt;='Energy margins'!$T$56,B80&lt;='Energy margins'!$U$56),B80-'Energy margins'!$T$56,""),'Energy margins'!$V$56)=0,'Energy margins'!$S$56,0)),0,IF(MOD(IF(AND(B80&gt;='Energy margins'!$T$56,B80&lt;='Energy margins'!$U$56),B80-'Energy margins'!$T$56,""),'Energy margins'!$V$56)=0,'Energy margins'!$S$56,0))</f>
        <v>42.713999999999999</v>
      </c>
      <c r="Q80" s="919">
        <f>IF(ISERROR(IF(MOD(IF(AND(B80&gt;='Energy margins'!$T$59,B80&lt;='Energy margins'!$U$59),B80-'Energy margins'!$T$59,""),'Energy margins'!$V$59)=0,'Energy margins'!$S$59,0)),0,IF(MOD(IF(AND(B80&gt;='Energy margins'!$T$59,B80&lt;='Energy margins'!$U$59),B80-'Energy margins'!$T$59,""),'Energy margins'!$V$59)=0,'Energy margins'!$S$59,0))</f>
        <v>0</v>
      </c>
      <c r="R80" s="919">
        <f>IF(ISERROR(IF(MOD(IF(AND(B80&gt;='Energy margins'!$T$60,B80&lt;='Energy margins'!$U$60),B80-'Energy margins'!$T$60,""),'Energy margins'!$V$60)=0,'Energy margins'!$S$60,0)),0,IF(MOD(IF(AND(B80&gt;='Energy margins'!$T$60,B80&lt;='Energy margins'!$U$60),B80-'Energy margins'!$T$60,""),'Energy margins'!$V$60)=0,'Energy margins'!$S$60,0))</f>
        <v>0</v>
      </c>
      <c r="S80" s="919">
        <f>IF(ISERROR(IF(MOD(IF(AND(B80&gt;='Energy margins'!$T$61,B80&lt;='Energy margins'!$U$61),B80-'Energy margins'!$T$61,""),'Energy margins'!$V$61)=0,'Energy margins'!$S$61,0)),0,IF(MOD(IF(AND(B80&gt;='Energy margins'!$T$61,B80&lt;='Energy margins'!$U$61),B80-'Energy margins'!$T$61,""),'Energy margins'!$V$61)=0,'Energy margins'!$S$61,0))</f>
        <v>0</v>
      </c>
      <c r="T80" s="919">
        <f>IF(ISERROR(IF(MOD(IF(AND(B80&gt;='Energy margins'!$T$62,B80&lt;='Energy margins'!$U$62),B80-'Energy margins'!$T$62,""),'Energy margins'!$V$62)=0,'Energy margins'!$S$62,0)),0,IF(MOD(IF(AND(B80&gt;='Energy margins'!$T$62,B80&lt;='Energy margins'!$U$62),B80-'Energy margins'!$T$62,""),'Energy margins'!$V$62)=0,'Energy margins'!$S$62,0))</f>
        <v>0</v>
      </c>
      <c r="U80" s="946">
        <f t="shared" si="36"/>
        <v>203.00314399999996</v>
      </c>
      <c r="V80" s="207">
        <f>'Energy margins'!X67</f>
        <v>192.1</v>
      </c>
      <c r="W80" s="207">
        <f t="shared" si="37"/>
        <v>395.10314399999993</v>
      </c>
      <c r="X80" s="207">
        <f t="shared" si="31"/>
        <v>42.396856000000071</v>
      </c>
      <c r="Y80" s="207">
        <f t="shared" si="32"/>
        <v>372.39685600000007</v>
      </c>
      <c r="Z80" s="976">
        <f t="shared" si="38"/>
        <v>280.81460198606396</v>
      </c>
      <c r="AA80" s="977">
        <f t="shared" si="39"/>
        <v>211.81444264091684</v>
      </c>
      <c r="AB80" s="977">
        <f t="shared" si="40"/>
        <v>253.60167343040573</v>
      </c>
      <c r="AC80" s="977">
        <f t="shared" si="41"/>
        <v>27.212928555658259</v>
      </c>
      <c r="AD80" s="978">
        <f t="shared" si="42"/>
        <v>239.0273711965751</v>
      </c>
      <c r="AE80" s="976">
        <f t="shared" si="47"/>
        <v>5153.0411811079257</v>
      </c>
      <c r="AF80" s="977">
        <f t="shared" si="43"/>
        <v>4269.5185786361071</v>
      </c>
      <c r="AG80" s="977">
        <f t="shared" si="44"/>
        <v>10028.072186038104</v>
      </c>
      <c r="AH80" s="977">
        <f t="shared" si="45"/>
        <v>-4875.031004930177</v>
      </c>
      <c r="AI80" s="978">
        <f t="shared" si="46"/>
        <v>-605.51242629406966</v>
      </c>
    </row>
    <row r="83" spans="2:35" x14ac:dyDescent="0.3">
      <c r="J83" t="s">
        <v>546</v>
      </c>
      <c r="K83" t="s">
        <v>550</v>
      </c>
    </row>
    <row r="84" spans="2:35" x14ac:dyDescent="0.3">
      <c r="J84" t="s">
        <v>547</v>
      </c>
      <c r="K84" t="s">
        <v>551</v>
      </c>
    </row>
    <row r="85" spans="2:35" x14ac:dyDescent="0.3">
      <c r="J85" t="s">
        <v>548</v>
      </c>
      <c r="K85" t="s">
        <v>552</v>
      </c>
    </row>
    <row r="86" spans="2:35" x14ac:dyDescent="0.3">
      <c r="J86" t="s">
        <v>549</v>
      </c>
      <c r="K86" t="s">
        <v>553</v>
      </c>
    </row>
    <row r="87" spans="2:35" x14ac:dyDescent="0.3">
      <c r="B87" s="228" t="s">
        <v>436</v>
      </c>
      <c r="C87" s="231"/>
      <c r="D87" s="231"/>
      <c r="E87" s="231"/>
      <c r="F87" s="194"/>
      <c r="G87" s="193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</row>
    <row r="88" spans="2:35" x14ac:dyDescent="0.3">
      <c r="B88" s="203"/>
      <c r="C88" s="148"/>
      <c r="D88" s="148"/>
      <c r="E88" s="148"/>
      <c r="F88" s="1108"/>
      <c r="G88" s="1108"/>
      <c r="H88" s="1108"/>
      <c r="I88" s="148"/>
      <c r="J88" s="930" t="s">
        <v>85</v>
      </c>
      <c r="K88" s="931"/>
      <c r="L88" s="931"/>
      <c r="M88" s="931"/>
      <c r="N88" s="931"/>
      <c r="O88" s="931"/>
      <c r="P88" s="931"/>
      <c r="Q88" s="931"/>
      <c r="R88" s="931"/>
      <c r="S88" s="931"/>
      <c r="T88" s="931"/>
      <c r="U88" s="932"/>
      <c r="V88" s="1108"/>
      <c r="W88" s="1108"/>
      <c r="X88" s="148"/>
      <c r="Y88" s="148"/>
      <c r="Z88" s="1109" t="s">
        <v>270</v>
      </c>
      <c r="AA88" s="1110"/>
      <c r="AB88" s="1110"/>
      <c r="AC88" s="1110"/>
      <c r="AD88" s="1111"/>
      <c r="AE88" s="1109" t="s">
        <v>271</v>
      </c>
      <c r="AF88" s="1110"/>
      <c r="AG88" s="1110"/>
      <c r="AH88" s="1110"/>
      <c r="AI88" s="1111"/>
    </row>
    <row r="89" spans="2:35" ht="51" x14ac:dyDescent="0.3">
      <c r="B89" s="204" t="s">
        <v>272</v>
      </c>
      <c r="C89" s="205" t="s">
        <v>533</v>
      </c>
      <c r="D89" s="205" t="s">
        <v>289</v>
      </c>
      <c r="E89" s="205" t="s">
        <v>290</v>
      </c>
      <c r="F89" s="171" t="s">
        <v>676</v>
      </c>
      <c r="G89" s="171" t="s">
        <v>672</v>
      </c>
      <c r="H89" s="171" t="s">
        <v>677</v>
      </c>
      <c r="I89" s="205" t="s">
        <v>287</v>
      </c>
      <c r="J89" s="955" t="s">
        <v>250</v>
      </c>
      <c r="K89" s="956" t="s">
        <v>32</v>
      </c>
      <c r="L89" s="956" t="s">
        <v>520</v>
      </c>
      <c r="M89" s="956" t="s">
        <v>144</v>
      </c>
      <c r="N89" s="957" t="s">
        <v>539</v>
      </c>
      <c r="O89" s="957" t="s">
        <v>540</v>
      </c>
      <c r="P89" s="957" t="s">
        <v>541</v>
      </c>
      <c r="Q89" s="958" t="s">
        <v>177</v>
      </c>
      <c r="R89" s="958" t="s">
        <v>462</v>
      </c>
      <c r="S89" s="959" t="s">
        <v>463</v>
      </c>
      <c r="T89" s="958" t="s">
        <v>464</v>
      </c>
      <c r="U89" s="960" t="s">
        <v>288</v>
      </c>
      <c r="V89" s="205" t="s">
        <v>291</v>
      </c>
      <c r="W89" s="171" t="s">
        <v>276</v>
      </c>
      <c r="X89" s="171" t="s">
        <v>678</v>
      </c>
      <c r="Y89" s="171" t="s">
        <v>679</v>
      </c>
      <c r="Z89" s="195" t="s">
        <v>277</v>
      </c>
      <c r="AA89" s="171" t="s">
        <v>680</v>
      </c>
      <c r="AB89" s="171" t="s">
        <v>278</v>
      </c>
      <c r="AC89" s="171" t="s">
        <v>681</v>
      </c>
      <c r="AD89" s="198" t="s">
        <v>279</v>
      </c>
      <c r="AE89" s="195" t="s">
        <v>280</v>
      </c>
      <c r="AF89" s="171" t="s">
        <v>682</v>
      </c>
      <c r="AG89" s="171" t="s">
        <v>281</v>
      </c>
      <c r="AH89" s="171" t="s">
        <v>683</v>
      </c>
      <c r="AI89" s="198" t="s">
        <v>282</v>
      </c>
    </row>
    <row r="90" spans="2:35" x14ac:dyDescent="0.3">
      <c r="B90" s="173"/>
      <c r="C90" s="226" t="s">
        <v>534</v>
      </c>
      <c r="D90" s="226" t="s">
        <v>332</v>
      </c>
      <c r="E90" s="226" t="s">
        <v>569</v>
      </c>
      <c r="F90" s="226" t="s">
        <v>567</v>
      </c>
      <c r="G90" s="226" t="s">
        <v>567</v>
      </c>
      <c r="H90" s="226" t="s">
        <v>567</v>
      </c>
      <c r="I90" s="226" t="s">
        <v>567</v>
      </c>
      <c r="J90" s="951" t="s">
        <v>567</v>
      </c>
      <c r="K90" s="952" t="s">
        <v>567</v>
      </c>
      <c r="L90" s="952" t="s">
        <v>567</v>
      </c>
      <c r="M90" s="952" t="s">
        <v>567</v>
      </c>
      <c r="N90" s="952" t="s">
        <v>567</v>
      </c>
      <c r="O90" s="952" t="s">
        <v>567</v>
      </c>
      <c r="P90" s="952" t="s">
        <v>567</v>
      </c>
      <c r="Q90" s="953" t="s">
        <v>567</v>
      </c>
      <c r="R90" s="953" t="s">
        <v>567</v>
      </c>
      <c r="S90" s="953" t="s">
        <v>567</v>
      </c>
      <c r="T90" s="953" t="s">
        <v>569</v>
      </c>
      <c r="U90" s="954" t="s">
        <v>567</v>
      </c>
      <c r="V90" s="226" t="s">
        <v>567</v>
      </c>
      <c r="W90" s="226" t="s">
        <v>567</v>
      </c>
      <c r="X90" s="226" t="s">
        <v>567</v>
      </c>
      <c r="Y90" s="730" t="s">
        <v>567</v>
      </c>
      <c r="Z90" s="226" t="s">
        <v>567</v>
      </c>
      <c r="AA90" s="226" t="s">
        <v>567</v>
      </c>
      <c r="AB90" s="226" t="s">
        <v>567</v>
      </c>
      <c r="AC90" s="226" t="s">
        <v>567</v>
      </c>
      <c r="AD90" s="730" t="s">
        <v>567</v>
      </c>
      <c r="AE90" s="226" t="s">
        <v>567</v>
      </c>
      <c r="AF90" s="226" t="s">
        <v>567</v>
      </c>
      <c r="AG90" s="226" t="s">
        <v>567</v>
      </c>
      <c r="AH90" s="226" t="s">
        <v>567</v>
      </c>
      <c r="AI90" s="730" t="s">
        <v>567</v>
      </c>
    </row>
    <row r="91" spans="2:35" x14ac:dyDescent="0.3">
      <c r="B91" s="899">
        <v>1</v>
      </c>
      <c r="C91" s="922">
        <f>'Energy Inputs'!G30</f>
        <v>0</v>
      </c>
      <c r="D91" s="918">
        <f>C91*'Energy Inputs'!$G$24</f>
        <v>0</v>
      </c>
      <c r="E91" s="197">
        <f>'Energy margins'!$Z$12</f>
        <v>43.75</v>
      </c>
      <c r="F91" s="197">
        <f>D91*E91</f>
        <v>0</v>
      </c>
      <c r="G91" s="928">
        <f>'Energy Inputs'!$D$10</f>
        <v>330</v>
      </c>
      <c r="H91" s="197">
        <f>F91+G91</f>
        <v>330</v>
      </c>
      <c r="I91" s="197">
        <f>'Margins summary'!V20</f>
        <v>2769.6868439999998</v>
      </c>
      <c r="J91" s="964">
        <f>IF(ISERROR(IF(MOD(IF(AND(B91&gt;='Energy margins'!$AA$44,B91&lt;='Energy margins'!$AB$44),B91-'Energy margins'!$AA$44,""),'Energy margins'!$AC$44)=0,'Energy margins'!$Z$44,0)),0,IF(MOD(IF(AND(B91&gt;='Energy margins'!$AA$44,B91&lt;='Energy margins'!$AB$44),B91-'Energy margins'!$AA$44,""),'Energy margins'!$AC$44)=0,'Energy margins'!$Z$44,0))</f>
        <v>0</v>
      </c>
      <c r="K91" s="928">
        <f>IF(ISERROR(IF(MOD(IF(AND(B91&gt;='Energy margins'!$AA$45,B91&lt;='Energy margins'!$AB$45),B91-'Energy margins'!$AA$45,""),'Energy margins'!$AC$45)=0,'Energy margins'!$Z$45,0)),0,IF(MOD(IF(AND(B91&gt;='Energy margins'!$AA$45,B91&lt;='Energy margins'!$AB$45),B91-'Energy margins'!$AA$45,""),'Energy margins'!$AC$45)=0,'Energy margins'!$Z$45,0))</f>
        <v>0</v>
      </c>
      <c r="L91" s="928">
        <f>IF(ISERROR(IF(MOD(IF(AND(B91&gt;='Energy margins'!$AA$46,B91&lt;='Energy margins'!$AB$46),B91-'Energy margins'!$AA$46,""),'Energy margins'!$AC$46)=0,'Energy margins'!$Z$46,0)),0,IF(MOD(IF(AND(B91&gt;='Energy margins'!$AA$46,B91&lt;='Energy margins'!$AB$46),B91-'Energy margins'!$AA$46,""),'Energy margins'!$AC$46)=0,'Energy margins'!$Z$46,0))</f>
        <v>0</v>
      </c>
      <c r="M91" s="928">
        <f>IF(ISERROR(IF(MOD(IF(AND(B91&gt;='Energy margins'!$AA$47,B91&lt;='Energy margins'!$AB$47),B91-'Energy margins'!$AA$47,""),'Energy margins'!$AC$47)=0,'Energy margins'!$Z$47,0)),0,IF(MOD(IF(AND(B91&gt;='Energy margins'!$AA$47,B91&lt;='Energy margins'!$AB$47),B91-'Energy margins'!$AA$47,""),'Energy margins'!$AC$47)=0,'Energy margins'!$Z$47,0))</f>
        <v>0</v>
      </c>
      <c r="N91" s="928">
        <f>IF(ISERROR(IF(MOD(IF(AND(B91&gt;='Energy margins'!$AA$50,B91&lt;='Energy margins'!$AB$50),B91-'Energy margins'!$AA$50,""),'Energy margins'!$AC$50)=0,'Energy margins'!$Z$50,0)),0,IF(MOD(IF(AND(B91&gt;='Energy margins'!$AA$50,B91&lt;='Energy margins'!$AB$50),B91-'Energy margins'!$AA$50,""),'Energy margins'!$AC$50)=0,'Energy margins'!$Z$50,0))</f>
        <v>0</v>
      </c>
      <c r="O91" s="928">
        <f>IF(ISERROR(IF(MOD(IF(AND(B91&gt;='Energy margins'!$AA$53,B91&lt;='Energy margins'!$AB$53),B91-'Energy margins'!$AA$53,""),'Energy margins'!$AC$53)=0,'Energy margins'!$Z$53,0)),0,IF(MOD(IF(AND(B91&gt;='Energy margins'!$AA$53,B91&lt;='Energy margins'!$AB$53),B91-'Energy margins'!$AA$53,""),'Energy margins'!$AC$53)=0,'Energy margins'!$Z$53,0))</f>
        <v>0</v>
      </c>
      <c r="P91" s="928">
        <f>IF(ISERROR(IF(MOD(IF(AND(B91&gt;='Energy margins'!$AA$56,B91&lt;='Energy margins'!$AB$56),B91-'Energy margins'!$AA$56,""),'Energy margins'!$AC$56)=0,'Energy margins'!$Z$56,0)),0,IF(MOD(IF(AND(B91&gt;='Energy margins'!$AA$56,B91&lt;='Energy margins'!$AB$56),B91-'Energy margins'!$AA$56,""),'Energy margins'!$AC$56)=0,'Energy margins'!$Z$56,0))</f>
        <v>0</v>
      </c>
      <c r="Q91" s="928">
        <f>IF(ISERROR(IF(MOD(IF(AND(B91&gt;='Energy margins'!$AA$59,B91&lt;='Energy margins'!$AB$59),B91-'Energy margins'!$AA$59,""),'Energy margins'!$AC$59)=0,'Energy margins'!$Z$59,0)),0,IF(MOD(IF(AND(B91&gt;='Energy margins'!$AA$59,B91&lt;='Energy margins'!$AB$59),B91-'Energy margins'!$AA$59,""),'Energy margins'!$AC$59)=0,'Energy margins'!$Z$59,0))</f>
        <v>0</v>
      </c>
      <c r="R91" s="928">
        <f>IF(ISERROR(IF(MOD(IF(AND(B91&gt;='Energy margins'!$AA$60,B91&lt;='Energy margins'!$AB$60),B91-'Energy margins'!$AA$60,""),'Energy margins'!$AC$60)=0,'Energy margins'!$Z$60,0)),0,IF(MOD(IF(AND(B91&gt;='Energy margins'!$AA$60,B91&lt;='Energy margins'!$AB$60),B91-'Energy margins'!$AA$60,""),'Energy margins'!$AC$60)=0,'Energy margins'!$Z$60,0))</f>
        <v>0</v>
      </c>
      <c r="S91" s="928">
        <f>IF(ISERROR(IF(MOD(IF(AND(B91&gt;='Energy margins'!$AA$61,B91&lt;='Energy margins'!$AB$61),B91-'Energy margins'!$AA$61,""),'Energy margins'!$AC$61)=0,'Energy margins'!$Z$61,0)),0,IF(MOD(IF(AND(B91&gt;='Energy margins'!$AA$61,B91&lt;='Energy margins'!$AB$61),B91-'Energy margins'!$AA$61,""),'Energy margins'!$AC$61)=0,'Energy margins'!$Z$61,0))</f>
        <v>0</v>
      </c>
      <c r="T91" s="928">
        <f>IF(ISERROR(IF(MOD(IF(AND(B91&gt;='Energy margins'!$AA$62,B91&lt;='Energy margins'!$AB$62),B91-'Energy margins'!$AA$62,""),'Energy margins'!$AC$62)=0,'Energy margins'!$Z$62,0)),0,IF(MOD(IF(AND(B91&gt;='Energy margins'!$AA$62,B91&lt;='Energy margins'!$AB$62),B91-'Energy margins'!$AA$62,""),'Energy margins'!$AC$62)=0,'Energy margins'!$Z$62,0))</f>
        <v>0</v>
      </c>
      <c r="U91" s="942">
        <f t="shared" ref="U91:U106" si="48">SUM(J91:T91)</f>
        <v>0</v>
      </c>
      <c r="V91" s="197"/>
      <c r="W91" s="197">
        <f>I91+U91+V91</f>
        <v>2769.6868439999998</v>
      </c>
      <c r="X91" s="197">
        <f t="shared" ref="X91:X106" si="49">F91-W91</f>
        <v>-2769.6868439999998</v>
      </c>
      <c r="Y91" s="197">
        <f t="shared" ref="Y91:Y106" si="50">H91-W91</f>
        <v>-2439.6868439999998</v>
      </c>
      <c r="Z91" s="973">
        <f>F91/(1+$C$6)^($B91-1)</f>
        <v>0</v>
      </c>
      <c r="AA91" s="974">
        <f>G91/((1+$C$6)^($B91-1))</f>
        <v>330</v>
      </c>
      <c r="AB91" s="974">
        <f>W91/(1+$C$6)^($B91-1)</f>
        <v>2769.6868439999998</v>
      </c>
      <c r="AC91" s="974">
        <f t="shared" ref="AC91:AD91" si="51">X91/(1+$C$6)^($B91-1)</f>
        <v>-2769.6868439999998</v>
      </c>
      <c r="AD91" s="974">
        <f t="shared" si="51"/>
        <v>-2439.6868439999998</v>
      </c>
      <c r="AE91" s="973">
        <f>Z91</f>
        <v>0</v>
      </c>
      <c r="AF91" s="974">
        <f>AA91</f>
        <v>330</v>
      </c>
      <c r="AG91" s="974">
        <f>AB91</f>
        <v>2769.6868439999998</v>
      </c>
      <c r="AH91" s="974">
        <f>AC91</f>
        <v>-2769.6868439999998</v>
      </c>
      <c r="AI91" s="975">
        <f>AD91</f>
        <v>-2439.6868439999998</v>
      </c>
    </row>
    <row r="92" spans="2:35" x14ac:dyDescent="0.3">
      <c r="B92" s="900">
        <v>2</v>
      </c>
      <c r="C92" s="922">
        <f>'Energy Inputs'!G31</f>
        <v>0.60940695296523517</v>
      </c>
      <c r="D92" s="918">
        <f>C92*'Energy Inputs'!$G$24</f>
        <v>9.1411042944785272</v>
      </c>
      <c r="E92" s="197">
        <f>'Energy margins'!$Z$12</f>
        <v>43.75</v>
      </c>
      <c r="F92" s="197">
        <f>D92*E92</f>
        <v>399.92331288343559</v>
      </c>
      <c r="G92" s="918">
        <f>'Energy Inputs'!$D$10</f>
        <v>330</v>
      </c>
      <c r="H92" s="197">
        <f t="shared" ref="H92:H106" si="52">F92+G92</f>
        <v>729.92331288343553</v>
      </c>
      <c r="I92" s="197"/>
      <c r="J92" s="947">
        <f>IF(ISERROR(IF(MOD(IF(AND(B92&gt;='Energy margins'!$AA$44,B92&lt;='Energy margins'!$AB$44),B92-'Energy margins'!$AA$44,""),'Energy margins'!$AC$44)=0,'Energy margins'!$Z$44,0)),0,IF(MOD(IF(AND(B92&gt;='Energy margins'!$AA$44,B92&lt;='Energy margins'!$AB$44),B92-'Energy margins'!$AA$44,""),'Energy margins'!$AC$44)=0,'Energy margins'!$Z$44,0))</f>
        <v>181.92999999999998</v>
      </c>
      <c r="K92" s="918">
        <f>IF(ISERROR(IF(MOD(IF(AND(B92&gt;='Energy margins'!$AA$45,B92&lt;='Energy margins'!$AB$45),B92-'Energy margins'!$AA$45,""),'Energy margins'!$AC$45)=0,'Energy margins'!$Z$45,0)),0,IF(MOD(IF(AND(B92&gt;='Energy margins'!$AA$45,B92&lt;='Energy margins'!$AB$45),B92-'Energy margins'!$AA$45,""),'Energy margins'!$AC$45)=0,'Energy margins'!$Z$45,0))</f>
        <v>0</v>
      </c>
      <c r="L92" s="918">
        <f>IF(ISERROR(IF(MOD(IF(AND(B92&gt;='Energy margins'!$AA$46,B92&lt;='Energy margins'!$AB$46),B92-'Energy margins'!$AA$46,""),'Energy margins'!$AC$46)=0,'Energy margins'!$Z$46,0)),0,IF(MOD(IF(AND(B92&gt;='Energy margins'!$AA$46,B92&lt;='Energy margins'!$AB$46),B92-'Energy margins'!$AA$46,""),'Energy margins'!$AC$46)=0,'Energy margins'!$Z$46,0))</f>
        <v>0</v>
      </c>
      <c r="M92" s="918">
        <f>IF(ISERROR(IF(MOD(IF(AND(B92&gt;='Energy margins'!$AA$47,B92&lt;='Energy margins'!$AB$47),B92-'Energy margins'!$AA$47,""),'Energy margins'!$AC$47)=0,'Energy margins'!$Z$47,0)),0,IF(MOD(IF(AND(B92&gt;='Energy margins'!$AA$47,B92&lt;='Energy margins'!$AB$47),B92-'Energy margins'!$AA$47,""),'Energy margins'!$AC$47)=0,'Energy margins'!$Z$47,0))</f>
        <v>19.974783999999993</v>
      </c>
      <c r="N92" s="918">
        <f>IF(ISERROR(IF(MOD(IF(AND(B92&gt;='Energy margins'!$AA$50,B92&lt;='Energy margins'!$AB$50),B92-'Energy margins'!$AA$50,""),'Energy margins'!$AC$50)=0,'Energy margins'!$Z$50,0)),0,IF(MOD(IF(AND(B92&gt;='Energy margins'!$AA$50,B92&lt;='Energy margins'!$AB$50),B92-'Energy margins'!$AA$50,""),'Energy margins'!$AC$50)=0,'Energy margins'!$Z$50,0))</f>
        <v>88.411199999999994</v>
      </c>
      <c r="O92" s="918">
        <f>IF(ISERROR(IF(MOD(IF(AND(B92&gt;='Energy margins'!$AA$53,B92&lt;='Energy margins'!$AB$53),B92-'Energy margins'!$AA$53,""),'Energy margins'!$AC$53)=0,'Energy margins'!$Z$53,0)),0,IF(MOD(IF(AND(B92&gt;='Energy margins'!$AA$53,B92&lt;='Energy margins'!$AB$53),B92-'Energy margins'!$AA$53,""),'Energy margins'!$AC$53)=0,'Energy margins'!$Z$53,0))</f>
        <v>66.638359999999992</v>
      </c>
      <c r="P92" s="918">
        <f>IF(ISERROR(IF(MOD(IF(AND(B92&gt;='Energy margins'!$AA$56,B92&lt;='Energy margins'!$AB$56),B92-'Energy margins'!$AA$56,""),'Energy margins'!$AC$56)=0,'Energy margins'!$Z$56,0)),0,IF(MOD(IF(AND(B92&gt;='Energy margins'!$AA$56,B92&lt;='Energy margins'!$AB$56),B92-'Energy margins'!$AA$56,""),'Energy margins'!$AC$56)=0,'Energy margins'!$Z$56,0))</f>
        <v>45.764999999999993</v>
      </c>
      <c r="Q92" s="918">
        <f>IF(ISERROR(IF(MOD(IF(AND(B92&gt;='Energy margins'!$AA$59,B92&lt;='Energy margins'!$AB$59),B92-'Energy margins'!$AA$59,""),'Energy margins'!$AC$59)=0,'Energy margins'!$Z$59,0)),0,IF(MOD(IF(AND(B92&gt;='Energy margins'!$AA$59,B92&lt;='Energy margins'!$AB$59),B92-'Energy margins'!$AA$59,""),'Energy margins'!$AC$59)=0,'Energy margins'!$Z$59,0))</f>
        <v>0</v>
      </c>
      <c r="R92" s="918">
        <f>IF(ISERROR(IF(MOD(IF(AND(B92&gt;='Energy margins'!$AA$60,B92&lt;='Energy margins'!$AB$60),B92-'Energy margins'!$AA$60,""),'Energy margins'!$AC$60)=0,'Energy margins'!$Z$60,0)),0,IF(MOD(IF(AND(B92&gt;='Energy margins'!$AA$60,B92&lt;='Energy margins'!$AB$60),B92-'Energy margins'!$AA$60,""),'Energy margins'!$AC$60)=0,'Energy margins'!$Z$60,0))</f>
        <v>0</v>
      </c>
      <c r="S92" s="918">
        <f>IF(ISERROR(IF(MOD(IF(AND(B92&gt;='Energy margins'!$AA$61,B92&lt;='Energy margins'!$AB$61),B92-'Energy margins'!$AA$61,""),'Energy margins'!$AC$61)=0,'Energy margins'!$Z$61,0)),0,IF(MOD(IF(AND(B92&gt;='Energy margins'!$AA$61,B92&lt;='Energy margins'!$AB$61),B92-'Energy margins'!$AA$61,""),'Energy margins'!$AC$61)=0,'Energy margins'!$Z$61,0))</f>
        <v>197.74999999999997</v>
      </c>
      <c r="T92" s="918">
        <f>IF(ISERROR(IF(MOD(IF(AND(B92&gt;='Energy margins'!$AA$62,B92&lt;='Energy margins'!$AB$62),B92-'Energy margins'!$AA$62,""),'Energy margins'!$AC$62)=0,'Energy margins'!$Z$62,0)),0,IF(MOD(IF(AND(B92&gt;='Energy margins'!$AA$62,B92&lt;='Energy margins'!$AB$62),B92-'Energy margins'!$AA$62,""),'Energy margins'!$AC$62)=0,'Energy margins'!$Z$62,0))</f>
        <v>0</v>
      </c>
      <c r="U92" s="944">
        <f t="shared" si="48"/>
        <v>600.46934399999986</v>
      </c>
      <c r="V92" s="197"/>
      <c r="W92" s="197">
        <f t="shared" ref="W92:W106" si="53">I92+U92+V92</f>
        <v>600.46934399999986</v>
      </c>
      <c r="X92" s="197">
        <f t="shared" si="49"/>
        <v>-200.54603111656428</v>
      </c>
      <c r="Y92" s="197">
        <f t="shared" si="50"/>
        <v>129.45396888343566</v>
      </c>
      <c r="Z92" s="973">
        <f t="shared" ref="Z92:Z106" si="54">F92/(1+$C$6)^($B92-1)</f>
        <v>388.27506105187922</v>
      </c>
      <c r="AA92" s="974">
        <f t="shared" ref="AA92:AA106" si="55">G92/((1+$C$6)^($B92-1))</f>
        <v>320.38834951456312</v>
      </c>
      <c r="AB92" s="974">
        <f t="shared" ref="AB92:AB106" si="56">W92/(1+$C$6)^($B92-1)</f>
        <v>582.97994563106784</v>
      </c>
      <c r="AC92" s="974">
        <f t="shared" ref="AC92:AC106" si="57">X92/(1+$C$6)^($B92-1)</f>
        <v>-194.70488457918862</v>
      </c>
      <c r="AD92" s="974">
        <f t="shared" ref="AD92:AD106" si="58">Y92/(1+$C$6)^($B92-1)</f>
        <v>125.68346493537443</v>
      </c>
      <c r="AE92" s="973">
        <f>AE91+Z92</f>
        <v>388.27506105187922</v>
      </c>
      <c r="AF92" s="974">
        <f t="shared" ref="AF92:AF106" si="59">AF91+AA92</f>
        <v>650.38834951456306</v>
      </c>
      <c r="AG92" s="974">
        <f t="shared" ref="AG92:AG106" si="60">AG91+AB92</f>
        <v>3352.6667896310678</v>
      </c>
      <c r="AH92" s="974">
        <f t="shared" ref="AH92:AH106" si="61">AH91+AC92</f>
        <v>-2964.3917285791886</v>
      </c>
      <c r="AI92" s="975">
        <f t="shared" ref="AI92:AI106" si="62">AI91+AD92</f>
        <v>-2314.0033790646253</v>
      </c>
    </row>
    <row r="93" spans="2:35" x14ac:dyDescent="0.3">
      <c r="B93" s="900">
        <v>3</v>
      </c>
      <c r="C93" s="922">
        <f>'Energy Inputs'!G32</f>
        <v>0.90184049079754602</v>
      </c>
      <c r="D93" s="918">
        <f>C93*'Energy Inputs'!$G$24</f>
        <v>13.52760736196319</v>
      </c>
      <c r="E93" s="197">
        <f>'Energy margins'!$Z$12</f>
        <v>43.75</v>
      </c>
      <c r="F93" s="197">
        <f t="shared" ref="F93:F106" si="63">D93*E93</f>
        <v>591.83282208588957</v>
      </c>
      <c r="G93" s="918">
        <f>'Energy Inputs'!$D$10</f>
        <v>330</v>
      </c>
      <c r="H93" s="197">
        <f t="shared" si="52"/>
        <v>921.83282208588957</v>
      </c>
      <c r="I93" s="197"/>
      <c r="J93" s="947">
        <f>IF(ISERROR(IF(MOD(IF(AND(B93&gt;='Energy margins'!$AA$44,B93&lt;='Energy margins'!$AB$44),B93-'Energy margins'!$AA$44,""),'Energy margins'!$AC$44)=0,'Energy margins'!$Z$44,0)),0,IF(MOD(IF(AND(B93&gt;='Energy margins'!$AA$44,B93&lt;='Energy margins'!$AB$44),B93-'Energy margins'!$AA$44,""),'Energy margins'!$AC$44)=0,'Energy margins'!$Z$44,0))</f>
        <v>181.92999999999998</v>
      </c>
      <c r="K93" s="918">
        <f>IF(ISERROR(IF(MOD(IF(AND(B93&gt;='Energy margins'!$AA$45,B93&lt;='Energy margins'!$AB$45),B93-'Energy margins'!$AA$45,""),'Energy margins'!$AC$45)=0,'Energy margins'!$Z$45,0)),0,IF(MOD(IF(AND(B93&gt;='Energy margins'!$AA$45,B93&lt;='Energy margins'!$AB$45),B93-'Energy margins'!$AA$45,""),'Energy margins'!$AC$45)=0,'Energy margins'!$Z$45,0))</f>
        <v>0</v>
      </c>
      <c r="L93" s="918">
        <f>IF(ISERROR(IF(MOD(IF(AND(B93&gt;='Energy margins'!$AA$46,B93&lt;='Energy margins'!$AB$46),B93-'Energy margins'!$AA$46,""),'Energy margins'!$AC$46)=0,'Energy margins'!$Z$46,0)),0,IF(MOD(IF(AND(B93&gt;='Energy margins'!$AA$46,B93&lt;='Energy margins'!$AB$46),B93-'Energy margins'!$AA$46,""),'Energy margins'!$AC$46)=0,'Energy margins'!$Z$46,0))</f>
        <v>0</v>
      </c>
      <c r="M93" s="918">
        <f>IF(ISERROR(IF(MOD(IF(AND(B93&gt;='Energy margins'!$AA$47,B93&lt;='Energy margins'!$AB$47),B93-'Energy margins'!$AA$47,""),'Energy margins'!$AC$47)=0,'Energy margins'!$Z$47,0)),0,IF(MOD(IF(AND(B93&gt;='Energy margins'!$AA$47,B93&lt;='Energy margins'!$AB$47),B93-'Energy margins'!$AA$47,""),'Energy margins'!$AC$47)=0,'Energy margins'!$Z$47,0))</f>
        <v>19.974783999999993</v>
      </c>
      <c r="N93" s="918">
        <f>IF(ISERROR(IF(MOD(IF(AND(B93&gt;='Energy margins'!$AA$50,B93&lt;='Energy margins'!$AB$50),B93-'Energy margins'!$AA$50,""),'Energy margins'!$AC$50)=0,'Energy margins'!$Z$50,0)),0,IF(MOD(IF(AND(B93&gt;='Energy margins'!$AA$50,B93&lt;='Energy margins'!$AB$50),B93-'Energy margins'!$AA$50,""),'Energy margins'!$AC$50)=0,'Energy margins'!$Z$50,0))</f>
        <v>88.411199999999994</v>
      </c>
      <c r="O93" s="918">
        <f>IF(ISERROR(IF(MOD(IF(AND(B93&gt;='Energy margins'!$AA$53,B93&lt;='Energy margins'!$AB$53),B93-'Energy margins'!$AA$53,""),'Energy margins'!$AC$53)=0,'Energy margins'!$Z$53,0)),0,IF(MOD(IF(AND(B93&gt;='Energy margins'!$AA$53,B93&lt;='Energy margins'!$AB$53),B93-'Energy margins'!$AA$53,""),'Energy margins'!$AC$53)=0,'Energy margins'!$Z$53,0))</f>
        <v>66.638359999999992</v>
      </c>
      <c r="P93" s="918">
        <f>IF(ISERROR(IF(MOD(IF(AND(B93&gt;='Energy margins'!$AA$56,B93&lt;='Energy margins'!$AB$56),B93-'Energy margins'!$AA$56,""),'Energy margins'!$AC$56)=0,'Energy margins'!$Z$56,0)),0,IF(MOD(IF(AND(B93&gt;='Energy margins'!$AA$56,B93&lt;='Energy margins'!$AB$56),B93-'Energy margins'!$AA$56,""),'Energy margins'!$AC$56)=0,'Energy margins'!$Z$56,0))</f>
        <v>45.764999999999993</v>
      </c>
      <c r="Q93" s="918">
        <f>IF(ISERROR(IF(MOD(IF(AND(B93&gt;='Energy margins'!$AA$59,B93&lt;='Energy margins'!$AB$59),B93-'Energy margins'!$AA$59,""),'Energy margins'!$AC$59)=0,'Energy margins'!$Z$59,0)),0,IF(MOD(IF(AND(B93&gt;='Energy margins'!$AA$59,B93&lt;='Energy margins'!$AB$59),B93-'Energy margins'!$AA$59,""),'Energy margins'!$AC$59)=0,'Energy margins'!$Z$59,0))</f>
        <v>0</v>
      </c>
      <c r="R93" s="918">
        <f>IF(ISERROR(IF(MOD(IF(AND(B93&gt;='Energy margins'!$AA$60,B93&lt;='Energy margins'!$AB$60),B93-'Energy margins'!$AA$60,""),'Energy margins'!$AC$60)=0,'Energy margins'!$Z$60,0)),0,IF(MOD(IF(AND(B93&gt;='Energy margins'!$AA$60,B93&lt;='Energy margins'!$AB$60),B93-'Energy margins'!$AA$60,""),'Energy margins'!$AC$60)=0,'Energy margins'!$Z$60,0))</f>
        <v>0</v>
      </c>
      <c r="S93" s="918">
        <f>IF(ISERROR(IF(MOD(IF(AND(B93&gt;='Energy margins'!$AA$61,B93&lt;='Energy margins'!$AB$61),B93-'Energy margins'!$AA$61,""),'Energy margins'!$AC$61)=0,'Energy margins'!$Z$61,0)),0,IF(MOD(IF(AND(B93&gt;='Energy margins'!$AA$61,B93&lt;='Energy margins'!$AB$61),B93-'Energy margins'!$AA$61,""),'Energy margins'!$AC$61)=0,'Energy margins'!$Z$61,0))</f>
        <v>197.74999999999997</v>
      </c>
      <c r="T93" s="918">
        <f>IF(ISERROR(IF(MOD(IF(AND(B93&gt;='Energy margins'!$AA$62,B93&lt;='Energy margins'!$AB$62),B93-'Energy margins'!$AA$62,""),'Energy margins'!$AC$62)=0,'Energy margins'!$Z$62,0)),0,IF(MOD(IF(AND(B93&gt;='Energy margins'!$AA$62,B93&lt;='Energy margins'!$AB$62),B93-'Energy margins'!$AA$62,""),'Energy margins'!$AC$62)=0,'Energy margins'!$Z$62,0))</f>
        <v>0</v>
      </c>
      <c r="U93" s="944">
        <f t="shared" si="48"/>
        <v>600.46934399999986</v>
      </c>
      <c r="V93" s="197"/>
      <c r="W93" s="197">
        <f t="shared" si="53"/>
        <v>600.46934399999986</v>
      </c>
      <c r="X93" s="197">
        <f t="shared" si="49"/>
        <v>-8.6365219141102898</v>
      </c>
      <c r="Y93" s="197">
        <f t="shared" si="50"/>
        <v>321.36347808588971</v>
      </c>
      <c r="Z93" s="973">
        <f t="shared" si="54"/>
        <v>557.85919698924465</v>
      </c>
      <c r="AA93" s="974">
        <f t="shared" si="55"/>
        <v>311.05665001413894</v>
      </c>
      <c r="AB93" s="974">
        <f t="shared" si="56"/>
        <v>565.99994721462895</v>
      </c>
      <c r="AC93" s="974">
        <f t="shared" si="57"/>
        <v>-8.140750225384382</v>
      </c>
      <c r="AD93" s="974">
        <f t="shared" si="58"/>
        <v>302.91589978875459</v>
      </c>
      <c r="AE93" s="973">
        <f t="shared" ref="AE93:AE106" si="64">AE92+Z93</f>
        <v>946.13425804112387</v>
      </c>
      <c r="AF93" s="974">
        <f t="shared" si="59"/>
        <v>961.44499952870206</v>
      </c>
      <c r="AG93" s="974">
        <f t="shared" si="60"/>
        <v>3918.6667368456965</v>
      </c>
      <c r="AH93" s="974">
        <f t="shared" si="61"/>
        <v>-2972.5324788045727</v>
      </c>
      <c r="AI93" s="975">
        <f t="shared" si="62"/>
        <v>-2011.0874792758707</v>
      </c>
    </row>
    <row r="94" spans="2:35" x14ac:dyDescent="0.3">
      <c r="B94" s="900">
        <v>4</v>
      </c>
      <c r="C94" s="922">
        <f>'Energy Inputs'!G33</f>
        <v>0.96523517382413093</v>
      </c>
      <c r="D94" s="918">
        <f>C94*'Energy Inputs'!$G$24</f>
        <v>14.478527607361965</v>
      </c>
      <c r="E94" s="197">
        <f>'Energy margins'!$Z$12</f>
        <v>43.75</v>
      </c>
      <c r="F94" s="197">
        <f t="shared" si="63"/>
        <v>633.43558282208596</v>
      </c>
      <c r="G94" s="918">
        <f>'Energy Inputs'!$D$10</f>
        <v>330</v>
      </c>
      <c r="H94" s="197">
        <f t="shared" si="52"/>
        <v>963.43558282208596</v>
      </c>
      <c r="I94" s="197"/>
      <c r="J94" s="947">
        <f>IF(ISERROR(IF(MOD(IF(AND(B94&gt;='Energy margins'!$AA$44,B94&lt;='Energy margins'!$AB$44),B94-'Energy margins'!$AA$44,""),'Energy margins'!$AC$44)=0,'Energy margins'!$Z$44,0)),0,IF(MOD(IF(AND(B94&gt;='Energy margins'!$AA$44,B94&lt;='Energy margins'!$AB$44),B94-'Energy margins'!$AA$44,""),'Energy margins'!$AC$44)=0,'Energy margins'!$Z$44,0))</f>
        <v>0</v>
      </c>
      <c r="K94" s="918">
        <f>IF(ISERROR(IF(MOD(IF(AND(B94&gt;='Energy margins'!$AA$45,B94&lt;='Energy margins'!$AB$45),B94-'Energy margins'!$AA$45,""),'Energy margins'!$AC$45)=0,'Energy margins'!$Z$45,0)),0,IF(MOD(IF(AND(B94&gt;='Energy margins'!$AA$45,B94&lt;='Energy margins'!$AB$45),B94-'Energy margins'!$AA$45,""),'Energy margins'!$AC$45)=0,'Energy margins'!$Z$45,0))</f>
        <v>0</v>
      </c>
      <c r="L94" s="918">
        <f>IF(ISERROR(IF(MOD(IF(AND(B94&gt;='Energy margins'!$AA$46,B94&lt;='Energy margins'!$AB$46),B94-'Energy margins'!$AA$46,""),'Energy margins'!$AC$46)=0,'Energy margins'!$Z$46,0)),0,IF(MOD(IF(AND(B94&gt;='Energy margins'!$AA$46,B94&lt;='Energy margins'!$AB$46),B94-'Energy margins'!$AA$46,""),'Energy margins'!$AC$46)=0,'Energy margins'!$Z$46,0))</f>
        <v>0</v>
      </c>
      <c r="M94" s="918">
        <f>IF(ISERROR(IF(MOD(IF(AND(B94&gt;='Energy margins'!$AA$47,B94&lt;='Energy margins'!$AB$47),B94-'Energy margins'!$AA$47,""),'Energy margins'!$AC$47)=0,'Energy margins'!$Z$47,0)),0,IF(MOD(IF(AND(B94&gt;='Energy margins'!$AA$47,B94&lt;='Energy margins'!$AB$47),B94-'Energy margins'!$AA$47,""),'Energy margins'!$AC$47)=0,'Energy margins'!$Z$47,0))</f>
        <v>19.974783999999993</v>
      </c>
      <c r="N94" s="918">
        <f>IF(ISERROR(IF(MOD(IF(AND(B94&gt;='Energy margins'!$AA$50,B94&lt;='Energy margins'!$AB$50),B94-'Energy margins'!$AA$50,""),'Energy margins'!$AC$50)=0,'Energy margins'!$Z$50,0)),0,IF(MOD(IF(AND(B94&gt;='Energy margins'!$AA$50,B94&lt;='Energy margins'!$AB$50),B94-'Energy margins'!$AA$50,""),'Energy margins'!$AC$50)=0,'Energy margins'!$Z$50,0))</f>
        <v>88.411199999999994</v>
      </c>
      <c r="O94" s="918">
        <f>IF(ISERROR(IF(MOD(IF(AND(B94&gt;='Energy margins'!$AA$53,B94&lt;='Energy margins'!$AB$53),B94-'Energy margins'!$AA$53,""),'Energy margins'!$AC$53)=0,'Energy margins'!$Z$53,0)),0,IF(MOD(IF(AND(B94&gt;='Energy margins'!$AA$53,B94&lt;='Energy margins'!$AB$53),B94-'Energy margins'!$AA$53,""),'Energy margins'!$AC$53)=0,'Energy margins'!$Z$53,0))</f>
        <v>66.638359999999992</v>
      </c>
      <c r="P94" s="918">
        <f>IF(ISERROR(IF(MOD(IF(AND(B94&gt;='Energy margins'!$AA$56,B94&lt;='Energy margins'!$AB$56),B94-'Energy margins'!$AA$56,""),'Energy margins'!$AC$56)=0,'Energy margins'!$Z$56,0)),0,IF(MOD(IF(AND(B94&gt;='Energy margins'!$AA$56,B94&lt;='Energy margins'!$AB$56),B94-'Energy margins'!$AA$56,""),'Energy margins'!$AC$56)=0,'Energy margins'!$Z$56,0))</f>
        <v>45.764999999999993</v>
      </c>
      <c r="Q94" s="918">
        <f>IF(ISERROR(IF(MOD(IF(AND(B94&gt;='Energy margins'!$AA$59,B94&lt;='Energy margins'!$AB$59),B94-'Energy margins'!$AA$59,""),'Energy margins'!$AC$59)=0,'Energy margins'!$Z$59,0)),0,IF(MOD(IF(AND(B94&gt;='Energy margins'!$AA$59,B94&lt;='Energy margins'!$AB$59),B94-'Energy margins'!$AA$59,""),'Energy margins'!$AC$59)=0,'Energy margins'!$Z$59,0))</f>
        <v>0</v>
      </c>
      <c r="R94" s="918">
        <f>IF(ISERROR(IF(MOD(IF(AND(B94&gt;='Energy margins'!$AA$60,B94&lt;='Energy margins'!$AB$60),B94-'Energy margins'!$AA$60,""),'Energy margins'!$AC$60)=0,'Energy margins'!$Z$60,0)),0,IF(MOD(IF(AND(B94&gt;='Energy margins'!$AA$60,B94&lt;='Energy margins'!$AB$60),B94-'Energy margins'!$AA$60,""),'Energy margins'!$AC$60)=0,'Energy margins'!$Z$60,0))</f>
        <v>0</v>
      </c>
      <c r="S94" s="918">
        <f>IF(ISERROR(IF(MOD(IF(AND(B94&gt;='Energy margins'!$AA$61,B94&lt;='Energy margins'!$AB$61),B94-'Energy margins'!$AA$61,""),'Energy margins'!$AC$61)=0,'Energy margins'!$Z$61,0)),0,IF(MOD(IF(AND(B94&gt;='Energy margins'!$AA$61,B94&lt;='Energy margins'!$AB$61),B94-'Energy margins'!$AA$61,""),'Energy margins'!$AC$61)=0,'Energy margins'!$Z$61,0))</f>
        <v>197.74999999999997</v>
      </c>
      <c r="T94" s="918">
        <f>IF(ISERROR(IF(MOD(IF(AND(B94&gt;='Energy margins'!$AA$62,B94&lt;='Energy margins'!$AB$62),B94-'Energy margins'!$AA$62,""),'Energy margins'!$AC$62)=0,'Energy margins'!$Z$62,0)),0,IF(MOD(IF(AND(B94&gt;='Energy margins'!$AA$62,B94&lt;='Energy margins'!$AB$62),B94-'Energy margins'!$AA$62,""),'Energy margins'!$AC$62)=0,'Energy margins'!$Z$62,0))</f>
        <v>0</v>
      </c>
      <c r="U94" s="944">
        <f t="shared" si="48"/>
        <v>418.53934399999991</v>
      </c>
      <c r="V94" s="197"/>
      <c r="W94" s="197">
        <f t="shared" si="53"/>
        <v>418.53934399999991</v>
      </c>
      <c r="X94" s="197">
        <f t="shared" si="49"/>
        <v>214.89623882208605</v>
      </c>
      <c r="Y94" s="197">
        <f t="shared" si="50"/>
        <v>544.89623882208605</v>
      </c>
      <c r="Z94" s="973">
        <f t="shared" si="54"/>
        <v>579.68329035713953</v>
      </c>
      <c r="AA94" s="974">
        <f t="shared" si="55"/>
        <v>301.99674758654265</v>
      </c>
      <c r="AB94" s="974">
        <f t="shared" si="56"/>
        <v>383.02278977274278</v>
      </c>
      <c r="AC94" s="974">
        <f t="shared" si="57"/>
        <v>196.66050058439669</v>
      </c>
      <c r="AD94" s="974">
        <f t="shared" si="58"/>
        <v>498.65724817093934</v>
      </c>
      <c r="AE94" s="973">
        <f t="shared" si="64"/>
        <v>1525.8175483982634</v>
      </c>
      <c r="AF94" s="974">
        <f t="shared" si="59"/>
        <v>1263.4417471152447</v>
      </c>
      <c r="AG94" s="974">
        <f t="shared" si="60"/>
        <v>4301.6895266184392</v>
      </c>
      <c r="AH94" s="974">
        <f t="shared" si="61"/>
        <v>-2775.8719782201761</v>
      </c>
      <c r="AI94" s="975">
        <f t="shared" si="62"/>
        <v>-1512.4302311049314</v>
      </c>
    </row>
    <row r="95" spans="2:35" x14ac:dyDescent="0.3">
      <c r="B95" s="900">
        <v>5</v>
      </c>
      <c r="C95" s="922">
        <f>'Energy Inputs'!G34</f>
        <v>1</v>
      </c>
      <c r="D95" s="918">
        <f>C95*'Energy Inputs'!$G$24</f>
        <v>15</v>
      </c>
      <c r="E95" s="197">
        <f>'Energy margins'!$Z$12</f>
        <v>43.75</v>
      </c>
      <c r="F95" s="197">
        <f t="shared" si="63"/>
        <v>656.25</v>
      </c>
      <c r="G95" s="918">
        <f>'Energy Inputs'!$D$10</f>
        <v>330</v>
      </c>
      <c r="H95" s="197">
        <f t="shared" si="52"/>
        <v>986.25</v>
      </c>
      <c r="I95" s="197"/>
      <c r="J95" s="947">
        <f>IF(ISERROR(IF(MOD(IF(AND(B95&gt;='Energy margins'!$AA$44,B95&lt;='Energy margins'!$AB$44),B95-'Energy margins'!$AA$44,""),'Energy margins'!$AC$44)=0,'Energy margins'!$Z$44,0)),0,IF(MOD(IF(AND(B95&gt;='Energy margins'!$AA$44,B95&lt;='Energy margins'!$AB$44),B95-'Energy margins'!$AA$44,""),'Energy margins'!$AC$44)=0,'Energy margins'!$Z$44,0))</f>
        <v>0</v>
      </c>
      <c r="K95" s="918">
        <f>IF(ISERROR(IF(MOD(IF(AND(B95&gt;='Energy margins'!$AA$45,B95&lt;='Energy margins'!$AB$45),B95-'Energy margins'!$AA$45,""),'Energy margins'!$AC$45)=0,'Energy margins'!$Z$45,0)),0,IF(MOD(IF(AND(B95&gt;='Energy margins'!$AA$45,B95&lt;='Energy margins'!$AB$45),B95-'Energy margins'!$AA$45,""),'Energy margins'!$AC$45)=0,'Energy margins'!$Z$45,0))</f>
        <v>0</v>
      </c>
      <c r="L95" s="918">
        <f>IF(ISERROR(IF(MOD(IF(AND(B95&gt;='Energy margins'!$AA$46,B95&lt;='Energy margins'!$AB$46),B95-'Energy margins'!$AA$46,""),'Energy margins'!$AC$46)=0,'Energy margins'!$Z$46,0)),0,IF(MOD(IF(AND(B95&gt;='Energy margins'!$AA$46,B95&lt;='Energy margins'!$AB$46),B95-'Energy margins'!$AA$46,""),'Energy margins'!$AC$46)=0,'Energy margins'!$Z$46,0))</f>
        <v>0</v>
      </c>
      <c r="M95" s="918">
        <f>IF(ISERROR(IF(MOD(IF(AND(B95&gt;='Energy margins'!$AA$47,B95&lt;='Energy margins'!$AB$47),B95-'Energy margins'!$AA$47,""),'Energy margins'!$AC$47)=0,'Energy margins'!$Z$47,0)),0,IF(MOD(IF(AND(B95&gt;='Energy margins'!$AA$47,B95&lt;='Energy margins'!$AB$47),B95-'Energy margins'!$AA$47,""),'Energy margins'!$AC$47)=0,'Energy margins'!$Z$47,0))</f>
        <v>19.974783999999993</v>
      </c>
      <c r="N95" s="918">
        <f>IF(ISERROR(IF(MOD(IF(AND(B95&gt;='Energy margins'!$AA$50,B95&lt;='Energy margins'!$AB$50),B95-'Energy margins'!$AA$50,""),'Energy margins'!$AC$50)=0,'Energy margins'!$Z$50,0)),0,IF(MOD(IF(AND(B95&gt;='Energy margins'!$AA$50,B95&lt;='Energy margins'!$AB$50),B95-'Energy margins'!$AA$50,""),'Energy margins'!$AC$50)=0,'Energy margins'!$Z$50,0))</f>
        <v>88.411199999999994</v>
      </c>
      <c r="O95" s="918">
        <f>IF(ISERROR(IF(MOD(IF(AND(B95&gt;='Energy margins'!$AA$53,B95&lt;='Energy margins'!$AB$53),B95-'Energy margins'!$AA$53,""),'Energy margins'!$AC$53)=0,'Energy margins'!$Z$53,0)),0,IF(MOD(IF(AND(B95&gt;='Energy margins'!$AA$53,B95&lt;='Energy margins'!$AB$53),B95-'Energy margins'!$AA$53,""),'Energy margins'!$AC$53)=0,'Energy margins'!$Z$53,0))</f>
        <v>66.638359999999992</v>
      </c>
      <c r="P95" s="918">
        <f>IF(ISERROR(IF(MOD(IF(AND(B95&gt;='Energy margins'!$AA$56,B95&lt;='Energy margins'!$AB$56),B95-'Energy margins'!$AA$56,""),'Energy margins'!$AC$56)=0,'Energy margins'!$Z$56,0)),0,IF(MOD(IF(AND(B95&gt;='Energy margins'!$AA$56,B95&lt;='Energy margins'!$AB$56),B95-'Energy margins'!$AA$56,""),'Energy margins'!$AC$56)=0,'Energy margins'!$Z$56,0))</f>
        <v>45.764999999999993</v>
      </c>
      <c r="Q95" s="918">
        <f>IF(ISERROR(IF(MOD(IF(AND(B95&gt;='Energy margins'!$AA$59,B95&lt;='Energy margins'!$AB$59),B95-'Energy margins'!$AA$59,""),'Energy margins'!$AC$59)=0,'Energy margins'!$Z$59,0)),0,IF(MOD(IF(AND(B95&gt;='Energy margins'!$AA$59,B95&lt;='Energy margins'!$AB$59),B95-'Energy margins'!$AA$59,""),'Energy margins'!$AC$59)=0,'Energy margins'!$Z$59,0))</f>
        <v>0</v>
      </c>
      <c r="R95" s="918">
        <f>IF(ISERROR(IF(MOD(IF(AND(B95&gt;='Energy margins'!$AA$60,B95&lt;='Energy margins'!$AB$60),B95-'Energy margins'!$AA$60,""),'Energy margins'!$AC$60)=0,'Energy margins'!$Z$60,0)),0,IF(MOD(IF(AND(B95&gt;='Energy margins'!$AA$60,B95&lt;='Energy margins'!$AB$60),B95-'Energy margins'!$AA$60,""),'Energy margins'!$AC$60)=0,'Energy margins'!$Z$60,0))</f>
        <v>0</v>
      </c>
      <c r="S95" s="918">
        <f>IF(ISERROR(IF(MOD(IF(AND(B95&gt;='Energy margins'!$AA$61,B95&lt;='Energy margins'!$AB$61),B95-'Energy margins'!$AA$61,""),'Energy margins'!$AC$61)=0,'Energy margins'!$Z$61,0)),0,IF(MOD(IF(AND(B95&gt;='Energy margins'!$AA$61,B95&lt;='Energy margins'!$AB$61),B95-'Energy margins'!$AA$61,""),'Energy margins'!$AC$61)=0,'Energy margins'!$Z$61,0))</f>
        <v>197.74999999999997</v>
      </c>
      <c r="T95" s="918">
        <f>IF(ISERROR(IF(MOD(IF(AND(B95&gt;='Energy margins'!$AA$62,B95&lt;='Energy margins'!$AB$62),B95-'Energy margins'!$AA$62,""),'Energy margins'!$AC$62)=0,'Energy margins'!$Z$62,0)),0,IF(MOD(IF(AND(B95&gt;='Energy margins'!$AA$62,B95&lt;='Energy margins'!$AB$62),B95-'Energy margins'!$AA$62,""),'Energy margins'!$AC$62)=0,'Energy margins'!$Z$62,0))</f>
        <v>0</v>
      </c>
      <c r="U95" s="944">
        <f t="shared" si="48"/>
        <v>418.53934399999991</v>
      </c>
      <c r="V95" s="197"/>
      <c r="W95" s="197">
        <f t="shared" si="53"/>
        <v>418.53934399999991</v>
      </c>
      <c r="X95" s="197">
        <f t="shared" si="49"/>
        <v>237.71065600000009</v>
      </c>
      <c r="Y95" s="197">
        <f t="shared" si="50"/>
        <v>567.71065600000009</v>
      </c>
      <c r="Z95" s="973">
        <f t="shared" si="54"/>
        <v>583.06962519467083</v>
      </c>
      <c r="AA95" s="974">
        <f t="shared" si="55"/>
        <v>293.20072581217738</v>
      </c>
      <c r="AB95" s="974">
        <f t="shared" si="56"/>
        <v>371.86678618712898</v>
      </c>
      <c r="AC95" s="974">
        <f t="shared" si="57"/>
        <v>211.20283900754194</v>
      </c>
      <c r="AD95" s="974">
        <f t="shared" si="58"/>
        <v>504.40356481971929</v>
      </c>
      <c r="AE95" s="973">
        <f t="shared" si="64"/>
        <v>2108.8871735929342</v>
      </c>
      <c r="AF95" s="974">
        <f t="shared" si="59"/>
        <v>1556.642472927422</v>
      </c>
      <c r="AG95" s="974">
        <f t="shared" si="60"/>
        <v>4673.5563128055683</v>
      </c>
      <c r="AH95" s="974">
        <f t="shared" si="61"/>
        <v>-2564.669139212634</v>
      </c>
      <c r="AI95" s="975">
        <f t="shared" si="62"/>
        <v>-1008.0266662852121</v>
      </c>
    </row>
    <row r="96" spans="2:35" x14ac:dyDescent="0.3">
      <c r="B96" s="900">
        <v>6</v>
      </c>
      <c r="C96" s="922">
        <f>'Energy Inputs'!G35</f>
        <v>1</v>
      </c>
      <c r="D96" s="918">
        <f>C96*'Energy Inputs'!$G$24</f>
        <v>15</v>
      </c>
      <c r="E96" s="197">
        <f>'Energy margins'!$Z$12</f>
        <v>43.75</v>
      </c>
      <c r="F96" s="197">
        <f t="shared" si="63"/>
        <v>656.25</v>
      </c>
      <c r="G96" s="918">
        <f>'Energy Inputs'!$D$10</f>
        <v>330</v>
      </c>
      <c r="H96" s="197">
        <f t="shared" si="52"/>
        <v>986.25</v>
      </c>
      <c r="I96" s="197"/>
      <c r="J96" s="947">
        <f>IF(ISERROR(IF(MOD(IF(AND(B96&gt;='Energy margins'!$AA$44,B96&lt;='Energy margins'!$AB$44),B96-'Energy margins'!$AA$44,""),'Energy margins'!$AC$44)=0,'Energy margins'!$Z$44,0)),0,IF(MOD(IF(AND(B96&gt;='Energy margins'!$AA$44,B96&lt;='Energy margins'!$AB$44),B96-'Energy margins'!$AA$44,""),'Energy margins'!$AC$44)=0,'Energy margins'!$Z$44,0))</f>
        <v>0</v>
      </c>
      <c r="K96" s="918">
        <f>IF(ISERROR(IF(MOD(IF(AND(B96&gt;='Energy margins'!$AA$45,B96&lt;='Energy margins'!$AB$45),B96-'Energy margins'!$AA$45,""),'Energy margins'!$AC$45)=0,'Energy margins'!$Z$45,0)),0,IF(MOD(IF(AND(B96&gt;='Energy margins'!$AA$45,B96&lt;='Energy margins'!$AB$45),B96-'Energy margins'!$AA$45,""),'Energy margins'!$AC$45)=0,'Energy margins'!$Z$45,0))</f>
        <v>0</v>
      </c>
      <c r="L96" s="918">
        <f>IF(ISERROR(IF(MOD(IF(AND(B96&gt;='Energy margins'!$AA$46,B96&lt;='Energy margins'!$AB$46),B96-'Energy margins'!$AA$46,""),'Energy margins'!$AC$46)=0,'Energy margins'!$Z$46,0)),0,IF(MOD(IF(AND(B96&gt;='Energy margins'!$AA$46,B96&lt;='Energy margins'!$AB$46),B96-'Energy margins'!$AA$46,""),'Energy margins'!$AC$46)=0,'Energy margins'!$Z$46,0))</f>
        <v>0</v>
      </c>
      <c r="M96" s="918">
        <f>IF(ISERROR(IF(MOD(IF(AND(B96&gt;='Energy margins'!$AA$47,B96&lt;='Energy margins'!$AB$47),B96-'Energy margins'!$AA$47,""),'Energy margins'!$AC$47)=0,'Energy margins'!$Z$47,0)),0,IF(MOD(IF(AND(B96&gt;='Energy margins'!$AA$47,B96&lt;='Energy margins'!$AB$47),B96-'Energy margins'!$AA$47,""),'Energy margins'!$AC$47)=0,'Energy margins'!$Z$47,0))</f>
        <v>19.974783999999993</v>
      </c>
      <c r="N96" s="918">
        <f>IF(ISERROR(IF(MOD(IF(AND(B96&gt;='Energy margins'!$AA$50,B96&lt;='Energy margins'!$AB$50),B96-'Energy margins'!$AA$50,""),'Energy margins'!$AC$50)=0,'Energy margins'!$Z$50,0)),0,IF(MOD(IF(AND(B96&gt;='Energy margins'!$AA$50,B96&lt;='Energy margins'!$AB$50),B96-'Energy margins'!$AA$50,""),'Energy margins'!$AC$50)=0,'Energy margins'!$Z$50,0))</f>
        <v>88.411199999999994</v>
      </c>
      <c r="O96" s="918">
        <f>IF(ISERROR(IF(MOD(IF(AND(B96&gt;='Energy margins'!$AA$53,B96&lt;='Energy margins'!$AB$53),B96-'Energy margins'!$AA$53,""),'Energy margins'!$AC$53)=0,'Energy margins'!$Z$53,0)),0,IF(MOD(IF(AND(B96&gt;='Energy margins'!$AA$53,B96&lt;='Energy margins'!$AB$53),B96-'Energy margins'!$AA$53,""),'Energy margins'!$AC$53)=0,'Energy margins'!$Z$53,0))</f>
        <v>66.638359999999992</v>
      </c>
      <c r="P96" s="918">
        <f>IF(ISERROR(IF(MOD(IF(AND(B96&gt;='Energy margins'!$AA$56,B96&lt;='Energy margins'!$AB$56),B96-'Energy margins'!$AA$56,""),'Energy margins'!$AC$56)=0,'Energy margins'!$Z$56,0)),0,IF(MOD(IF(AND(B96&gt;='Energy margins'!$AA$56,B96&lt;='Energy margins'!$AB$56),B96-'Energy margins'!$AA$56,""),'Energy margins'!$AC$56)=0,'Energy margins'!$Z$56,0))</f>
        <v>45.764999999999993</v>
      </c>
      <c r="Q96" s="918">
        <f>IF(ISERROR(IF(MOD(IF(AND(B96&gt;='Energy margins'!$AA$59,B96&lt;='Energy margins'!$AB$59),B96-'Energy margins'!$AA$59,""),'Energy margins'!$AC$59)=0,'Energy margins'!$Z$59,0)),0,IF(MOD(IF(AND(B96&gt;='Energy margins'!$AA$59,B96&lt;='Energy margins'!$AB$59),B96-'Energy margins'!$AA$59,""),'Energy margins'!$AC$59)=0,'Energy margins'!$Z$59,0))</f>
        <v>0</v>
      </c>
      <c r="R96" s="918">
        <f>IF(ISERROR(IF(MOD(IF(AND(B96&gt;='Energy margins'!$AA$60,B96&lt;='Energy margins'!$AB$60),B96-'Energy margins'!$AA$60,""),'Energy margins'!$AC$60)=0,'Energy margins'!$Z$60,0)),0,IF(MOD(IF(AND(B96&gt;='Energy margins'!$AA$60,B96&lt;='Energy margins'!$AB$60),B96-'Energy margins'!$AA$60,""),'Energy margins'!$AC$60)=0,'Energy margins'!$Z$60,0))</f>
        <v>0</v>
      </c>
      <c r="S96" s="918">
        <f>IF(ISERROR(IF(MOD(IF(AND(B96&gt;='Energy margins'!$AA$61,B96&lt;='Energy margins'!$AB$61),B96-'Energy margins'!$AA$61,""),'Energy margins'!$AC$61)=0,'Energy margins'!$Z$61,0)),0,IF(MOD(IF(AND(B96&gt;='Energy margins'!$AA$61,B96&lt;='Energy margins'!$AB$61),B96-'Energy margins'!$AA$61,""),'Energy margins'!$AC$61)=0,'Energy margins'!$Z$61,0))</f>
        <v>197.74999999999997</v>
      </c>
      <c r="T96" s="918">
        <f>IF(ISERROR(IF(MOD(IF(AND(B96&gt;='Energy margins'!$AA$62,B96&lt;='Energy margins'!$AB$62),B96-'Energy margins'!$AA$62,""),'Energy margins'!$AC$62)=0,'Energy margins'!$Z$62,0)),0,IF(MOD(IF(AND(B96&gt;='Energy margins'!$AA$62,B96&lt;='Energy margins'!$AB$62),B96-'Energy margins'!$AA$62,""),'Energy margins'!$AC$62)=0,'Energy margins'!$Z$62,0))</f>
        <v>0</v>
      </c>
      <c r="U96" s="944">
        <f t="shared" si="48"/>
        <v>418.53934399999991</v>
      </c>
      <c r="V96" s="197"/>
      <c r="W96" s="197">
        <f t="shared" si="53"/>
        <v>418.53934399999991</v>
      </c>
      <c r="X96" s="197">
        <f t="shared" si="49"/>
        <v>237.71065600000009</v>
      </c>
      <c r="Y96" s="197">
        <f t="shared" si="50"/>
        <v>567.71065600000009</v>
      </c>
      <c r="Z96" s="973">
        <f t="shared" si="54"/>
        <v>566.08701475210773</v>
      </c>
      <c r="AA96" s="974">
        <f t="shared" si="55"/>
        <v>284.66089884677416</v>
      </c>
      <c r="AB96" s="974">
        <f t="shared" si="56"/>
        <v>361.03571474478542</v>
      </c>
      <c r="AC96" s="974">
        <f t="shared" si="57"/>
        <v>205.05130000732228</v>
      </c>
      <c r="AD96" s="974">
        <f t="shared" si="58"/>
        <v>489.71219885409641</v>
      </c>
      <c r="AE96" s="973">
        <f t="shared" si="64"/>
        <v>2674.974188345042</v>
      </c>
      <c r="AF96" s="974">
        <f t="shared" si="59"/>
        <v>1841.3033717741962</v>
      </c>
      <c r="AG96" s="974">
        <f t="shared" si="60"/>
        <v>5034.592027550354</v>
      </c>
      <c r="AH96" s="974">
        <f t="shared" si="61"/>
        <v>-2359.6178392053116</v>
      </c>
      <c r="AI96" s="975">
        <f t="shared" si="62"/>
        <v>-518.31446743111565</v>
      </c>
    </row>
    <row r="97" spans="2:35" x14ac:dyDescent="0.3">
      <c r="B97" s="900">
        <v>7</v>
      </c>
      <c r="C97" s="922">
        <f>'Energy Inputs'!G36</f>
        <v>1</v>
      </c>
      <c r="D97" s="918">
        <f>C97*'Energy Inputs'!$G$24</f>
        <v>15</v>
      </c>
      <c r="E97" s="197">
        <f>'Energy margins'!$Z$12</f>
        <v>43.75</v>
      </c>
      <c r="F97" s="197">
        <f t="shared" si="63"/>
        <v>656.25</v>
      </c>
      <c r="G97" s="918">
        <f>'Energy Inputs'!$D$10</f>
        <v>330</v>
      </c>
      <c r="H97" s="197">
        <f t="shared" si="52"/>
        <v>986.25</v>
      </c>
      <c r="I97" s="197"/>
      <c r="J97" s="947">
        <f>IF(ISERROR(IF(MOD(IF(AND(B97&gt;='Energy margins'!$AA$44,B97&lt;='Energy margins'!$AB$44),B97-'Energy margins'!$AA$44,""),'Energy margins'!$AC$44)=0,'Energy margins'!$Z$44,0)),0,IF(MOD(IF(AND(B97&gt;='Energy margins'!$AA$44,B97&lt;='Energy margins'!$AB$44),B97-'Energy margins'!$AA$44,""),'Energy margins'!$AC$44)=0,'Energy margins'!$Z$44,0))</f>
        <v>0</v>
      </c>
      <c r="K97" s="918">
        <f>IF(ISERROR(IF(MOD(IF(AND(B97&gt;='Energy margins'!$AA$45,B97&lt;='Energy margins'!$AB$45),B97-'Energy margins'!$AA$45,""),'Energy margins'!$AC$45)=0,'Energy margins'!$Z$45,0)),0,IF(MOD(IF(AND(B97&gt;='Energy margins'!$AA$45,B97&lt;='Energy margins'!$AB$45),B97-'Energy margins'!$AA$45,""),'Energy margins'!$AC$45)=0,'Energy margins'!$Z$45,0))</f>
        <v>0</v>
      </c>
      <c r="L97" s="918">
        <f>IF(ISERROR(IF(MOD(IF(AND(B97&gt;='Energy margins'!$AA$46,B97&lt;='Energy margins'!$AB$46),B97-'Energy margins'!$AA$46,""),'Energy margins'!$AC$46)=0,'Energy margins'!$Z$46,0)),0,IF(MOD(IF(AND(B97&gt;='Energy margins'!$AA$46,B97&lt;='Energy margins'!$AB$46),B97-'Energy margins'!$AA$46,""),'Energy margins'!$AC$46)=0,'Energy margins'!$Z$46,0))</f>
        <v>0</v>
      </c>
      <c r="M97" s="918">
        <f>IF(ISERROR(IF(MOD(IF(AND(B97&gt;='Energy margins'!$AA$47,B97&lt;='Energy margins'!$AB$47),B97-'Energy margins'!$AA$47,""),'Energy margins'!$AC$47)=0,'Energy margins'!$Z$47,0)),0,IF(MOD(IF(AND(B97&gt;='Energy margins'!$AA$47,B97&lt;='Energy margins'!$AB$47),B97-'Energy margins'!$AA$47,""),'Energy margins'!$AC$47)=0,'Energy margins'!$Z$47,0))</f>
        <v>19.974783999999993</v>
      </c>
      <c r="N97" s="918">
        <f>IF(ISERROR(IF(MOD(IF(AND(B97&gt;='Energy margins'!$AA$50,B97&lt;='Energy margins'!$AB$50),B97-'Energy margins'!$AA$50,""),'Energy margins'!$AC$50)=0,'Energy margins'!$Z$50,0)),0,IF(MOD(IF(AND(B97&gt;='Energy margins'!$AA$50,B97&lt;='Energy margins'!$AB$50),B97-'Energy margins'!$AA$50,""),'Energy margins'!$AC$50)=0,'Energy margins'!$Z$50,0))</f>
        <v>88.411199999999994</v>
      </c>
      <c r="O97" s="918">
        <f>IF(ISERROR(IF(MOD(IF(AND(B97&gt;='Energy margins'!$AA$53,B97&lt;='Energy margins'!$AB$53),B97-'Energy margins'!$AA$53,""),'Energy margins'!$AC$53)=0,'Energy margins'!$Z$53,0)),0,IF(MOD(IF(AND(B97&gt;='Energy margins'!$AA$53,B97&lt;='Energy margins'!$AB$53),B97-'Energy margins'!$AA$53,""),'Energy margins'!$AC$53)=0,'Energy margins'!$Z$53,0))</f>
        <v>66.638359999999992</v>
      </c>
      <c r="P97" s="918">
        <f>IF(ISERROR(IF(MOD(IF(AND(B97&gt;='Energy margins'!$AA$56,B97&lt;='Energy margins'!$AB$56),B97-'Energy margins'!$AA$56,""),'Energy margins'!$AC$56)=0,'Energy margins'!$Z$56,0)),0,IF(MOD(IF(AND(B97&gt;='Energy margins'!$AA$56,B97&lt;='Energy margins'!$AB$56),B97-'Energy margins'!$AA$56,""),'Energy margins'!$AC$56)=0,'Energy margins'!$Z$56,0))</f>
        <v>45.764999999999993</v>
      </c>
      <c r="Q97" s="918">
        <f>IF(ISERROR(IF(MOD(IF(AND(B97&gt;='Energy margins'!$AA$59,B97&lt;='Energy margins'!$AB$59),B97-'Energy margins'!$AA$59,""),'Energy margins'!$AC$59)=0,'Energy margins'!$Z$59,0)),0,IF(MOD(IF(AND(B97&gt;='Energy margins'!$AA$59,B97&lt;='Energy margins'!$AB$59),B97-'Energy margins'!$AA$59,""),'Energy margins'!$AC$59)=0,'Energy margins'!$Z$59,0))</f>
        <v>0</v>
      </c>
      <c r="R97" s="918">
        <f>IF(ISERROR(IF(MOD(IF(AND(B97&gt;='Energy margins'!$AA$60,B97&lt;='Energy margins'!$AB$60),B97-'Energy margins'!$AA$60,""),'Energy margins'!$AC$60)=0,'Energy margins'!$Z$60,0)),0,IF(MOD(IF(AND(B97&gt;='Energy margins'!$AA$60,B97&lt;='Energy margins'!$AB$60),B97-'Energy margins'!$AA$60,""),'Energy margins'!$AC$60)=0,'Energy margins'!$Z$60,0))</f>
        <v>0</v>
      </c>
      <c r="S97" s="918">
        <f>IF(ISERROR(IF(MOD(IF(AND(B97&gt;='Energy margins'!$AA$61,B97&lt;='Energy margins'!$AB$61),B97-'Energy margins'!$AA$61,""),'Energy margins'!$AC$61)=0,'Energy margins'!$Z$61,0)),0,IF(MOD(IF(AND(B97&gt;='Energy margins'!$AA$61,B97&lt;='Energy margins'!$AB$61),B97-'Energy margins'!$AA$61,""),'Energy margins'!$AC$61)=0,'Energy margins'!$Z$61,0))</f>
        <v>197.74999999999997</v>
      </c>
      <c r="T97" s="918">
        <f>IF(ISERROR(IF(MOD(IF(AND(B97&gt;='Energy margins'!$AA$62,B97&lt;='Energy margins'!$AB$62),B97-'Energy margins'!$AA$62,""),'Energy margins'!$AC$62)=0,'Energy margins'!$Z$62,0)),0,IF(MOD(IF(AND(B97&gt;='Energy margins'!$AA$62,B97&lt;='Energy margins'!$AB$62),B97-'Energy margins'!$AA$62,""),'Energy margins'!$AC$62)=0,'Energy margins'!$Z$62,0))</f>
        <v>0</v>
      </c>
      <c r="U97" s="944">
        <f t="shared" si="48"/>
        <v>418.53934399999991</v>
      </c>
      <c r="V97" s="197"/>
      <c r="W97" s="197">
        <f t="shared" si="53"/>
        <v>418.53934399999991</v>
      </c>
      <c r="X97" s="197">
        <f t="shared" si="49"/>
        <v>237.71065600000009</v>
      </c>
      <c r="Y97" s="197">
        <f t="shared" si="50"/>
        <v>567.71065600000009</v>
      </c>
      <c r="Z97" s="973">
        <f t="shared" si="54"/>
        <v>549.59904344864822</v>
      </c>
      <c r="AA97" s="974">
        <f t="shared" si="55"/>
        <v>276.36980470560593</v>
      </c>
      <c r="AB97" s="974">
        <f t="shared" si="56"/>
        <v>350.52011140270429</v>
      </c>
      <c r="AC97" s="974">
        <f t="shared" si="57"/>
        <v>199.07893204594396</v>
      </c>
      <c r="AD97" s="974">
        <f t="shared" si="58"/>
        <v>475.44873675154992</v>
      </c>
      <c r="AE97" s="973">
        <f t="shared" si="64"/>
        <v>3224.57323179369</v>
      </c>
      <c r="AF97" s="974">
        <f t="shared" si="59"/>
        <v>2117.6731764798024</v>
      </c>
      <c r="AG97" s="974">
        <f t="shared" si="60"/>
        <v>5385.1121389530581</v>
      </c>
      <c r="AH97" s="974">
        <f t="shared" si="61"/>
        <v>-2160.5389071593677</v>
      </c>
      <c r="AI97" s="975">
        <f t="shared" si="62"/>
        <v>-42.865730679565729</v>
      </c>
    </row>
    <row r="98" spans="2:35" x14ac:dyDescent="0.3">
      <c r="B98" s="900">
        <v>8</v>
      </c>
      <c r="C98" s="922">
        <f>'Energy Inputs'!G37</f>
        <v>1</v>
      </c>
      <c r="D98" s="918">
        <f>C98*'Energy Inputs'!$G$24</f>
        <v>15</v>
      </c>
      <c r="E98" s="197">
        <f>'Energy margins'!$Z$12</f>
        <v>43.75</v>
      </c>
      <c r="F98" s="197">
        <f t="shared" si="63"/>
        <v>656.25</v>
      </c>
      <c r="G98" s="918">
        <f>'Energy Inputs'!$D$10</f>
        <v>330</v>
      </c>
      <c r="H98" s="197">
        <f t="shared" si="52"/>
        <v>986.25</v>
      </c>
      <c r="I98" s="197"/>
      <c r="J98" s="947">
        <f>IF(ISERROR(IF(MOD(IF(AND(B98&gt;='Energy margins'!$AA$44,B98&lt;='Energy margins'!$AB$44),B98-'Energy margins'!$AA$44,""),'Energy margins'!$AC$44)=0,'Energy margins'!$Z$44,0)),0,IF(MOD(IF(AND(B98&gt;='Energy margins'!$AA$44,B98&lt;='Energy margins'!$AB$44),B98-'Energy margins'!$AA$44,""),'Energy margins'!$AC$44)=0,'Energy margins'!$Z$44,0))</f>
        <v>0</v>
      </c>
      <c r="K98" s="918">
        <f>IF(ISERROR(IF(MOD(IF(AND(B98&gt;='Energy margins'!$AA$45,B98&lt;='Energy margins'!$AB$45),B98-'Energy margins'!$AA$45,""),'Energy margins'!$AC$45)=0,'Energy margins'!$Z$45,0)),0,IF(MOD(IF(AND(B98&gt;='Energy margins'!$AA$45,B98&lt;='Energy margins'!$AB$45),B98-'Energy margins'!$AA$45,""),'Energy margins'!$AC$45)=0,'Energy margins'!$Z$45,0))</f>
        <v>0</v>
      </c>
      <c r="L98" s="918">
        <f>IF(ISERROR(IF(MOD(IF(AND(B98&gt;='Energy margins'!$AA$46,B98&lt;='Energy margins'!$AB$46),B98-'Energy margins'!$AA$46,""),'Energy margins'!$AC$46)=0,'Energy margins'!$Z$46,0)),0,IF(MOD(IF(AND(B98&gt;='Energy margins'!$AA$46,B98&lt;='Energy margins'!$AB$46),B98-'Energy margins'!$AA$46,""),'Energy margins'!$AC$46)=0,'Energy margins'!$Z$46,0))</f>
        <v>0</v>
      </c>
      <c r="M98" s="918">
        <f>IF(ISERROR(IF(MOD(IF(AND(B98&gt;='Energy margins'!$AA$47,B98&lt;='Energy margins'!$AB$47),B98-'Energy margins'!$AA$47,""),'Energy margins'!$AC$47)=0,'Energy margins'!$Z$47,0)),0,IF(MOD(IF(AND(B98&gt;='Energy margins'!$AA$47,B98&lt;='Energy margins'!$AB$47),B98-'Energy margins'!$AA$47,""),'Energy margins'!$AC$47)=0,'Energy margins'!$Z$47,0))</f>
        <v>19.974783999999993</v>
      </c>
      <c r="N98" s="918">
        <f>IF(ISERROR(IF(MOD(IF(AND(B98&gt;='Energy margins'!$AA$50,B98&lt;='Energy margins'!$AB$50),B98-'Energy margins'!$AA$50,""),'Energy margins'!$AC$50)=0,'Energy margins'!$Z$50,0)),0,IF(MOD(IF(AND(B98&gt;='Energy margins'!$AA$50,B98&lt;='Energy margins'!$AB$50),B98-'Energy margins'!$AA$50,""),'Energy margins'!$AC$50)=0,'Energy margins'!$Z$50,0))</f>
        <v>88.411199999999994</v>
      </c>
      <c r="O98" s="918">
        <f>IF(ISERROR(IF(MOD(IF(AND(B98&gt;='Energy margins'!$AA$53,B98&lt;='Energy margins'!$AB$53),B98-'Energy margins'!$AA$53,""),'Energy margins'!$AC$53)=0,'Energy margins'!$Z$53,0)),0,IF(MOD(IF(AND(B98&gt;='Energy margins'!$AA$53,B98&lt;='Energy margins'!$AB$53),B98-'Energy margins'!$AA$53,""),'Energy margins'!$AC$53)=0,'Energy margins'!$Z$53,0))</f>
        <v>66.638359999999992</v>
      </c>
      <c r="P98" s="918">
        <f>IF(ISERROR(IF(MOD(IF(AND(B98&gt;='Energy margins'!$AA$56,B98&lt;='Energy margins'!$AB$56),B98-'Energy margins'!$AA$56,""),'Energy margins'!$AC$56)=0,'Energy margins'!$Z$56,0)),0,IF(MOD(IF(AND(B98&gt;='Energy margins'!$AA$56,B98&lt;='Energy margins'!$AB$56),B98-'Energy margins'!$AA$56,""),'Energy margins'!$AC$56)=0,'Energy margins'!$Z$56,0))</f>
        <v>45.764999999999993</v>
      </c>
      <c r="Q98" s="918">
        <f>IF(ISERROR(IF(MOD(IF(AND(B98&gt;='Energy margins'!$AA$59,B98&lt;='Energy margins'!$AB$59),B98-'Energy margins'!$AA$59,""),'Energy margins'!$AC$59)=0,'Energy margins'!$Z$59,0)),0,IF(MOD(IF(AND(B98&gt;='Energy margins'!$AA$59,B98&lt;='Energy margins'!$AB$59),B98-'Energy margins'!$AA$59,""),'Energy margins'!$AC$59)=0,'Energy margins'!$Z$59,0))</f>
        <v>0</v>
      </c>
      <c r="R98" s="918">
        <f>IF(ISERROR(IF(MOD(IF(AND(B98&gt;='Energy margins'!$AA$60,B98&lt;='Energy margins'!$AB$60),B98-'Energy margins'!$AA$60,""),'Energy margins'!$AC$60)=0,'Energy margins'!$Z$60,0)),0,IF(MOD(IF(AND(B98&gt;='Energy margins'!$AA$60,B98&lt;='Energy margins'!$AB$60),B98-'Energy margins'!$AA$60,""),'Energy margins'!$AC$60)=0,'Energy margins'!$Z$60,0))</f>
        <v>0</v>
      </c>
      <c r="S98" s="918">
        <f>IF(ISERROR(IF(MOD(IF(AND(B98&gt;='Energy margins'!$AA$61,B98&lt;='Energy margins'!$AB$61),B98-'Energy margins'!$AA$61,""),'Energy margins'!$AC$61)=0,'Energy margins'!$Z$61,0)),0,IF(MOD(IF(AND(B98&gt;='Energy margins'!$AA$61,B98&lt;='Energy margins'!$AB$61),B98-'Energy margins'!$AA$61,""),'Energy margins'!$AC$61)=0,'Energy margins'!$Z$61,0))</f>
        <v>197.74999999999997</v>
      </c>
      <c r="T98" s="918">
        <f>IF(ISERROR(IF(MOD(IF(AND(B98&gt;='Energy margins'!$AA$62,B98&lt;='Energy margins'!$AB$62),B98-'Energy margins'!$AA$62,""),'Energy margins'!$AC$62)=0,'Energy margins'!$Z$62,0)),0,IF(MOD(IF(AND(B98&gt;='Energy margins'!$AA$62,B98&lt;='Energy margins'!$AB$62),B98-'Energy margins'!$AA$62,""),'Energy margins'!$AC$62)=0,'Energy margins'!$Z$62,0))</f>
        <v>0</v>
      </c>
      <c r="U98" s="944">
        <f t="shared" si="48"/>
        <v>418.53934399999991</v>
      </c>
      <c r="V98" s="197"/>
      <c r="W98" s="197">
        <f t="shared" si="53"/>
        <v>418.53934399999991</v>
      </c>
      <c r="X98" s="197">
        <f t="shared" si="49"/>
        <v>237.71065600000009</v>
      </c>
      <c r="Y98" s="197">
        <f t="shared" si="50"/>
        <v>567.71065600000009</v>
      </c>
      <c r="Z98" s="973">
        <f t="shared" si="54"/>
        <v>533.5913043190759</v>
      </c>
      <c r="AA98" s="974">
        <f t="shared" si="55"/>
        <v>268.32019874330672</v>
      </c>
      <c r="AB98" s="974">
        <f t="shared" si="56"/>
        <v>340.31078776961579</v>
      </c>
      <c r="AC98" s="974">
        <f t="shared" si="57"/>
        <v>193.28051654946015</v>
      </c>
      <c r="AD98" s="974">
        <f t="shared" si="58"/>
        <v>461.60071529276689</v>
      </c>
      <c r="AE98" s="973">
        <f t="shared" si="64"/>
        <v>3758.1645361127657</v>
      </c>
      <c r="AF98" s="974">
        <f t="shared" si="59"/>
        <v>2385.9933752231091</v>
      </c>
      <c r="AG98" s="974">
        <f t="shared" si="60"/>
        <v>5725.4229267226738</v>
      </c>
      <c r="AH98" s="974">
        <f t="shared" si="61"/>
        <v>-1967.2583906099076</v>
      </c>
      <c r="AI98" s="975">
        <f t="shared" si="62"/>
        <v>418.73498461320116</v>
      </c>
    </row>
    <row r="99" spans="2:35" x14ac:dyDescent="0.3">
      <c r="B99" s="900">
        <v>9</v>
      </c>
      <c r="C99" s="922">
        <f>'Energy Inputs'!G38</f>
        <v>1</v>
      </c>
      <c r="D99" s="918">
        <f>C99*'Energy Inputs'!$G$24</f>
        <v>15</v>
      </c>
      <c r="E99" s="197">
        <f>'Energy margins'!$Z$12</f>
        <v>43.75</v>
      </c>
      <c r="F99" s="197">
        <f t="shared" si="63"/>
        <v>656.25</v>
      </c>
      <c r="G99" s="918">
        <f>'Energy Inputs'!$D$10</f>
        <v>330</v>
      </c>
      <c r="H99" s="197">
        <f t="shared" si="52"/>
        <v>986.25</v>
      </c>
      <c r="I99" s="197"/>
      <c r="J99" s="947">
        <f>IF(ISERROR(IF(MOD(IF(AND(B99&gt;='Energy margins'!$AA$44,B99&lt;='Energy margins'!$AB$44),B99-'Energy margins'!$AA$44,""),'Energy margins'!$AC$44)=0,'Energy margins'!$Z$44,0)),0,IF(MOD(IF(AND(B99&gt;='Energy margins'!$AA$44,B99&lt;='Energy margins'!$AB$44),B99-'Energy margins'!$AA$44,""),'Energy margins'!$AC$44)=0,'Energy margins'!$Z$44,0))</f>
        <v>0</v>
      </c>
      <c r="K99" s="918">
        <f>IF(ISERROR(IF(MOD(IF(AND(B99&gt;='Energy margins'!$AA$45,B99&lt;='Energy margins'!$AB$45),B99-'Energy margins'!$AA$45,""),'Energy margins'!$AC$45)=0,'Energy margins'!$Z$45,0)),0,IF(MOD(IF(AND(B99&gt;='Energy margins'!$AA$45,B99&lt;='Energy margins'!$AB$45),B99-'Energy margins'!$AA$45,""),'Energy margins'!$AC$45)=0,'Energy margins'!$Z$45,0))</f>
        <v>0</v>
      </c>
      <c r="L99" s="918">
        <f>IF(ISERROR(IF(MOD(IF(AND(B99&gt;='Energy margins'!$AA$46,B99&lt;='Energy margins'!$AB$46),B99-'Energy margins'!$AA$46,""),'Energy margins'!$AC$46)=0,'Energy margins'!$Z$46,0)),0,IF(MOD(IF(AND(B99&gt;='Energy margins'!$AA$46,B99&lt;='Energy margins'!$AB$46),B99-'Energy margins'!$AA$46,""),'Energy margins'!$AC$46)=0,'Energy margins'!$Z$46,0))</f>
        <v>0</v>
      </c>
      <c r="M99" s="918">
        <f>IF(ISERROR(IF(MOD(IF(AND(B99&gt;='Energy margins'!$AA$47,B99&lt;='Energy margins'!$AB$47),B99-'Energy margins'!$AA$47,""),'Energy margins'!$AC$47)=0,'Energy margins'!$Z$47,0)),0,IF(MOD(IF(AND(B99&gt;='Energy margins'!$AA$47,B99&lt;='Energy margins'!$AB$47),B99-'Energy margins'!$AA$47,""),'Energy margins'!$AC$47)=0,'Energy margins'!$Z$47,0))</f>
        <v>19.974783999999993</v>
      </c>
      <c r="N99" s="918">
        <f>IF(ISERROR(IF(MOD(IF(AND(B99&gt;='Energy margins'!$AA$50,B99&lt;='Energy margins'!$AB$50),B99-'Energy margins'!$AA$50,""),'Energy margins'!$AC$50)=0,'Energy margins'!$Z$50,0)),0,IF(MOD(IF(AND(B99&gt;='Energy margins'!$AA$50,B99&lt;='Energy margins'!$AB$50),B99-'Energy margins'!$AA$50,""),'Energy margins'!$AC$50)=0,'Energy margins'!$Z$50,0))</f>
        <v>88.411199999999994</v>
      </c>
      <c r="O99" s="918">
        <f>IF(ISERROR(IF(MOD(IF(AND(B99&gt;='Energy margins'!$AA$53,B99&lt;='Energy margins'!$AB$53),B99-'Energy margins'!$AA$53,""),'Energy margins'!$AC$53)=0,'Energy margins'!$Z$53,0)),0,IF(MOD(IF(AND(B99&gt;='Energy margins'!$AA$53,B99&lt;='Energy margins'!$AB$53),B99-'Energy margins'!$AA$53,""),'Energy margins'!$AC$53)=0,'Energy margins'!$Z$53,0))</f>
        <v>66.638359999999992</v>
      </c>
      <c r="P99" s="918">
        <f>IF(ISERROR(IF(MOD(IF(AND(B99&gt;='Energy margins'!$AA$56,B99&lt;='Energy margins'!$AB$56),B99-'Energy margins'!$AA$56,""),'Energy margins'!$AC$56)=0,'Energy margins'!$Z$56,0)),0,IF(MOD(IF(AND(B99&gt;='Energy margins'!$AA$56,B99&lt;='Energy margins'!$AB$56),B99-'Energy margins'!$AA$56,""),'Energy margins'!$AC$56)=0,'Energy margins'!$Z$56,0))</f>
        <v>45.764999999999993</v>
      </c>
      <c r="Q99" s="918">
        <f>IF(ISERROR(IF(MOD(IF(AND(B99&gt;='Energy margins'!$AA$59,B99&lt;='Energy margins'!$AB$59),B99-'Energy margins'!$AA$59,""),'Energy margins'!$AC$59)=0,'Energy margins'!$Z$59,0)),0,IF(MOD(IF(AND(B99&gt;='Energy margins'!$AA$59,B99&lt;='Energy margins'!$AB$59),B99-'Energy margins'!$AA$59,""),'Energy margins'!$AC$59)=0,'Energy margins'!$Z$59,0))</f>
        <v>0</v>
      </c>
      <c r="R99" s="918">
        <f>IF(ISERROR(IF(MOD(IF(AND(B99&gt;='Energy margins'!$AA$60,B99&lt;='Energy margins'!$AB$60),B99-'Energy margins'!$AA$60,""),'Energy margins'!$AC$60)=0,'Energy margins'!$Z$60,0)),0,IF(MOD(IF(AND(B99&gt;='Energy margins'!$AA$60,B99&lt;='Energy margins'!$AB$60),B99-'Energy margins'!$AA$60,""),'Energy margins'!$AC$60)=0,'Energy margins'!$Z$60,0))</f>
        <v>0</v>
      </c>
      <c r="S99" s="918">
        <f>IF(ISERROR(IF(MOD(IF(AND(B99&gt;='Energy margins'!$AA$61,B99&lt;='Energy margins'!$AB$61),B99-'Energy margins'!$AA$61,""),'Energy margins'!$AC$61)=0,'Energy margins'!$Z$61,0)),0,IF(MOD(IF(AND(B99&gt;='Energy margins'!$AA$61,B99&lt;='Energy margins'!$AB$61),B99-'Energy margins'!$AA$61,""),'Energy margins'!$AC$61)=0,'Energy margins'!$Z$61,0))</f>
        <v>197.74999999999997</v>
      </c>
      <c r="T99" s="918">
        <f>IF(ISERROR(IF(MOD(IF(AND(B99&gt;='Energy margins'!$AA$62,B99&lt;='Energy margins'!$AB$62),B99-'Energy margins'!$AA$62,""),'Energy margins'!$AC$62)=0,'Energy margins'!$Z$62,0)),0,IF(MOD(IF(AND(B99&gt;='Energy margins'!$AA$62,B99&lt;='Energy margins'!$AB$62),B99-'Energy margins'!$AA$62,""),'Energy margins'!$AC$62)=0,'Energy margins'!$Z$62,0))</f>
        <v>0</v>
      </c>
      <c r="U99" s="944">
        <f t="shared" si="48"/>
        <v>418.53934399999991</v>
      </c>
      <c r="V99" s="197"/>
      <c r="W99" s="197">
        <f t="shared" si="53"/>
        <v>418.53934399999991</v>
      </c>
      <c r="X99" s="197">
        <f t="shared" si="49"/>
        <v>237.71065600000009</v>
      </c>
      <c r="Y99" s="197">
        <f t="shared" si="50"/>
        <v>567.71065600000009</v>
      </c>
      <c r="Z99" s="973">
        <f t="shared" si="54"/>
        <v>518.04981001852036</v>
      </c>
      <c r="AA99" s="974">
        <f t="shared" si="55"/>
        <v>260.50504732359883</v>
      </c>
      <c r="AB99" s="974">
        <f t="shared" si="56"/>
        <v>330.39882307729692</v>
      </c>
      <c r="AC99" s="974">
        <f t="shared" si="57"/>
        <v>187.65098694122347</v>
      </c>
      <c r="AD99" s="974">
        <f t="shared" si="58"/>
        <v>448.15603426482227</v>
      </c>
      <c r="AE99" s="973">
        <f t="shared" si="64"/>
        <v>4276.2143461312862</v>
      </c>
      <c r="AF99" s="974">
        <f t="shared" si="59"/>
        <v>2646.4984225467078</v>
      </c>
      <c r="AG99" s="974">
        <f t="shared" si="60"/>
        <v>6055.8217497999703</v>
      </c>
      <c r="AH99" s="974">
        <f t="shared" si="61"/>
        <v>-1779.6074036686841</v>
      </c>
      <c r="AI99" s="975">
        <f t="shared" si="62"/>
        <v>866.89101887802349</v>
      </c>
    </row>
    <row r="100" spans="2:35" x14ac:dyDescent="0.3">
      <c r="B100" s="900">
        <v>10</v>
      </c>
      <c r="C100" s="922">
        <f>'Energy Inputs'!G39</f>
        <v>1</v>
      </c>
      <c r="D100" s="918">
        <f>C100*'Energy Inputs'!$G$24</f>
        <v>15</v>
      </c>
      <c r="E100" s="197">
        <f>'Energy margins'!$Z$12</f>
        <v>43.75</v>
      </c>
      <c r="F100" s="197">
        <f t="shared" si="63"/>
        <v>656.25</v>
      </c>
      <c r="G100" s="918">
        <f>'Energy Inputs'!$D$10</f>
        <v>330</v>
      </c>
      <c r="H100" s="197">
        <f t="shared" si="52"/>
        <v>986.25</v>
      </c>
      <c r="I100" s="197"/>
      <c r="J100" s="947">
        <f>IF(ISERROR(IF(MOD(IF(AND(B100&gt;='Energy margins'!$AA$44,B100&lt;='Energy margins'!$AB$44),B100-'Energy margins'!$AA$44,""),'Energy margins'!$AC$44)=0,'Energy margins'!$Z$44,0)),0,IF(MOD(IF(AND(B100&gt;='Energy margins'!$AA$44,B100&lt;='Energy margins'!$AB$44),B100-'Energy margins'!$AA$44,""),'Energy margins'!$AC$44)=0,'Energy margins'!$Z$44,0))</f>
        <v>0</v>
      </c>
      <c r="K100" s="918">
        <f>IF(ISERROR(IF(MOD(IF(AND(B100&gt;='Energy margins'!$AA$45,B100&lt;='Energy margins'!$AB$45),B100-'Energy margins'!$AA$45,""),'Energy margins'!$AC$45)=0,'Energy margins'!$Z$45,0)),0,IF(MOD(IF(AND(B100&gt;='Energy margins'!$AA$45,B100&lt;='Energy margins'!$AB$45),B100-'Energy margins'!$AA$45,""),'Energy margins'!$AC$45)=0,'Energy margins'!$Z$45,0))</f>
        <v>0</v>
      </c>
      <c r="L100" s="918">
        <f>IF(ISERROR(IF(MOD(IF(AND(B100&gt;='Energy margins'!$AA$46,B100&lt;='Energy margins'!$AB$46),B100-'Energy margins'!$AA$46,""),'Energy margins'!$AC$46)=0,'Energy margins'!$Z$46,0)),0,IF(MOD(IF(AND(B100&gt;='Energy margins'!$AA$46,B100&lt;='Energy margins'!$AB$46),B100-'Energy margins'!$AA$46,""),'Energy margins'!$AC$46)=0,'Energy margins'!$Z$46,0))</f>
        <v>0</v>
      </c>
      <c r="M100" s="918">
        <f>IF(ISERROR(IF(MOD(IF(AND(B100&gt;='Energy margins'!$AA$47,B100&lt;='Energy margins'!$AB$47),B100-'Energy margins'!$AA$47,""),'Energy margins'!$AC$47)=0,'Energy margins'!$Z$47,0)),0,IF(MOD(IF(AND(B100&gt;='Energy margins'!$AA$47,B100&lt;='Energy margins'!$AB$47),B100-'Energy margins'!$AA$47,""),'Energy margins'!$AC$47)=0,'Energy margins'!$Z$47,0))</f>
        <v>19.974783999999993</v>
      </c>
      <c r="N100" s="918">
        <f>IF(ISERROR(IF(MOD(IF(AND(B100&gt;='Energy margins'!$AA$50,B100&lt;='Energy margins'!$AB$50),B100-'Energy margins'!$AA$50,""),'Energy margins'!$AC$50)=0,'Energy margins'!$Z$50,0)),0,IF(MOD(IF(AND(B100&gt;='Energy margins'!$AA$50,B100&lt;='Energy margins'!$AB$50),B100-'Energy margins'!$AA$50,""),'Energy margins'!$AC$50)=0,'Energy margins'!$Z$50,0))</f>
        <v>88.411199999999994</v>
      </c>
      <c r="O100" s="918">
        <f>IF(ISERROR(IF(MOD(IF(AND(B100&gt;='Energy margins'!$AA$53,B100&lt;='Energy margins'!$AB$53),B100-'Energy margins'!$AA$53,""),'Energy margins'!$AC$53)=0,'Energy margins'!$Z$53,0)),0,IF(MOD(IF(AND(B100&gt;='Energy margins'!$AA$53,B100&lt;='Energy margins'!$AB$53),B100-'Energy margins'!$AA$53,""),'Energy margins'!$AC$53)=0,'Energy margins'!$Z$53,0))</f>
        <v>66.638359999999992</v>
      </c>
      <c r="P100" s="918">
        <f>IF(ISERROR(IF(MOD(IF(AND(B100&gt;='Energy margins'!$AA$56,B100&lt;='Energy margins'!$AB$56),B100-'Energy margins'!$AA$56,""),'Energy margins'!$AC$56)=0,'Energy margins'!$Z$56,0)),0,IF(MOD(IF(AND(B100&gt;='Energy margins'!$AA$56,B100&lt;='Energy margins'!$AB$56),B100-'Energy margins'!$AA$56,""),'Energy margins'!$AC$56)=0,'Energy margins'!$Z$56,0))</f>
        <v>45.764999999999993</v>
      </c>
      <c r="Q100" s="918">
        <f>IF(ISERROR(IF(MOD(IF(AND(B100&gt;='Energy margins'!$AA$59,B100&lt;='Energy margins'!$AB$59),B100-'Energy margins'!$AA$59,""),'Energy margins'!$AC$59)=0,'Energy margins'!$Z$59,0)),0,IF(MOD(IF(AND(B100&gt;='Energy margins'!$AA$59,B100&lt;='Energy margins'!$AB$59),B100-'Energy margins'!$AA$59,""),'Energy margins'!$AC$59)=0,'Energy margins'!$Z$59,0))</f>
        <v>0</v>
      </c>
      <c r="R100" s="918">
        <f>IF(ISERROR(IF(MOD(IF(AND(B100&gt;='Energy margins'!$AA$60,B100&lt;='Energy margins'!$AB$60),B100-'Energy margins'!$AA$60,""),'Energy margins'!$AC$60)=0,'Energy margins'!$Z$60,0)),0,IF(MOD(IF(AND(B100&gt;='Energy margins'!$AA$60,B100&lt;='Energy margins'!$AB$60),B100-'Energy margins'!$AA$60,""),'Energy margins'!$AC$60)=0,'Energy margins'!$Z$60,0))</f>
        <v>0</v>
      </c>
      <c r="S100" s="918">
        <f>IF(ISERROR(IF(MOD(IF(AND(B100&gt;='Energy margins'!$AA$61,B100&lt;='Energy margins'!$AB$61),B100-'Energy margins'!$AA$61,""),'Energy margins'!$AC$61)=0,'Energy margins'!$Z$61,0)),0,IF(MOD(IF(AND(B100&gt;='Energy margins'!$AA$61,B100&lt;='Energy margins'!$AB$61),B100-'Energy margins'!$AA$61,""),'Energy margins'!$AC$61)=0,'Energy margins'!$Z$61,0))</f>
        <v>197.74999999999997</v>
      </c>
      <c r="T100" s="918">
        <f>IF(ISERROR(IF(MOD(IF(AND(B100&gt;='Energy margins'!$AA$62,B100&lt;='Energy margins'!$AB$62),B100-'Energy margins'!$AA$62,""),'Energy margins'!$AC$62)=0,'Energy margins'!$Z$62,0)),0,IF(MOD(IF(AND(B100&gt;='Energy margins'!$AA$62,B100&lt;='Energy margins'!$AB$62),B100-'Energy margins'!$AA$62,""),'Energy margins'!$AC$62)=0,'Energy margins'!$Z$62,0))</f>
        <v>0</v>
      </c>
      <c r="U100" s="944">
        <f t="shared" si="48"/>
        <v>418.53934399999991</v>
      </c>
      <c r="V100" s="197"/>
      <c r="W100" s="197">
        <f t="shared" si="53"/>
        <v>418.53934399999991</v>
      </c>
      <c r="X100" s="197">
        <f t="shared" si="49"/>
        <v>237.71065600000009</v>
      </c>
      <c r="Y100" s="197">
        <f t="shared" si="50"/>
        <v>567.71065600000009</v>
      </c>
      <c r="Z100" s="973">
        <f t="shared" si="54"/>
        <v>502.9609806005052</v>
      </c>
      <c r="AA100" s="974">
        <f t="shared" si="55"/>
        <v>252.91752167339689</v>
      </c>
      <c r="AB100" s="974">
        <f t="shared" si="56"/>
        <v>320.77555638572511</v>
      </c>
      <c r="AC100" s="974">
        <f t="shared" si="57"/>
        <v>182.18542421478006</v>
      </c>
      <c r="AD100" s="974">
        <f t="shared" si="58"/>
        <v>435.10294588817692</v>
      </c>
      <c r="AE100" s="973">
        <f t="shared" si="64"/>
        <v>4779.1753267317918</v>
      </c>
      <c r="AF100" s="974">
        <f t="shared" si="59"/>
        <v>2899.4159442201048</v>
      </c>
      <c r="AG100" s="974">
        <f t="shared" si="60"/>
        <v>6376.5973061856957</v>
      </c>
      <c r="AH100" s="974">
        <f t="shared" si="61"/>
        <v>-1597.421979453904</v>
      </c>
      <c r="AI100" s="975">
        <f t="shared" si="62"/>
        <v>1301.9939647662004</v>
      </c>
    </row>
    <row r="101" spans="2:35" x14ac:dyDescent="0.3">
      <c r="B101" s="900">
        <v>11</v>
      </c>
      <c r="C101" s="922">
        <f>'Energy Inputs'!G40</f>
        <v>1</v>
      </c>
      <c r="D101" s="918">
        <f>C101*'Energy Inputs'!$G$24</f>
        <v>15</v>
      </c>
      <c r="E101" s="197">
        <f>'Energy margins'!$Z$12</f>
        <v>43.75</v>
      </c>
      <c r="F101" s="197">
        <f t="shared" si="63"/>
        <v>656.25</v>
      </c>
      <c r="G101" s="918">
        <f>'Energy Inputs'!$D$10</f>
        <v>330</v>
      </c>
      <c r="H101" s="197">
        <f t="shared" si="52"/>
        <v>986.25</v>
      </c>
      <c r="I101" s="197"/>
      <c r="J101" s="947">
        <f>IF(ISERROR(IF(MOD(IF(AND(B101&gt;='Energy margins'!$AA$44,B101&lt;='Energy margins'!$AB$44),B101-'Energy margins'!$AA$44,""),'Energy margins'!$AC$44)=0,'Energy margins'!$Z$44,0)),0,IF(MOD(IF(AND(B101&gt;='Energy margins'!$AA$44,B101&lt;='Energy margins'!$AB$44),B101-'Energy margins'!$AA$44,""),'Energy margins'!$AC$44)=0,'Energy margins'!$Z$44,0))</f>
        <v>0</v>
      </c>
      <c r="K101" s="918">
        <f>IF(ISERROR(IF(MOD(IF(AND(B101&gt;='Energy margins'!$AA$45,B101&lt;='Energy margins'!$AB$45),B101-'Energy margins'!$AA$45,""),'Energy margins'!$AC$45)=0,'Energy margins'!$Z$45,0)),0,IF(MOD(IF(AND(B101&gt;='Energy margins'!$AA$45,B101&lt;='Energy margins'!$AB$45),B101-'Energy margins'!$AA$45,""),'Energy margins'!$AC$45)=0,'Energy margins'!$Z$45,0))</f>
        <v>0</v>
      </c>
      <c r="L101" s="918">
        <f>IF(ISERROR(IF(MOD(IF(AND(B101&gt;='Energy margins'!$AA$46,B101&lt;='Energy margins'!$AB$46),B101-'Energy margins'!$AA$46,""),'Energy margins'!$AC$46)=0,'Energy margins'!$Z$46,0)),0,IF(MOD(IF(AND(B101&gt;='Energy margins'!$AA$46,B101&lt;='Energy margins'!$AB$46),B101-'Energy margins'!$AA$46,""),'Energy margins'!$AC$46)=0,'Energy margins'!$Z$46,0))</f>
        <v>0</v>
      </c>
      <c r="M101" s="918">
        <f>IF(ISERROR(IF(MOD(IF(AND(B101&gt;='Energy margins'!$AA$47,B101&lt;='Energy margins'!$AB$47),B101-'Energy margins'!$AA$47,""),'Energy margins'!$AC$47)=0,'Energy margins'!$Z$47,0)),0,IF(MOD(IF(AND(B101&gt;='Energy margins'!$AA$47,B101&lt;='Energy margins'!$AB$47),B101-'Energy margins'!$AA$47,""),'Energy margins'!$AC$47)=0,'Energy margins'!$Z$47,0))</f>
        <v>19.974783999999993</v>
      </c>
      <c r="N101" s="918">
        <f>IF(ISERROR(IF(MOD(IF(AND(B101&gt;='Energy margins'!$AA$50,B101&lt;='Energy margins'!$AB$50),B101-'Energy margins'!$AA$50,""),'Energy margins'!$AC$50)=0,'Energy margins'!$Z$50,0)),0,IF(MOD(IF(AND(B101&gt;='Energy margins'!$AA$50,B101&lt;='Energy margins'!$AB$50),B101-'Energy margins'!$AA$50,""),'Energy margins'!$AC$50)=0,'Energy margins'!$Z$50,0))</f>
        <v>88.411199999999994</v>
      </c>
      <c r="O101" s="918">
        <f>IF(ISERROR(IF(MOD(IF(AND(B101&gt;='Energy margins'!$AA$53,B101&lt;='Energy margins'!$AB$53),B101-'Energy margins'!$AA$53,""),'Energy margins'!$AC$53)=0,'Energy margins'!$Z$53,0)),0,IF(MOD(IF(AND(B101&gt;='Energy margins'!$AA$53,B101&lt;='Energy margins'!$AB$53),B101-'Energy margins'!$AA$53,""),'Energy margins'!$AC$53)=0,'Energy margins'!$Z$53,0))</f>
        <v>66.638359999999992</v>
      </c>
      <c r="P101" s="918">
        <f>IF(ISERROR(IF(MOD(IF(AND(B101&gt;='Energy margins'!$AA$56,B101&lt;='Energy margins'!$AB$56),B101-'Energy margins'!$AA$56,""),'Energy margins'!$AC$56)=0,'Energy margins'!$Z$56,0)),0,IF(MOD(IF(AND(B101&gt;='Energy margins'!$AA$56,B101&lt;='Energy margins'!$AB$56),B101-'Energy margins'!$AA$56,""),'Energy margins'!$AC$56)=0,'Energy margins'!$Z$56,0))</f>
        <v>45.764999999999993</v>
      </c>
      <c r="Q101" s="918">
        <f>IF(ISERROR(IF(MOD(IF(AND(B101&gt;='Energy margins'!$AA$59,B101&lt;='Energy margins'!$AB$59),B101-'Energy margins'!$AA$59,""),'Energy margins'!$AC$59)=0,'Energy margins'!$Z$59,0)),0,IF(MOD(IF(AND(B101&gt;='Energy margins'!$AA$59,B101&lt;='Energy margins'!$AB$59),B101-'Energy margins'!$AA$59,""),'Energy margins'!$AC$59)=0,'Energy margins'!$Z$59,0))</f>
        <v>0</v>
      </c>
      <c r="R101" s="918">
        <f>IF(ISERROR(IF(MOD(IF(AND(B101&gt;='Energy margins'!$AA$60,B101&lt;='Energy margins'!$AB$60),B101-'Energy margins'!$AA$60,""),'Energy margins'!$AC$60)=0,'Energy margins'!$Z$60,0)),0,IF(MOD(IF(AND(B101&gt;='Energy margins'!$AA$60,B101&lt;='Energy margins'!$AB$60),B101-'Energy margins'!$AA$60,""),'Energy margins'!$AC$60)=0,'Energy margins'!$Z$60,0))</f>
        <v>0</v>
      </c>
      <c r="S101" s="918">
        <f>IF(ISERROR(IF(MOD(IF(AND(B101&gt;='Energy margins'!$AA$61,B101&lt;='Energy margins'!$AB$61),B101-'Energy margins'!$AA$61,""),'Energy margins'!$AC$61)=0,'Energy margins'!$Z$61,0)),0,IF(MOD(IF(AND(B101&gt;='Energy margins'!$AA$61,B101&lt;='Energy margins'!$AB$61),B101-'Energy margins'!$AA$61,""),'Energy margins'!$AC$61)=0,'Energy margins'!$Z$61,0))</f>
        <v>197.74999999999997</v>
      </c>
      <c r="T101" s="918">
        <f>IF(ISERROR(IF(MOD(IF(AND(B101&gt;='Energy margins'!$AA$62,B101&lt;='Energy margins'!$AB$62),B101-'Energy margins'!$AA$62,""),'Energy margins'!$AC$62)=0,'Energy margins'!$Z$62,0)),0,IF(MOD(IF(AND(B101&gt;='Energy margins'!$AA$62,B101&lt;='Energy margins'!$AB$62),B101-'Energy margins'!$AA$62,""),'Energy margins'!$AC$62)=0,'Energy margins'!$Z$62,0))</f>
        <v>0</v>
      </c>
      <c r="U101" s="944">
        <f t="shared" si="48"/>
        <v>418.53934399999991</v>
      </c>
      <c r="V101" s="197"/>
      <c r="W101" s="197">
        <f t="shared" si="53"/>
        <v>418.53934399999991</v>
      </c>
      <c r="X101" s="197">
        <f t="shared" si="49"/>
        <v>237.71065600000009</v>
      </c>
      <c r="Y101" s="197">
        <f t="shared" si="50"/>
        <v>567.71065600000009</v>
      </c>
      <c r="Z101" s="973">
        <f t="shared" si="54"/>
        <v>488.31163165097593</v>
      </c>
      <c r="AA101" s="974">
        <f t="shared" si="55"/>
        <v>245.55099191591933</v>
      </c>
      <c r="AB101" s="974">
        <f t="shared" si="56"/>
        <v>311.43257901526715</v>
      </c>
      <c r="AC101" s="974">
        <f t="shared" si="57"/>
        <v>176.87905263570877</v>
      </c>
      <c r="AD101" s="974">
        <f t="shared" si="58"/>
        <v>422.4300445516281</v>
      </c>
      <c r="AE101" s="973">
        <f t="shared" si="64"/>
        <v>5267.4869583827676</v>
      </c>
      <c r="AF101" s="974">
        <f t="shared" si="59"/>
        <v>3144.9669361360243</v>
      </c>
      <c r="AG101" s="974">
        <f t="shared" si="60"/>
        <v>6688.0298852009628</v>
      </c>
      <c r="AH101" s="974">
        <f t="shared" si="61"/>
        <v>-1420.5429268181952</v>
      </c>
      <c r="AI101" s="975">
        <f t="shared" si="62"/>
        <v>1724.4240093178284</v>
      </c>
    </row>
    <row r="102" spans="2:35" x14ac:dyDescent="0.3">
      <c r="B102" s="900">
        <v>12</v>
      </c>
      <c r="C102" s="922">
        <f>'Energy Inputs'!G41</f>
        <v>1</v>
      </c>
      <c r="D102" s="918">
        <f>C102*'Energy Inputs'!$G$24</f>
        <v>15</v>
      </c>
      <c r="E102" s="197">
        <f>'Energy margins'!$Z$12</f>
        <v>43.75</v>
      </c>
      <c r="F102" s="197">
        <f t="shared" si="63"/>
        <v>656.25</v>
      </c>
      <c r="G102" s="918">
        <f>'Energy Inputs'!$D$10</f>
        <v>330</v>
      </c>
      <c r="H102" s="197">
        <f t="shared" si="52"/>
        <v>986.25</v>
      </c>
      <c r="I102" s="197"/>
      <c r="J102" s="947">
        <f>IF(ISERROR(IF(MOD(IF(AND(B102&gt;='Energy margins'!$AA$44,B102&lt;='Energy margins'!$AB$44),B102-'Energy margins'!$AA$44,""),'Energy margins'!$AC$44)=0,'Energy margins'!$Z$44,0)),0,IF(MOD(IF(AND(B102&gt;='Energy margins'!$AA$44,B102&lt;='Energy margins'!$AB$44),B102-'Energy margins'!$AA$44,""),'Energy margins'!$AC$44)=0,'Energy margins'!$Z$44,0))</f>
        <v>0</v>
      </c>
      <c r="K102" s="918">
        <f>IF(ISERROR(IF(MOD(IF(AND(B102&gt;='Energy margins'!$AA$45,B102&lt;='Energy margins'!$AB$45),B102-'Energy margins'!$AA$45,""),'Energy margins'!$AC$45)=0,'Energy margins'!$Z$45,0)),0,IF(MOD(IF(AND(B102&gt;='Energy margins'!$AA$45,B102&lt;='Energy margins'!$AB$45),B102-'Energy margins'!$AA$45,""),'Energy margins'!$AC$45)=0,'Energy margins'!$Z$45,0))</f>
        <v>0</v>
      </c>
      <c r="L102" s="918">
        <f>IF(ISERROR(IF(MOD(IF(AND(B102&gt;='Energy margins'!$AA$46,B102&lt;='Energy margins'!$AB$46),B102-'Energy margins'!$AA$46,""),'Energy margins'!$AC$46)=0,'Energy margins'!$Z$46,0)),0,IF(MOD(IF(AND(B102&gt;='Energy margins'!$AA$46,B102&lt;='Energy margins'!$AB$46),B102-'Energy margins'!$AA$46,""),'Energy margins'!$AC$46)=0,'Energy margins'!$Z$46,0))</f>
        <v>0</v>
      </c>
      <c r="M102" s="918">
        <f>IF(ISERROR(IF(MOD(IF(AND(B102&gt;='Energy margins'!$AA$47,B102&lt;='Energy margins'!$AB$47),B102-'Energy margins'!$AA$47,""),'Energy margins'!$AC$47)=0,'Energy margins'!$Z$47,0)),0,IF(MOD(IF(AND(B102&gt;='Energy margins'!$AA$47,B102&lt;='Energy margins'!$AB$47),B102-'Energy margins'!$AA$47,""),'Energy margins'!$AC$47)=0,'Energy margins'!$Z$47,0))</f>
        <v>19.974783999999993</v>
      </c>
      <c r="N102" s="918">
        <f>IF(ISERROR(IF(MOD(IF(AND(B102&gt;='Energy margins'!$AA$50,B102&lt;='Energy margins'!$AB$50),B102-'Energy margins'!$AA$50,""),'Energy margins'!$AC$50)=0,'Energy margins'!$Z$50,0)),0,IF(MOD(IF(AND(B102&gt;='Energy margins'!$AA$50,B102&lt;='Energy margins'!$AB$50),B102-'Energy margins'!$AA$50,""),'Energy margins'!$AC$50)=0,'Energy margins'!$Z$50,0))</f>
        <v>88.411199999999994</v>
      </c>
      <c r="O102" s="918">
        <f>IF(ISERROR(IF(MOD(IF(AND(B102&gt;='Energy margins'!$AA$53,B102&lt;='Energy margins'!$AB$53),B102-'Energy margins'!$AA$53,""),'Energy margins'!$AC$53)=0,'Energy margins'!$Z$53,0)),0,IF(MOD(IF(AND(B102&gt;='Energy margins'!$AA$53,B102&lt;='Energy margins'!$AB$53),B102-'Energy margins'!$AA$53,""),'Energy margins'!$AC$53)=0,'Energy margins'!$Z$53,0))</f>
        <v>66.638359999999992</v>
      </c>
      <c r="P102" s="918">
        <f>IF(ISERROR(IF(MOD(IF(AND(B102&gt;='Energy margins'!$AA$56,B102&lt;='Energy margins'!$AB$56),B102-'Energy margins'!$AA$56,""),'Energy margins'!$AC$56)=0,'Energy margins'!$Z$56,0)),0,IF(MOD(IF(AND(B102&gt;='Energy margins'!$AA$56,B102&lt;='Energy margins'!$AB$56),B102-'Energy margins'!$AA$56,""),'Energy margins'!$AC$56)=0,'Energy margins'!$Z$56,0))</f>
        <v>45.764999999999993</v>
      </c>
      <c r="Q102" s="918">
        <f>IF(ISERROR(IF(MOD(IF(AND(B102&gt;='Energy margins'!$AA$59,B102&lt;='Energy margins'!$AB$59),B102-'Energy margins'!$AA$59,""),'Energy margins'!$AC$59)=0,'Energy margins'!$Z$59,0)),0,IF(MOD(IF(AND(B102&gt;='Energy margins'!$AA$59,B102&lt;='Energy margins'!$AB$59),B102-'Energy margins'!$AA$59,""),'Energy margins'!$AC$59)=0,'Energy margins'!$Z$59,0))</f>
        <v>0</v>
      </c>
      <c r="R102" s="918">
        <f>IF(ISERROR(IF(MOD(IF(AND(B102&gt;='Energy margins'!$AA$60,B102&lt;='Energy margins'!$AB$60),B102-'Energy margins'!$AA$60,""),'Energy margins'!$AC$60)=0,'Energy margins'!$Z$60,0)),0,IF(MOD(IF(AND(B102&gt;='Energy margins'!$AA$60,B102&lt;='Energy margins'!$AB$60),B102-'Energy margins'!$AA$60,""),'Energy margins'!$AC$60)=0,'Energy margins'!$Z$60,0))</f>
        <v>0</v>
      </c>
      <c r="S102" s="918">
        <f>IF(ISERROR(IF(MOD(IF(AND(B102&gt;='Energy margins'!$AA$61,B102&lt;='Energy margins'!$AB$61),B102-'Energy margins'!$AA$61,""),'Energy margins'!$AC$61)=0,'Energy margins'!$Z$61,0)),0,IF(MOD(IF(AND(B102&gt;='Energy margins'!$AA$61,B102&lt;='Energy margins'!$AB$61),B102-'Energy margins'!$AA$61,""),'Energy margins'!$AC$61)=0,'Energy margins'!$Z$61,0))</f>
        <v>197.74999999999997</v>
      </c>
      <c r="T102" s="918">
        <f>IF(ISERROR(IF(MOD(IF(AND(B102&gt;='Energy margins'!$AA$62,B102&lt;='Energy margins'!$AB$62),B102-'Energy margins'!$AA$62,""),'Energy margins'!$AC$62)=0,'Energy margins'!$Z$62,0)),0,IF(MOD(IF(AND(B102&gt;='Energy margins'!$AA$62,B102&lt;='Energy margins'!$AB$62),B102-'Energy margins'!$AA$62,""),'Energy margins'!$AC$62)=0,'Energy margins'!$Z$62,0))</f>
        <v>0</v>
      </c>
      <c r="U102" s="944">
        <f t="shared" si="48"/>
        <v>418.53934399999991</v>
      </c>
      <c r="V102" s="197"/>
      <c r="W102" s="197">
        <f t="shared" si="53"/>
        <v>418.53934399999991</v>
      </c>
      <c r="X102" s="197">
        <f t="shared" si="49"/>
        <v>237.71065600000009</v>
      </c>
      <c r="Y102" s="197">
        <f t="shared" si="50"/>
        <v>567.71065600000009</v>
      </c>
      <c r="Z102" s="973">
        <f t="shared" si="54"/>
        <v>474.08896276793774</v>
      </c>
      <c r="AA102" s="974">
        <f t="shared" si="55"/>
        <v>238.39902127759154</v>
      </c>
      <c r="AB102" s="974">
        <f t="shared" si="56"/>
        <v>302.36172719928845</v>
      </c>
      <c r="AC102" s="974">
        <f t="shared" si="57"/>
        <v>171.72723556864929</v>
      </c>
      <c r="AD102" s="974">
        <f t="shared" si="58"/>
        <v>410.12625684624084</v>
      </c>
      <c r="AE102" s="973">
        <f t="shared" si="64"/>
        <v>5741.5759211507057</v>
      </c>
      <c r="AF102" s="974">
        <f t="shared" si="59"/>
        <v>3383.3659574136159</v>
      </c>
      <c r="AG102" s="974">
        <f t="shared" si="60"/>
        <v>6990.3916124002517</v>
      </c>
      <c r="AH102" s="974">
        <f t="shared" si="61"/>
        <v>-1248.8156912495458</v>
      </c>
      <c r="AI102" s="975">
        <f t="shared" si="62"/>
        <v>2134.5502661640694</v>
      </c>
    </row>
    <row r="103" spans="2:35" x14ac:dyDescent="0.3">
      <c r="B103" s="900">
        <v>13</v>
      </c>
      <c r="C103" s="922">
        <f>'Energy Inputs'!G42</f>
        <v>1</v>
      </c>
      <c r="D103" s="918">
        <f>C103*'Energy Inputs'!$G$24</f>
        <v>15</v>
      </c>
      <c r="E103" s="197">
        <f>'Energy margins'!$Z$12</f>
        <v>43.75</v>
      </c>
      <c r="F103" s="197">
        <f t="shared" si="63"/>
        <v>656.25</v>
      </c>
      <c r="G103" s="918">
        <f>'Energy Inputs'!$D$10</f>
        <v>330</v>
      </c>
      <c r="H103" s="197">
        <f t="shared" si="52"/>
        <v>986.25</v>
      </c>
      <c r="I103" s="197"/>
      <c r="J103" s="947">
        <f>IF(ISERROR(IF(MOD(IF(AND(B103&gt;='Energy margins'!$AA$44,B103&lt;='Energy margins'!$AB$44),B103-'Energy margins'!$AA$44,""),'Energy margins'!$AC$44)=0,'Energy margins'!$Z$44,0)),0,IF(MOD(IF(AND(B103&gt;='Energy margins'!$AA$44,B103&lt;='Energy margins'!$AB$44),B103-'Energy margins'!$AA$44,""),'Energy margins'!$AC$44)=0,'Energy margins'!$Z$44,0))</f>
        <v>0</v>
      </c>
      <c r="K103" s="918">
        <f>IF(ISERROR(IF(MOD(IF(AND(B103&gt;='Energy margins'!$AA$45,B103&lt;='Energy margins'!$AB$45),B103-'Energy margins'!$AA$45,""),'Energy margins'!$AC$45)=0,'Energy margins'!$Z$45,0)),0,IF(MOD(IF(AND(B103&gt;='Energy margins'!$AA$45,B103&lt;='Energy margins'!$AB$45),B103-'Energy margins'!$AA$45,""),'Energy margins'!$AC$45)=0,'Energy margins'!$Z$45,0))</f>
        <v>0</v>
      </c>
      <c r="L103" s="918">
        <f>IF(ISERROR(IF(MOD(IF(AND(B103&gt;='Energy margins'!$AA$46,B103&lt;='Energy margins'!$AB$46),B103-'Energy margins'!$AA$46,""),'Energy margins'!$AC$46)=0,'Energy margins'!$Z$46,0)),0,IF(MOD(IF(AND(B103&gt;='Energy margins'!$AA$46,B103&lt;='Energy margins'!$AB$46),B103-'Energy margins'!$AA$46,""),'Energy margins'!$AC$46)=0,'Energy margins'!$Z$46,0))</f>
        <v>0</v>
      </c>
      <c r="M103" s="918">
        <f>IF(ISERROR(IF(MOD(IF(AND(B103&gt;='Energy margins'!$AA$47,B103&lt;='Energy margins'!$AB$47),B103-'Energy margins'!$AA$47,""),'Energy margins'!$AC$47)=0,'Energy margins'!$Z$47,0)),0,IF(MOD(IF(AND(B103&gt;='Energy margins'!$AA$47,B103&lt;='Energy margins'!$AB$47),B103-'Energy margins'!$AA$47,""),'Energy margins'!$AC$47)=0,'Energy margins'!$Z$47,0))</f>
        <v>19.974783999999993</v>
      </c>
      <c r="N103" s="918">
        <f>IF(ISERROR(IF(MOD(IF(AND(B103&gt;='Energy margins'!$AA$50,B103&lt;='Energy margins'!$AB$50),B103-'Energy margins'!$AA$50,""),'Energy margins'!$AC$50)=0,'Energy margins'!$Z$50,0)),0,IF(MOD(IF(AND(B103&gt;='Energy margins'!$AA$50,B103&lt;='Energy margins'!$AB$50),B103-'Energy margins'!$AA$50,""),'Energy margins'!$AC$50)=0,'Energy margins'!$Z$50,0))</f>
        <v>88.411199999999994</v>
      </c>
      <c r="O103" s="918">
        <f>IF(ISERROR(IF(MOD(IF(AND(B103&gt;='Energy margins'!$AA$53,B103&lt;='Energy margins'!$AB$53),B103-'Energy margins'!$AA$53,""),'Energy margins'!$AC$53)=0,'Energy margins'!$Z$53,0)),0,IF(MOD(IF(AND(B103&gt;='Energy margins'!$AA$53,B103&lt;='Energy margins'!$AB$53),B103-'Energy margins'!$AA$53,""),'Energy margins'!$AC$53)=0,'Energy margins'!$Z$53,0))</f>
        <v>66.638359999999992</v>
      </c>
      <c r="P103" s="918">
        <f>IF(ISERROR(IF(MOD(IF(AND(B103&gt;='Energy margins'!$AA$56,B103&lt;='Energy margins'!$AB$56),B103-'Energy margins'!$AA$56,""),'Energy margins'!$AC$56)=0,'Energy margins'!$Z$56,0)),0,IF(MOD(IF(AND(B103&gt;='Energy margins'!$AA$56,B103&lt;='Energy margins'!$AB$56),B103-'Energy margins'!$AA$56,""),'Energy margins'!$AC$56)=0,'Energy margins'!$Z$56,0))</f>
        <v>45.764999999999993</v>
      </c>
      <c r="Q103" s="918">
        <f>IF(ISERROR(IF(MOD(IF(AND(B103&gt;='Energy margins'!$AA$59,B103&lt;='Energy margins'!$AB$59),B103-'Energy margins'!$AA$59,""),'Energy margins'!$AC$59)=0,'Energy margins'!$Z$59,0)),0,IF(MOD(IF(AND(B103&gt;='Energy margins'!$AA$59,B103&lt;='Energy margins'!$AB$59),B103-'Energy margins'!$AA$59,""),'Energy margins'!$AC$59)=0,'Energy margins'!$Z$59,0))</f>
        <v>0</v>
      </c>
      <c r="R103" s="918">
        <f>IF(ISERROR(IF(MOD(IF(AND(B103&gt;='Energy margins'!$AA$60,B103&lt;='Energy margins'!$AB$60),B103-'Energy margins'!$AA$60,""),'Energy margins'!$AC$60)=0,'Energy margins'!$Z$60,0)),0,IF(MOD(IF(AND(B103&gt;='Energy margins'!$AA$60,B103&lt;='Energy margins'!$AB$60),B103-'Energy margins'!$AA$60,""),'Energy margins'!$AC$60)=0,'Energy margins'!$Z$60,0))</f>
        <v>0</v>
      </c>
      <c r="S103" s="918">
        <f>IF(ISERROR(IF(MOD(IF(AND(B103&gt;='Energy margins'!$AA$61,B103&lt;='Energy margins'!$AB$61),B103-'Energy margins'!$AA$61,""),'Energy margins'!$AC$61)=0,'Energy margins'!$Z$61,0)),0,IF(MOD(IF(AND(B103&gt;='Energy margins'!$AA$61,B103&lt;='Energy margins'!$AB$61),B103-'Energy margins'!$AA$61,""),'Energy margins'!$AC$61)=0,'Energy margins'!$Z$61,0))</f>
        <v>197.74999999999997</v>
      </c>
      <c r="T103" s="918">
        <f>IF(ISERROR(IF(MOD(IF(AND(B103&gt;='Energy margins'!$AA$62,B103&lt;='Energy margins'!$AB$62),B103-'Energy margins'!$AA$62,""),'Energy margins'!$AC$62)=0,'Energy margins'!$Z$62,0)),0,IF(MOD(IF(AND(B103&gt;='Energy margins'!$AA$62,B103&lt;='Energy margins'!$AB$62),B103-'Energy margins'!$AA$62,""),'Energy margins'!$AC$62)=0,'Energy margins'!$Z$62,0))</f>
        <v>0</v>
      </c>
      <c r="U103" s="944">
        <f t="shared" si="48"/>
        <v>418.53934399999991</v>
      </c>
      <c r="V103" s="197"/>
      <c r="W103" s="197">
        <f t="shared" si="53"/>
        <v>418.53934399999991</v>
      </c>
      <c r="X103" s="197">
        <f t="shared" si="49"/>
        <v>237.71065600000009</v>
      </c>
      <c r="Y103" s="197">
        <f t="shared" si="50"/>
        <v>567.71065600000009</v>
      </c>
      <c r="Z103" s="973">
        <f t="shared" si="54"/>
        <v>460.28054637663865</v>
      </c>
      <c r="AA103" s="974">
        <f t="shared" si="55"/>
        <v>231.45536046368116</v>
      </c>
      <c r="AB103" s="974">
        <f t="shared" si="56"/>
        <v>293.55507495076552</v>
      </c>
      <c r="AC103" s="974">
        <f t="shared" si="57"/>
        <v>166.72547142587314</v>
      </c>
      <c r="AD103" s="974">
        <f t="shared" si="58"/>
        <v>398.18083188955427</v>
      </c>
      <c r="AE103" s="973">
        <f t="shared" si="64"/>
        <v>6201.8564675273446</v>
      </c>
      <c r="AF103" s="974">
        <f t="shared" si="59"/>
        <v>3614.8213178772971</v>
      </c>
      <c r="AG103" s="974">
        <f t="shared" si="60"/>
        <v>7283.9466873510173</v>
      </c>
      <c r="AH103" s="974">
        <f t="shared" si="61"/>
        <v>-1082.0902198236727</v>
      </c>
      <c r="AI103" s="975">
        <f t="shared" si="62"/>
        <v>2532.7310980536236</v>
      </c>
    </row>
    <row r="104" spans="2:35" x14ac:dyDescent="0.3">
      <c r="B104" s="900">
        <v>14</v>
      </c>
      <c r="C104" s="922">
        <f>'Energy Inputs'!G43</f>
        <v>1</v>
      </c>
      <c r="D104" s="918">
        <f>C104*'Energy Inputs'!$G$24</f>
        <v>15</v>
      </c>
      <c r="E104" s="197">
        <f>'Energy margins'!$Z$12</f>
        <v>43.75</v>
      </c>
      <c r="F104" s="197">
        <f t="shared" si="63"/>
        <v>656.25</v>
      </c>
      <c r="G104" s="918">
        <f>'Energy Inputs'!$D$10</f>
        <v>330</v>
      </c>
      <c r="H104" s="197">
        <f t="shared" si="52"/>
        <v>986.25</v>
      </c>
      <c r="I104" s="197"/>
      <c r="J104" s="947">
        <f>IF(ISERROR(IF(MOD(IF(AND(B104&gt;='Energy margins'!$AA$44,B104&lt;='Energy margins'!$AB$44),B104-'Energy margins'!$AA$44,""),'Energy margins'!$AC$44)=0,'Energy margins'!$Z$44,0)),0,IF(MOD(IF(AND(B104&gt;='Energy margins'!$AA$44,B104&lt;='Energy margins'!$AB$44),B104-'Energy margins'!$AA$44,""),'Energy margins'!$AC$44)=0,'Energy margins'!$Z$44,0))</f>
        <v>0</v>
      </c>
      <c r="K104" s="918">
        <f>IF(ISERROR(IF(MOD(IF(AND(B104&gt;='Energy margins'!$AA$45,B104&lt;='Energy margins'!$AB$45),B104-'Energy margins'!$AA$45,""),'Energy margins'!$AC$45)=0,'Energy margins'!$Z$45,0)),0,IF(MOD(IF(AND(B104&gt;='Energy margins'!$AA$45,B104&lt;='Energy margins'!$AB$45),B104-'Energy margins'!$AA$45,""),'Energy margins'!$AC$45)=0,'Energy margins'!$Z$45,0))</f>
        <v>0</v>
      </c>
      <c r="L104" s="918">
        <f>IF(ISERROR(IF(MOD(IF(AND(B104&gt;='Energy margins'!$AA$46,B104&lt;='Energy margins'!$AB$46),B104-'Energy margins'!$AA$46,""),'Energy margins'!$AC$46)=0,'Energy margins'!$Z$46,0)),0,IF(MOD(IF(AND(B104&gt;='Energy margins'!$AA$46,B104&lt;='Energy margins'!$AB$46),B104-'Energy margins'!$AA$46,""),'Energy margins'!$AC$46)=0,'Energy margins'!$Z$46,0))</f>
        <v>0</v>
      </c>
      <c r="M104" s="918">
        <f>IF(ISERROR(IF(MOD(IF(AND(B104&gt;='Energy margins'!$AA$47,B104&lt;='Energy margins'!$AB$47),B104-'Energy margins'!$AA$47,""),'Energy margins'!$AC$47)=0,'Energy margins'!$Z$47,0)),0,IF(MOD(IF(AND(B104&gt;='Energy margins'!$AA$47,B104&lt;='Energy margins'!$AB$47),B104-'Energy margins'!$AA$47,""),'Energy margins'!$AC$47)=0,'Energy margins'!$Z$47,0))</f>
        <v>19.974783999999993</v>
      </c>
      <c r="N104" s="918">
        <f>IF(ISERROR(IF(MOD(IF(AND(B104&gt;='Energy margins'!$AA$50,B104&lt;='Energy margins'!$AB$50),B104-'Energy margins'!$AA$50,""),'Energy margins'!$AC$50)=0,'Energy margins'!$Z$50,0)),0,IF(MOD(IF(AND(B104&gt;='Energy margins'!$AA$50,B104&lt;='Energy margins'!$AB$50),B104-'Energy margins'!$AA$50,""),'Energy margins'!$AC$50)=0,'Energy margins'!$Z$50,0))</f>
        <v>88.411199999999994</v>
      </c>
      <c r="O104" s="918">
        <f>IF(ISERROR(IF(MOD(IF(AND(B104&gt;='Energy margins'!$AA$53,B104&lt;='Energy margins'!$AB$53),B104-'Energy margins'!$AA$53,""),'Energy margins'!$AC$53)=0,'Energy margins'!$Z$53,0)),0,IF(MOD(IF(AND(B104&gt;='Energy margins'!$AA$53,B104&lt;='Energy margins'!$AB$53),B104-'Energy margins'!$AA$53,""),'Energy margins'!$AC$53)=0,'Energy margins'!$Z$53,0))</f>
        <v>66.638359999999992</v>
      </c>
      <c r="P104" s="918">
        <f>IF(ISERROR(IF(MOD(IF(AND(B104&gt;='Energy margins'!$AA$56,B104&lt;='Energy margins'!$AB$56),B104-'Energy margins'!$AA$56,""),'Energy margins'!$AC$56)=0,'Energy margins'!$Z$56,0)),0,IF(MOD(IF(AND(B104&gt;='Energy margins'!$AA$56,B104&lt;='Energy margins'!$AB$56),B104-'Energy margins'!$AA$56,""),'Energy margins'!$AC$56)=0,'Energy margins'!$Z$56,0))</f>
        <v>45.764999999999993</v>
      </c>
      <c r="Q104" s="918">
        <f>IF(ISERROR(IF(MOD(IF(AND(B104&gt;='Energy margins'!$AA$59,B104&lt;='Energy margins'!$AB$59),B104-'Energy margins'!$AA$59,""),'Energy margins'!$AC$59)=0,'Energy margins'!$Z$59,0)),0,IF(MOD(IF(AND(B104&gt;='Energy margins'!$AA$59,B104&lt;='Energy margins'!$AB$59),B104-'Energy margins'!$AA$59,""),'Energy margins'!$AC$59)=0,'Energy margins'!$Z$59,0))</f>
        <v>0</v>
      </c>
      <c r="R104" s="918">
        <f>IF(ISERROR(IF(MOD(IF(AND(B104&gt;='Energy margins'!$AA$60,B104&lt;='Energy margins'!$AB$60),B104-'Energy margins'!$AA$60,""),'Energy margins'!$AC$60)=0,'Energy margins'!$Z$60,0)),0,IF(MOD(IF(AND(B104&gt;='Energy margins'!$AA$60,B104&lt;='Energy margins'!$AB$60),B104-'Energy margins'!$AA$60,""),'Energy margins'!$AC$60)=0,'Energy margins'!$Z$60,0))</f>
        <v>0</v>
      </c>
      <c r="S104" s="918">
        <f>IF(ISERROR(IF(MOD(IF(AND(B104&gt;='Energy margins'!$AA$61,B104&lt;='Energy margins'!$AB$61),B104-'Energy margins'!$AA$61,""),'Energy margins'!$AC$61)=0,'Energy margins'!$Z$61,0)),0,IF(MOD(IF(AND(B104&gt;='Energy margins'!$AA$61,B104&lt;='Energy margins'!$AB$61),B104-'Energy margins'!$AA$61,""),'Energy margins'!$AC$61)=0,'Energy margins'!$Z$61,0))</f>
        <v>197.74999999999997</v>
      </c>
      <c r="T104" s="918">
        <f>IF(ISERROR(IF(MOD(IF(AND(B104&gt;='Energy margins'!$AA$62,B104&lt;='Energy margins'!$AB$62),B104-'Energy margins'!$AA$62,""),'Energy margins'!$AC$62)=0,'Energy margins'!$Z$62,0)),0,IF(MOD(IF(AND(B104&gt;='Energy margins'!$AA$62,B104&lt;='Energy margins'!$AB$62),B104-'Energy margins'!$AA$62,""),'Energy margins'!$AC$62)=0,'Energy margins'!$Z$62,0))</f>
        <v>0</v>
      </c>
      <c r="U104" s="944">
        <f t="shared" si="48"/>
        <v>418.53934399999991</v>
      </c>
      <c r="V104" s="197"/>
      <c r="W104" s="197">
        <f t="shared" si="53"/>
        <v>418.53934399999991</v>
      </c>
      <c r="X104" s="197">
        <f t="shared" si="49"/>
        <v>237.71065600000009</v>
      </c>
      <c r="Y104" s="197">
        <f t="shared" si="50"/>
        <v>567.71065600000009</v>
      </c>
      <c r="Z104" s="973">
        <f t="shared" si="54"/>
        <v>446.87431687052299</v>
      </c>
      <c r="AA104" s="974">
        <f t="shared" si="55"/>
        <v>224.71394219774871</v>
      </c>
      <c r="AB104" s="974">
        <f t="shared" si="56"/>
        <v>285.00492713666557</v>
      </c>
      <c r="AC104" s="974">
        <f t="shared" si="57"/>
        <v>161.86938973385742</v>
      </c>
      <c r="AD104" s="974">
        <f t="shared" si="58"/>
        <v>386.5833319316061</v>
      </c>
      <c r="AE104" s="973">
        <f t="shared" si="64"/>
        <v>6648.7307843978679</v>
      </c>
      <c r="AF104" s="974">
        <f t="shared" si="59"/>
        <v>3839.5352600750457</v>
      </c>
      <c r="AG104" s="974">
        <f t="shared" si="60"/>
        <v>7568.9516144876825</v>
      </c>
      <c r="AH104" s="974">
        <f t="shared" si="61"/>
        <v>-920.22083008981531</v>
      </c>
      <c r="AI104" s="975">
        <f t="shared" si="62"/>
        <v>2919.3144299852297</v>
      </c>
    </row>
    <row r="105" spans="2:35" x14ac:dyDescent="0.3">
      <c r="B105" s="900">
        <v>15</v>
      </c>
      <c r="C105" s="922">
        <f>'Energy Inputs'!G44</f>
        <v>1</v>
      </c>
      <c r="D105" s="918">
        <f>C105*'Energy Inputs'!$G$24</f>
        <v>15</v>
      </c>
      <c r="E105" s="197">
        <f>'Energy margins'!$Z$12</f>
        <v>43.75</v>
      </c>
      <c r="F105" s="197">
        <f t="shared" si="63"/>
        <v>656.25</v>
      </c>
      <c r="G105" s="918">
        <f>'Energy Inputs'!$D$10</f>
        <v>330</v>
      </c>
      <c r="H105" s="197">
        <f t="shared" si="52"/>
        <v>986.25</v>
      </c>
      <c r="I105" s="197"/>
      <c r="J105" s="947">
        <f>IF(ISERROR(IF(MOD(IF(AND(B105&gt;='Energy margins'!$AA$44,B105&lt;='Energy margins'!$AB$44),B105-'Energy margins'!$AA$44,""),'Energy margins'!$AC$44)=0,'Energy margins'!$Z$44,0)),0,IF(MOD(IF(AND(B105&gt;='Energy margins'!$AA$44,B105&lt;='Energy margins'!$AB$44),B105-'Energy margins'!$AA$44,""),'Energy margins'!$AC$44)=0,'Energy margins'!$Z$44,0))</f>
        <v>0</v>
      </c>
      <c r="K105" s="918">
        <f>IF(ISERROR(IF(MOD(IF(AND(B105&gt;='Energy margins'!$AA$45,B105&lt;='Energy margins'!$AB$45),B105-'Energy margins'!$AA$45,""),'Energy margins'!$AC$45)=0,'Energy margins'!$Z$45,0)),0,IF(MOD(IF(AND(B105&gt;='Energy margins'!$AA$45,B105&lt;='Energy margins'!$AB$45),B105-'Energy margins'!$AA$45,""),'Energy margins'!$AC$45)=0,'Energy margins'!$Z$45,0))</f>
        <v>0</v>
      </c>
      <c r="L105" s="918">
        <f>IF(ISERROR(IF(MOD(IF(AND(B105&gt;='Energy margins'!$AA$46,B105&lt;='Energy margins'!$AB$46),B105-'Energy margins'!$AA$46,""),'Energy margins'!$AC$46)=0,'Energy margins'!$Z$46,0)),0,IF(MOD(IF(AND(B105&gt;='Energy margins'!$AA$46,B105&lt;='Energy margins'!$AB$46),B105-'Energy margins'!$AA$46,""),'Energy margins'!$AC$46)=0,'Energy margins'!$Z$46,0))</f>
        <v>0</v>
      </c>
      <c r="M105" s="918">
        <f>IF(ISERROR(IF(MOD(IF(AND(B105&gt;='Energy margins'!$AA$47,B105&lt;='Energy margins'!$AB$47),B105-'Energy margins'!$AA$47,""),'Energy margins'!$AC$47)=0,'Energy margins'!$Z$47,0)),0,IF(MOD(IF(AND(B105&gt;='Energy margins'!$AA$47,B105&lt;='Energy margins'!$AB$47),B105-'Energy margins'!$AA$47,""),'Energy margins'!$AC$47)=0,'Energy margins'!$Z$47,0))</f>
        <v>19.974783999999993</v>
      </c>
      <c r="N105" s="918">
        <f>IF(ISERROR(IF(MOD(IF(AND(B105&gt;='Energy margins'!$AA$50,B105&lt;='Energy margins'!$AB$50),B105-'Energy margins'!$AA$50,""),'Energy margins'!$AC$50)=0,'Energy margins'!$Z$50,0)),0,IF(MOD(IF(AND(B105&gt;='Energy margins'!$AA$50,B105&lt;='Energy margins'!$AB$50),B105-'Energy margins'!$AA$50,""),'Energy margins'!$AC$50)=0,'Energy margins'!$Z$50,0))</f>
        <v>88.411199999999994</v>
      </c>
      <c r="O105" s="918">
        <f>IF(ISERROR(IF(MOD(IF(AND(B105&gt;='Energy margins'!$AA$53,B105&lt;='Energy margins'!$AB$53),B105-'Energy margins'!$AA$53,""),'Energy margins'!$AC$53)=0,'Energy margins'!$Z$53,0)),0,IF(MOD(IF(AND(B105&gt;='Energy margins'!$AA$53,B105&lt;='Energy margins'!$AB$53),B105-'Energy margins'!$AA$53,""),'Energy margins'!$AC$53)=0,'Energy margins'!$Z$53,0))</f>
        <v>66.638359999999992</v>
      </c>
      <c r="P105" s="918">
        <f>IF(ISERROR(IF(MOD(IF(AND(B105&gt;='Energy margins'!$AA$56,B105&lt;='Energy margins'!$AB$56),B105-'Energy margins'!$AA$56,""),'Energy margins'!$AC$56)=0,'Energy margins'!$Z$56,0)),0,IF(MOD(IF(AND(B105&gt;='Energy margins'!$AA$56,B105&lt;='Energy margins'!$AB$56),B105-'Energy margins'!$AA$56,""),'Energy margins'!$AC$56)=0,'Energy margins'!$Z$56,0))</f>
        <v>45.764999999999993</v>
      </c>
      <c r="Q105" s="918">
        <f>IF(ISERROR(IF(MOD(IF(AND(B105&gt;='Energy margins'!$AA$59,B105&lt;='Energy margins'!$AB$59),B105-'Energy margins'!$AA$59,""),'Energy margins'!$AC$59)=0,'Energy margins'!$Z$59,0)),0,IF(MOD(IF(AND(B105&gt;='Energy margins'!$AA$59,B105&lt;='Energy margins'!$AB$59),B105-'Energy margins'!$AA$59,""),'Energy margins'!$AC$59)=0,'Energy margins'!$Z$59,0))</f>
        <v>0</v>
      </c>
      <c r="R105" s="918">
        <f>IF(ISERROR(IF(MOD(IF(AND(B105&gt;='Energy margins'!$AA$60,B105&lt;='Energy margins'!$AB$60),B105-'Energy margins'!$AA$60,""),'Energy margins'!$AC$60)=0,'Energy margins'!$Z$60,0)),0,IF(MOD(IF(AND(B105&gt;='Energy margins'!$AA$60,B105&lt;='Energy margins'!$AB$60),B105-'Energy margins'!$AA$60,""),'Energy margins'!$AC$60)=0,'Energy margins'!$Z$60,0))</f>
        <v>0</v>
      </c>
      <c r="S105" s="918">
        <f>IF(ISERROR(IF(MOD(IF(AND(B105&gt;='Energy margins'!$AA$61,B105&lt;='Energy margins'!$AB$61),B105-'Energy margins'!$AA$61,""),'Energy margins'!$AC$61)=0,'Energy margins'!$Z$61,0)),0,IF(MOD(IF(AND(B105&gt;='Energy margins'!$AA$61,B105&lt;='Energy margins'!$AB$61),B105-'Energy margins'!$AA$61,""),'Energy margins'!$AC$61)=0,'Energy margins'!$Z$61,0))</f>
        <v>197.74999999999997</v>
      </c>
      <c r="T105" s="918">
        <f>IF(ISERROR(IF(MOD(IF(AND(B105&gt;='Energy margins'!$AA$62,B105&lt;='Energy margins'!$AB$62),B105-'Energy margins'!$AA$62,""),'Energy margins'!$AC$62)=0,'Energy margins'!$Z$62,0)),0,IF(MOD(IF(AND(B105&gt;='Energy margins'!$AA$62,B105&lt;='Energy margins'!$AB$62),B105-'Energy margins'!$AA$62,""),'Energy margins'!$AC$62)=0,'Energy margins'!$Z$62,0))</f>
        <v>0</v>
      </c>
      <c r="U105" s="944">
        <f t="shared" si="48"/>
        <v>418.53934399999991</v>
      </c>
      <c r="V105" s="197"/>
      <c r="W105" s="197">
        <f t="shared" si="53"/>
        <v>418.53934399999991</v>
      </c>
      <c r="X105" s="197">
        <f t="shared" si="49"/>
        <v>237.71065600000009</v>
      </c>
      <c r="Y105" s="197">
        <f t="shared" si="50"/>
        <v>567.71065600000009</v>
      </c>
      <c r="Z105" s="973">
        <f t="shared" si="54"/>
        <v>433.85856006846888</v>
      </c>
      <c r="AA105" s="974">
        <f t="shared" si="55"/>
        <v>218.16887592014436</v>
      </c>
      <c r="AB105" s="974">
        <f t="shared" si="56"/>
        <v>276.70381275404424</v>
      </c>
      <c r="AC105" s="974">
        <f t="shared" si="57"/>
        <v>157.15474731442467</v>
      </c>
      <c r="AD105" s="974">
        <f t="shared" si="58"/>
        <v>375.32362323456903</v>
      </c>
      <c r="AE105" s="973">
        <f t="shared" si="64"/>
        <v>7082.589344466337</v>
      </c>
      <c r="AF105" s="974">
        <f t="shared" si="59"/>
        <v>4057.70413599519</v>
      </c>
      <c r="AG105" s="974">
        <f t="shared" si="60"/>
        <v>7845.655427241727</v>
      </c>
      <c r="AH105" s="974">
        <f t="shared" si="61"/>
        <v>-763.06608277539067</v>
      </c>
      <c r="AI105" s="975">
        <f t="shared" si="62"/>
        <v>3294.6380532197986</v>
      </c>
    </row>
    <row r="106" spans="2:35" x14ac:dyDescent="0.3">
      <c r="B106" s="901">
        <v>16</v>
      </c>
      <c r="C106" s="919">
        <f>'Energy Inputs'!G45</f>
        <v>1</v>
      </c>
      <c r="D106" s="919">
        <f>C106*'Energy Inputs'!$G$24</f>
        <v>15</v>
      </c>
      <c r="E106" s="207">
        <f>'Energy margins'!$Z$12</f>
        <v>43.75</v>
      </c>
      <c r="F106" s="207">
        <f t="shared" si="63"/>
        <v>656.25</v>
      </c>
      <c r="G106" s="919">
        <f>'Energy Inputs'!$D$10</f>
        <v>330</v>
      </c>
      <c r="H106" s="207">
        <f t="shared" si="52"/>
        <v>986.25</v>
      </c>
      <c r="I106" s="207"/>
      <c r="J106" s="948">
        <f>IF(ISERROR(IF(MOD(IF(AND(B106&gt;='Energy margins'!$AA$44,B106&lt;='Energy margins'!$AB$44),B106-'Energy margins'!$AA$44,""),'Energy margins'!$AC$44)=0,'Energy margins'!$Z$44,0)),0,IF(MOD(IF(AND(B106&gt;='Energy margins'!$AA$44,B106&lt;='Energy margins'!$AB$44),B106-'Energy margins'!$AA$44,""),'Energy margins'!$AC$44)=0,'Energy margins'!$Z$44,0))</f>
        <v>0</v>
      </c>
      <c r="K106" s="919">
        <f>IF(ISERROR(IF(MOD(IF(AND(B106&gt;='Energy margins'!$AA$45,B106&lt;='Energy margins'!$AB$45),B106-'Energy margins'!$AA$45,""),'Energy margins'!$AC$45)=0,'Energy margins'!$Z$45,0)),0,IF(MOD(IF(AND(B106&gt;='Energy margins'!$AA$45,B106&lt;='Energy margins'!$AB$45),B106-'Energy margins'!$AA$45,""),'Energy margins'!$AC$45)=0,'Energy margins'!$Z$45,0))</f>
        <v>0</v>
      </c>
      <c r="L106" s="919">
        <f>IF(ISERROR(IF(MOD(IF(AND(B106&gt;='Energy margins'!$AA$46,B106&lt;='Energy margins'!$AB$46),B106-'Energy margins'!$AA$46,""),'Energy margins'!$AC$46)=0,'Energy margins'!$Z$46,0)),0,IF(MOD(IF(AND(B106&gt;='Energy margins'!$AA$46,B106&lt;='Energy margins'!$AB$46),B106-'Energy margins'!$AA$46,""),'Energy margins'!$AC$46)=0,'Energy margins'!$Z$46,0))</f>
        <v>0</v>
      </c>
      <c r="M106" s="919">
        <f>IF(ISERROR(IF(MOD(IF(AND(B106&gt;='Energy margins'!$AA$47,B106&lt;='Energy margins'!$AB$47),B106-'Energy margins'!$AA$47,""),'Energy margins'!$AC$47)=0,'Energy margins'!$Z$47,0)),0,IF(MOD(IF(AND(B106&gt;='Energy margins'!$AA$47,B106&lt;='Energy margins'!$AB$47),B106-'Energy margins'!$AA$47,""),'Energy margins'!$AC$47)=0,'Energy margins'!$Z$47,0))</f>
        <v>19.974783999999993</v>
      </c>
      <c r="N106" s="919">
        <f>IF(ISERROR(IF(MOD(IF(AND(B106&gt;='Energy margins'!$AA$50,B106&lt;='Energy margins'!$AB$50),B106-'Energy margins'!$AA$50,""),'Energy margins'!$AC$50)=0,'Energy margins'!$Z$50,0)),0,IF(MOD(IF(AND(B106&gt;='Energy margins'!$AA$50,B106&lt;='Energy margins'!$AB$50),B106-'Energy margins'!$AA$50,""),'Energy margins'!$AC$50)=0,'Energy margins'!$Z$50,0))</f>
        <v>88.411199999999994</v>
      </c>
      <c r="O106" s="919">
        <f>IF(ISERROR(IF(MOD(IF(AND(B106&gt;='Energy margins'!$AA$53,B106&lt;='Energy margins'!$AB$53),B106-'Energy margins'!$AA$53,""),'Energy margins'!$AC$53)=0,'Energy margins'!$Z$53,0)),0,IF(MOD(IF(AND(B106&gt;='Energy margins'!$AA$53,B106&lt;='Energy margins'!$AB$53),B106-'Energy margins'!$AA$53,""),'Energy margins'!$AC$53)=0,'Energy margins'!$Z$53,0))</f>
        <v>66.638359999999992</v>
      </c>
      <c r="P106" s="919">
        <f>IF(ISERROR(IF(MOD(IF(AND(B106&gt;='Energy margins'!$AA$56,B106&lt;='Energy margins'!$AB$56),B106-'Energy margins'!$AA$56,""),'Energy margins'!$AC$56)=0,'Energy margins'!$Z$56,0)),0,IF(MOD(IF(AND(B106&gt;='Energy margins'!$AA$56,B106&lt;='Energy margins'!$AB$56),B106-'Energy margins'!$AA$56,""),'Energy margins'!$AC$56)=0,'Energy margins'!$Z$56,0))</f>
        <v>45.764999999999993</v>
      </c>
      <c r="Q106" s="919">
        <f>IF(ISERROR(IF(MOD(IF(AND(B106&gt;='Energy margins'!$AA$59,B106&lt;='Energy margins'!$AB$59),B106-'Energy margins'!$AA$59,""),'Energy margins'!$AC$59)=0,'Energy margins'!$Z$59,0)),0,IF(MOD(IF(AND(B106&gt;='Energy margins'!$AA$59,B106&lt;='Energy margins'!$AB$59),B106-'Energy margins'!$AA$59,""),'Energy margins'!$AC$59)=0,'Energy margins'!$Z$59,0))</f>
        <v>0</v>
      </c>
      <c r="R106" s="919">
        <f>IF(ISERROR(IF(MOD(IF(AND(B106&gt;='Energy margins'!$AA$60,B106&lt;='Energy margins'!$AB$60),B106-'Energy margins'!$AA$60,""),'Energy margins'!$AC$60)=0,'Energy margins'!$Z$60,0)),0,IF(MOD(IF(AND(B106&gt;='Energy margins'!$AA$60,B106&lt;='Energy margins'!$AB$60),B106-'Energy margins'!$AA$60,""),'Energy margins'!$AC$60)=0,'Energy margins'!$Z$60,0))</f>
        <v>0</v>
      </c>
      <c r="S106" s="919">
        <f>IF(ISERROR(IF(MOD(IF(AND(B106&gt;='Energy margins'!$AA$61,B106&lt;='Energy margins'!$AB$61),B106-'Energy margins'!$AA$61,""),'Energy margins'!$AC$61)=0,'Energy margins'!$Z$61,0)),0,IF(MOD(IF(AND(B106&gt;='Energy margins'!$AA$61,B106&lt;='Energy margins'!$AB$61),B106-'Energy margins'!$AA$61,""),'Energy margins'!$AC$61)=0,'Energy margins'!$Z$61,0))</f>
        <v>197.74999999999997</v>
      </c>
      <c r="T106" s="919">
        <f>IF(ISERROR(IF(MOD(IF(AND(B106&gt;='Energy margins'!$AA$62,B106&lt;='Energy margins'!$AB$62),B106-'Energy margins'!$AA$62,""),'Energy margins'!$AC$62)=0,'Energy margins'!$Z$62,0)),0,IF(MOD(IF(AND(B106&gt;='Energy margins'!$AA$62,B106&lt;='Energy margins'!$AB$62),B106-'Energy margins'!$AA$62,""),'Energy margins'!$AC$62)=0,'Energy margins'!$Z$62,0))</f>
        <v>0</v>
      </c>
      <c r="U106" s="946">
        <f t="shared" si="48"/>
        <v>418.53934399999991</v>
      </c>
      <c r="V106" s="207">
        <f>'Energy margins'!AE67</f>
        <v>192.1</v>
      </c>
      <c r="W106" s="207">
        <f t="shared" si="53"/>
        <v>610.63934399999994</v>
      </c>
      <c r="X106" s="207">
        <f t="shared" si="49"/>
        <v>45.610656000000063</v>
      </c>
      <c r="Y106" s="207">
        <f t="shared" si="50"/>
        <v>375.61065600000006</v>
      </c>
      <c r="Z106" s="976">
        <f t="shared" si="54"/>
        <v>421.221902979096</v>
      </c>
      <c r="AA106" s="977">
        <f t="shared" si="55"/>
        <v>211.81444264091684</v>
      </c>
      <c r="AB106" s="977">
        <f t="shared" si="56"/>
        <v>391.94615849689416</v>
      </c>
      <c r="AC106" s="977">
        <f t="shared" si="57"/>
        <v>29.275744482201826</v>
      </c>
      <c r="AD106" s="978">
        <f t="shared" si="58"/>
        <v>241.09018712311865</v>
      </c>
      <c r="AE106" s="976">
        <f t="shared" si="64"/>
        <v>7503.8112474454329</v>
      </c>
      <c r="AF106" s="977">
        <f t="shared" si="59"/>
        <v>4269.5185786361071</v>
      </c>
      <c r="AG106" s="977">
        <f t="shared" si="60"/>
        <v>8237.601585738621</v>
      </c>
      <c r="AH106" s="977">
        <f t="shared" si="61"/>
        <v>-733.79033829318882</v>
      </c>
      <c r="AI106" s="978">
        <f t="shared" si="62"/>
        <v>3535.7282403429172</v>
      </c>
    </row>
  </sheetData>
  <mergeCells count="16">
    <mergeCell ref="F88:H88"/>
    <mergeCell ref="V88:W88"/>
    <mergeCell ref="Z88:AD88"/>
    <mergeCell ref="AE88:AI88"/>
    <mergeCell ref="F62:H62"/>
    <mergeCell ref="V62:W62"/>
    <mergeCell ref="Z62:AD62"/>
    <mergeCell ref="AE62:AI62"/>
    <mergeCell ref="F10:H10"/>
    <mergeCell ref="V10:W10"/>
    <mergeCell ref="Z10:AD10"/>
    <mergeCell ref="AE10:AI10"/>
    <mergeCell ref="F36:H36"/>
    <mergeCell ref="V36:W36"/>
    <mergeCell ref="Z36:AD36"/>
    <mergeCell ref="AE36:AI3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DY168"/>
  <sheetViews>
    <sheetView topLeftCell="A34" zoomScaleNormal="100" workbookViewId="0">
      <selection activeCell="C13" sqref="C13"/>
    </sheetView>
  </sheetViews>
  <sheetFormatPr defaultColWidth="9" defaultRowHeight="14" x14ac:dyDescent="0.3"/>
  <sheetData>
    <row r="2" spans="1:119" x14ac:dyDescent="0.3">
      <c r="B2" s="1113" t="s">
        <v>339</v>
      </c>
      <c r="C2" s="1114"/>
      <c r="D2" s="1115"/>
    </row>
    <row r="4" spans="1:119" x14ac:dyDescent="0.3">
      <c r="A4" t="s">
        <v>409</v>
      </c>
      <c r="B4" s="757">
        <f>'Energy NPV'!C6</f>
        <v>0.03</v>
      </c>
    </row>
    <row r="8" spans="1:119" x14ac:dyDescent="0.3">
      <c r="B8" s="227" t="s">
        <v>93</v>
      </c>
      <c r="C8" s="763" t="s">
        <v>384</v>
      </c>
      <c r="D8" s="269" t="s">
        <v>395</v>
      </c>
      <c r="E8" s="906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Z8" s="227" t="s">
        <v>93</v>
      </c>
      <c r="AA8" s="211" t="s">
        <v>304</v>
      </c>
      <c r="AB8" s="905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X8" s="227" t="s">
        <v>93</v>
      </c>
      <c r="AY8" s="211" t="s">
        <v>315</v>
      </c>
      <c r="AZ8" s="905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V8" s="227" t="s">
        <v>93</v>
      </c>
      <c r="BW8" s="211" t="s">
        <v>316</v>
      </c>
      <c r="BX8" s="905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T8" s="227" t="s">
        <v>93</v>
      </c>
      <c r="CU8" s="211" t="s">
        <v>317</v>
      </c>
      <c r="CV8" s="905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108"/>
      <c r="F9" s="1108"/>
      <c r="G9" s="1108"/>
      <c r="H9" s="148"/>
      <c r="I9" s="931"/>
      <c r="J9" s="1108"/>
      <c r="K9" s="1108"/>
      <c r="L9" s="148"/>
      <c r="M9" s="148"/>
      <c r="N9" s="1109" t="s">
        <v>270</v>
      </c>
      <c r="O9" s="1110"/>
      <c r="P9" s="1110"/>
      <c r="Q9" s="1110"/>
      <c r="R9" s="1111"/>
      <c r="S9" s="1109" t="s">
        <v>271</v>
      </c>
      <c r="T9" s="1110"/>
      <c r="U9" s="1110"/>
      <c r="V9" s="1110"/>
      <c r="W9" s="1111"/>
      <c r="X9" s="1001"/>
      <c r="Z9" s="203"/>
      <c r="AA9" s="148"/>
      <c r="AB9" s="148"/>
      <c r="AC9" s="1108"/>
      <c r="AD9" s="1108"/>
      <c r="AE9" s="1108"/>
      <c r="AF9" s="148"/>
      <c r="AG9" s="931"/>
      <c r="AH9" s="1108"/>
      <c r="AI9" s="1108"/>
      <c r="AJ9" s="148"/>
      <c r="AK9" s="148"/>
      <c r="AL9" s="1109" t="s">
        <v>303</v>
      </c>
      <c r="AM9" s="1110"/>
      <c r="AN9" s="1110"/>
      <c r="AO9" s="1110"/>
      <c r="AP9" s="1111"/>
      <c r="AQ9" s="1109" t="s">
        <v>271</v>
      </c>
      <c r="AR9" s="1110"/>
      <c r="AS9" s="1110"/>
      <c r="AT9" s="1110"/>
      <c r="AU9" s="1111"/>
      <c r="AV9" s="1001"/>
      <c r="AX9" s="203"/>
      <c r="AY9" s="148"/>
      <c r="AZ9" s="148"/>
      <c r="BA9" s="232"/>
      <c r="BB9" s="232"/>
      <c r="BC9" s="232"/>
      <c r="BD9" s="148"/>
      <c r="BE9" s="931"/>
      <c r="BF9" s="232"/>
      <c r="BG9" s="232"/>
      <c r="BH9" s="148"/>
      <c r="BI9" s="148"/>
      <c r="BJ9" s="1109" t="s">
        <v>270</v>
      </c>
      <c r="BK9" s="1110"/>
      <c r="BL9" s="1110"/>
      <c r="BM9" s="1110"/>
      <c r="BN9" s="1111"/>
      <c r="BO9" s="1109" t="s">
        <v>271</v>
      </c>
      <c r="BP9" s="1110"/>
      <c r="BQ9" s="1110"/>
      <c r="BR9" s="1110"/>
      <c r="BS9" s="1111"/>
      <c r="BV9" s="203"/>
      <c r="BW9" s="148"/>
      <c r="BX9" s="148"/>
      <c r="BY9" s="992"/>
      <c r="BZ9" s="992"/>
      <c r="CA9" s="992"/>
      <c r="CB9" s="148"/>
      <c r="CC9" s="931"/>
      <c r="CD9" s="992"/>
      <c r="CE9" s="992"/>
      <c r="CF9" s="148"/>
      <c r="CG9" s="148"/>
      <c r="CH9" s="993" t="s">
        <v>270</v>
      </c>
      <c r="CI9" s="994"/>
      <c r="CJ9" s="994"/>
      <c r="CK9" s="994"/>
      <c r="CL9" s="995"/>
      <c r="CM9" s="993" t="s">
        <v>271</v>
      </c>
      <c r="CN9" s="994"/>
      <c r="CO9" s="994"/>
      <c r="CP9" s="994"/>
      <c r="CQ9" s="995"/>
      <c r="CT9" s="203"/>
      <c r="CU9" s="148"/>
      <c r="CV9" s="148"/>
      <c r="CW9" s="992"/>
      <c r="CX9" s="992"/>
      <c r="CY9" s="992"/>
      <c r="CZ9" s="148"/>
      <c r="DA9" s="931"/>
      <c r="DB9" s="992"/>
      <c r="DC9" s="992"/>
      <c r="DD9" s="148"/>
      <c r="DE9" s="148"/>
      <c r="DF9" s="993" t="s">
        <v>270</v>
      </c>
      <c r="DG9" s="994"/>
      <c r="DH9" s="994"/>
      <c r="DI9" s="994"/>
      <c r="DJ9" s="995"/>
      <c r="DK9" s="993" t="s">
        <v>271</v>
      </c>
      <c r="DL9" s="994"/>
      <c r="DM9" s="994"/>
      <c r="DN9" s="994"/>
      <c r="DO9" s="995"/>
    </row>
    <row r="10" spans="1:119" ht="51" x14ac:dyDescent="0.3">
      <c r="B10" s="204" t="s">
        <v>272</v>
      </c>
      <c r="C10" s="205" t="s">
        <v>289</v>
      </c>
      <c r="D10" s="205" t="s">
        <v>290</v>
      </c>
      <c r="E10" s="171" t="s">
        <v>676</v>
      </c>
      <c r="F10" s="171" t="s">
        <v>672</v>
      </c>
      <c r="G10" s="171" t="s">
        <v>677</v>
      </c>
      <c r="H10" s="205" t="s">
        <v>287</v>
      </c>
      <c r="I10" s="935" t="str">
        <f>'Energy NPV'!U63</f>
        <v>Total Recurring Costs</v>
      </c>
      <c r="J10" s="205" t="s">
        <v>291</v>
      </c>
      <c r="K10" s="171" t="s">
        <v>276</v>
      </c>
      <c r="L10" s="171" t="s">
        <v>678</v>
      </c>
      <c r="M10" s="171" t="s">
        <v>679</v>
      </c>
      <c r="N10" s="195" t="s">
        <v>277</v>
      </c>
      <c r="O10" s="171" t="s">
        <v>680</v>
      </c>
      <c r="P10" s="171" t="s">
        <v>278</v>
      </c>
      <c r="Q10" s="171" t="s">
        <v>681</v>
      </c>
      <c r="R10" s="198" t="s">
        <v>279</v>
      </c>
      <c r="S10" s="195" t="s">
        <v>280</v>
      </c>
      <c r="T10" s="171" t="s">
        <v>682</v>
      </c>
      <c r="U10" s="171" t="s">
        <v>281</v>
      </c>
      <c r="V10" s="171" t="s">
        <v>683</v>
      </c>
      <c r="W10" s="198" t="s">
        <v>282</v>
      </c>
      <c r="X10" s="171"/>
      <c r="Z10" s="204" t="s">
        <v>272</v>
      </c>
      <c r="AA10" s="205" t="s">
        <v>289</v>
      </c>
      <c r="AB10" s="205" t="s">
        <v>290</v>
      </c>
      <c r="AC10" s="171" t="s">
        <v>676</v>
      </c>
      <c r="AD10" s="171" t="s">
        <v>672</v>
      </c>
      <c r="AE10" s="171" t="s">
        <v>677</v>
      </c>
      <c r="AF10" s="205" t="s">
        <v>287</v>
      </c>
      <c r="AG10" s="935" t="str">
        <f>'Energy NPV'!U63</f>
        <v>Total Recurring Costs</v>
      </c>
      <c r="AH10" s="205" t="s">
        <v>291</v>
      </c>
      <c r="AI10" s="171" t="s">
        <v>276</v>
      </c>
      <c r="AJ10" s="171" t="s">
        <v>678</v>
      </c>
      <c r="AK10" s="171" t="s">
        <v>679</v>
      </c>
      <c r="AL10" s="195" t="s">
        <v>277</v>
      </c>
      <c r="AM10" s="171" t="s">
        <v>680</v>
      </c>
      <c r="AN10" s="171" t="s">
        <v>278</v>
      </c>
      <c r="AO10" s="171" t="s">
        <v>681</v>
      </c>
      <c r="AP10" s="198" t="s">
        <v>279</v>
      </c>
      <c r="AQ10" s="195" t="s">
        <v>280</v>
      </c>
      <c r="AR10" s="171" t="s">
        <v>682</v>
      </c>
      <c r="AS10" s="171" t="s">
        <v>281</v>
      </c>
      <c r="AT10" s="171" t="s">
        <v>683</v>
      </c>
      <c r="AU10" s="198" t="s">
        <v>282</v>
      </c>
      <c r="AV10" s="171"/>
      <c r="AX10" s="204" t="s">
        <v>272</v>
      </c>
      <c r="AY10" s="205" t="s">
        <v>289</v>
      </c>
      <c r="AZ10" s="205" t="s">
        <v>290</v>
      </c>
      <c r="BA10" s="171" t="s">
        <v>676</v>
      </c>
      <c r="BB10" s="171" t="s">
        <v>672</v>
      </c>
      <c r="BC10" s="171" t="s">
        <v>677</v>
      </c>
      <c r="BD10" s="205" t="s">
        <v>287</v>
      </c>
      <c r="BE10" s="935" t="str">
        <f>'Energy NPV'!U63</f>
        <v>Total Recurring Costs</v>
      </c>
      <c r="BF10" s="205" t="s">
        <v>291</v>
      </c>
      <c r="BG10" s="171" t="s">
        <v>276</v>
      </c>
      <c r="BH10" s="171" t="s">
        <v>678</v>
      </c>
      <c r="BI10" s="171" t="s">
        <v>679</v>
      </c>
      <c r="BJ10" s="195" t="s">
        <v>277</v>
      </c>
      <c r="BK10" s="171" t="s">
        <v>680</v>
      </c>
      <c r="BL10" s="171" t="s">
        <v>278</v>
      </c>
      <c r="BM10" s="171" t="s">
        <v>681</v>
      </c>
      <c r="BN10" s="198" t="s">
        <v>279</v>
      </c>
      <c r="BO10" s="195" t="s">
        <v>280</v>
      </c>
      <c r="BP10" s="171" t="s">
        <v>682</v>
      </c>
      <c r="BQ10" s="171" t="s">
        <v>281</v>
      </c>
      <c r="BR10" s="171" t="s">
        <v>683</v>
      </c>
      <c r="BS10" s="198" t="s">
        <v>282</v>
      </c>
      <c r="BV10" s="204" t="s">
        <v>272</v>
      </c>
      <c r="BW10" s="205" t="s">
        <v>289</v>
      </c>
      <c r="BX10" s="205" t="s">
        <v>290</v>
      </c>
      <c r="BY10" s="171" t="s">
        <v>676</v>
      </c>
      <c r="BZ10" s="171" t="s">
        <v>672</v>
      </c>
      <c r="CA10" s="171" t="s">
        <v>677</v>
      </c>
      <c r="CB10" s="205" t="s">
        <v>287</v>
      </c>
      <c r="CC10" s="935" t="str">
        <f>'Energy NPV'!U63</f>
        <v>Total Recurring Costs</v>
      </c>
      <c r="CD10" s="205" t="s">
        <v>291</v>
      </c>
      <c r="CE10" s="171" t="s">
        <v>276</v>
      </c>
      <c r="CF10" s="171" t="s">
        <v>678</v>
      </c>
      <c r="CG10" s="171" t="s">
        <v>679</v>
      </c>
      <c r="CH10" s="195" t="s">
        <v>277</v>
      </c>
      <c r="CI10" s="171" t="s">
        <v>680</v>
      </c>
      <c r="CJ10" s="171" t="s">
        <v>278</v>
      </c>
      <c r="CK10" s="171" t="s">
        <v>681</v>
      </c>
      <c r="CL10" s="198" t="s">
        <v>279</v>
      </c>
      <c r="CM10" s="195" t="s">
        <v>280</v>
      </c>
      <c r="CN10" s="171" t="s">
        <v>682</v>
      </c>
      <c r="CO10" s="171" t="s">
        <v>281</v>
      </c>
      <c r="CP10" s="171" t="s">
        <v>683</v>
      </c>
      <c r="CQ10" s="198" t="s">
        <v>282</v>
      </c>
      <c r="CT10" s="204" t="s">
        <v>272</v>
      </c>
      <c r="CU10" s="205" t="s">
        <v>289</v>
      </c>
      <c r="CV10" s="205" t="s">
        <v>290</v>
      </c>
      <c r="CW10" s="171" t="s">
        <v>676</v>
      </c>
      <c r="CX10" s="171" t="s">
        <v>672</v>
      </c>
      <c r="CY10" s="171" t="s">
        <v>677</v>
      </c>
      <c r="CZ10" s="205" t="s">
        <v>287</v>
      </c>
      <c r="DA10" s="935" t="str">
        <f>'Energy NPV'!U63</f>
        <v>Total Recurring Costs</v>
      </c>
      <c r="DB10" s="205" t="s">
        <v>291</v>
      </c>
      <c r="DC10" s="171" t="s">
        <v>276</v>
      </c>
      <c r="DD10" s="171" t="s">
        <v>678</v>
      </c>
      <c r="DE10" s="171" t="s">
        <v>679</v>
      </c>
      <c r="DF10" s="195" t="s">
        <v>277</v>
      </c>
      <c r="DG10" s="171" t="s">
        <v>680</v>
      </c>
      <c r="DH10" s="171" t="s">
        <v>278</v>
      </c>
      <c r="DI10" s="171" t="s">
        <v>681</v>
      </c>
      <c r="DJ10" s="198" t="s">
        <v>279</v>
      </c>
      <c r="DK10" s="195" t="s">
        <v>280</v>
      </c>
      <c r="DL10" s="171" t="s">
        <v>682</v>
      </c>
      <c r="DM10" s="171" t="s">
        <v>281</v>
      </c>
      <c r="DN10" s="171" t="s">
        <v>683</v>
      </c>
      <c r="DO10" s="198" t="s">
        <v>282</v>
      </c>
    </row>
    <row r="11" spans="1:119" x14ac:dyDescent="0.3">
      <c r="B11" s="173"/>
      <c r="C11" s="226" t="s">
        <v>332</v>
      </c>
      <c r="D11" s="226" t="s">
        <v>569</v>
      </c>
      <c r="E11" s="201" t="s">
        <v>567</v>
      </c>
      <c r="F11" s="201" t="s">
        <v>567</v>
      </c>
      <c r="G11" s="201" t="s">
        <v>567</v>
      </c>
      <c r="H11" s="201" t="s">
        <v>567</v>
      </c>
      <c r="I11" s="969" t="str">
        <f>'Energy NPV'!U64</f>
        <v>(€ ha-1)</v>
      </c>
      <c r="J11" s="201" t="s">
        <v>567</v>
      </c>
      <c r="K11" s="201" t="s">
        <v>567</v>
      </c>
      <c r="L11" s="201" t="s">
        <v>567</v>
      </c>
      <c r="M11" s="202" t="s">
        <v>567</v>
      </c>
      <c r="N11" s="201" t="s">
        <v>567</v>
      </c>
      <c r="O11" s="201" t="s">
        <v>567</v>
      </c>
      <c r="P11" s="201" t="s">
        <v>567</v>
      </c>
      <c r="Q11" s="201" t="s">
        <v>567</v>
      </c>
      <c r="R11" s="202" t="s">
        <v>567</v>
      </c>
      <c r="S11" s="201" t="s">
        <v>567</v>
      </c>
      <c r="T11" s="201" t="s">
        <v>567</v>
      </c>
      <c r="U11" s="201" t="s">
        <v>567</v>
      </c>
      <c r="V11" s="201" t="s">
        <v>567</v>
      </c>
      <c r="W11" s="202" t="s">
        <v>567</v>
      </c>
      <c r="X11" s="1002"/>
      <c r="Z11" s="173"/>
      <c r="AA11" s="226" t="s">
        <v>332</v>
      </c>
      <c r="AB11" s="226" t="s">
        <v>569</v>
      </c>
      <c r="AC11" s="201" t="s">
        <v>567</v>
      </c>
      <c r="AD11" s="201" t="s">
        <v>567</v>
      </c>
      <c r="AE11" s="201" t="s">
        <v>567</v>
      </c>
      <c r="AF11" s="201" t="s">
        <v>567</v>
      </c>
      <c r="AG11" s="969" t="str">
        <f>'Energy NPV'!U64</f>
        <v>(€ ha-1)</v>
      </c>
      <c r="AH11" s="201" t="s">
        <v>567</v>
      </c>
      <c r="AI11" s="201" t="s">
        <v>567</v>
      </c>
      <c r="AJ11" s="201" t="s">
        <v>567</v>
      </c>
      <c r="AK11" s="202" t="s">
        <v>567</v>
      </c>
      <c r="AL11" s="201" t="s">
        <v>567</v>
      </c>
      <c r="AM11" s="201" t="s">
        <v>567</v>
      </c>
      <c r="AN11" s="201" t="s">
        <v>567</v>
      </c>
      <c r="AO11" s="201" t="s">
        <v>567</v>
      </c>
      <c r="AP11" s="202" t="s">
        <v>567</v>
      </c>
      <c r="AQ11" s="201" t="s">
        <v>567</v>
      </c>
      <c r="AR11" s="201" t="s">
        <v>567</v>
      </c>
      <c r="AS11" s="201" t="s">
        <v>567</v>
      </c>
      <c r="AT11" s="201" t="s">
        <v>567</v>
      </c>
      <c r="AU11" s="202" t="s">
        <v>567</v>
      </c>
      <c r="AV11" s="1002"/>
      <c r="AX11" s="173"/>
      <c r="AY11" s="226" t="s">
        <v>332</v>
      </c>
      <c r="AZ11" s="226" t="s">
        <v>569</v>
      </c>
      <c r="BA11" s="201" t="s">
        <v>567</v>
      </c>
      <c r="BB11" s="201" t="s">
        <v>567</v>
      </c>
      <c r="BC11" s="201" t="s">
        <v>567</v>
      </c>
      <c r="BD11" s="201" t="s">
        <v>567</v>
      </c>
      <c r="BE11" s="969" t="str">
        <f>'Energy NPV'!U64</f>
        <v>(€ ha-1)</v>
      </c>
      <c r="BF11" s="201" t="s">
        <v>567</v>
      </c>
      <c r="BG11" s="201" t="s">
        <v>567</v>
      </c>
      <c r="BH11" s="201" t="s">
        <v>567</v>
      </c>
      <c r="BI11" s="202" t="s">
        <v>567</v>
      </c>
      <c r="BJ11" s="201" t="s">
        <v>567</v>
      </c>
      <c r="BK11" s="201" t="s">
        <v>567</v>
      </c>
      <c r="BL11" s="201" t="s">
        <v>567</v>
      </c>
      <c r="BM11" s="201" t="s">
        <v>567</v>
      </c>
      <c r="BN11" s="202" t="s">
        <v>567</v>
      </c>
      <c r="BO11" s="201" t="s">
        <v>567</v>
      </c>
      <c r="BP11" s="201" t="s">
        <v>567</v>
      </c>
      <c r="BQ11" s="201" t="s">
        <v>567</v>
      </c>
      <c r="BR11" s="201" t="s">
        <v>567</v>
      </c>
      <c r="BS11" s="202" t="s">
        <v>567</v>
      </c>
      <c r="BV11" s="173"/>
      <c r="BW11" s="226" t="s">
        <v>332</v>
      </c>
      <c r="BX11" s="226" t="s">
        <v>569</v>
      </c>
      <c r="BY11" s="201" t="s">
        <v>567</v>
      </c>
      <c r="BZ11" s="201" t="s">
        <v>567</v>
      </c>
      <c r="CA11" s="201" t="s">
        <v>567</v>
      </c>
      <c r="CB11" s="201" t="s">
        <v>567</v>
      </c>
      <c r="CC11" s="969" t="str">
        <f>'Energy NPV'!U64</f>
        <v>(€ ha-1)</v>
      </c>
      <c r="CD11" s="201" t="s">
        <v>567</v>
      </c>
      <c r="CE11" s="201" t="s">
        <v>567</v>
      </c>
      <c r="CF11" s="201" t="s">
        <v>567</v>
      </c>
      <c r="CG11" s="202" t="s">
        <v>567</v>
      </c>
      <c r="CH11" s="201" t="s">
        <v>567</v>
      </c>
      <c r="CI11" s="201" t="s">
        <v>567</v>
      </c>
      <c r="CJ11" s="201" t="s">
        <v>567</v>
      </c>
      <c r="CK11" s="201" t="s">
        <v>567</v>
      </c>
      <c r="CL11" s="202" t="s">
        <v>567</v>
      </c>
      <c r="CM11" s="201" t="s">
        <v>567</v>
      </c>
      <c r="CN11" s="201" t="s">
        <v>567</v>
      </c>
      <c r="CO11" s="201" t="s">
        <v>567</v>
      </c>
      <c r="CP11" s="201" t="s">
        <v>567</v>
      </c>
      <c r="CQ11" s="202" t="s">
        <v>567</v>
      </c>
      <c r="CT11" s="173"/>
      <c r="CU11" s="226" t="s">
        <v>332</v>
      </c>
      <c r="CV11" s="226" t="s">
        <v>569</v>
      </c>
      <c r="CW11" s="201" t="s">
        <v>567</v>
      </c>
      <c r="CX11" s="201" t="s">
        <v>567</v>
      </c>
      <c r="CY11" s="201" t="s">
        <v>567</v>
      </c>
      <c r="CZ11" s="201" t="s">
        <v>567</v>
      </c>
      <c r="DA11" s="969" t="str">
        <f>'Energy NPV'!U64</f>
        <v>(€ ha-1)</v>
      </c>
      <c r="DB11" s="201" t="s">
        <v>567</v>
      </c>
      <c r="DC11" s="201" t="s">
        <v>567</v>
      </c>
      <c r="DD11" s="201" t="s">
        <v>567</v>
      </c>
      <c r="DE11" s="202" t="s">
        <v>567</v>
      </c>
      <c r="DF11" s="201" t="s">
        <v>567</v>
      </c>
      <c r="DG11" s="201" t="s">
        <v>567</v>
      </c>
      <c r="DH11" s="201" t="s">
        <v>567</v>
      </c>
      <c r="DI11" s="201" t="s">
        <v>567</v>
      </c>
      <c r="DJ11" s="202" t="s">
        <v>567</v>
      </c>
      <c r="DK11" s="201" t="s">
        <v>567</v>
      </c>
      <c r="DL11" s="201" t="s">
        <v>567</v>
      </c>
      <c r="DM11" s="201" t="s">
        <v>567</v>
      </c>
      <c r="DN11" s="201" t="s">
        <v>567</v>
      </c>
      <c r="DO11" s="202" t="s">
        <v>567</v>
      </c>
    </row>
    <row r="12" spans="1:119" x14ac:dyDescent="0.3">
      <c r="B12" s="204">
        <v>1</v>
      </c>
      <c r="C12" s="197">
        <f>'Energy NPV'!$D65</f>
        <v>1.761785888496743</v>
      </c>
      <c r="D12" s="197">
        <f>'Energy Inputs'!$F$58*$E$8</f>
        <v>43.75</v>
      </c>
      <c r="E12" s="197">
        <f>C12*D12</f>
        <v>77.078132621732507</v>
      </c>
      <c r="F12" s="197">
        <f>'Margins summary'!$U$14</f>
        <v>330</v>
      </c>
      <c r="G12" s="197">
        <f>E12+F12</f>
        <v>407.07813262173249</v>
      </c>
      <c r="H12" s="197">
        <f>'Margins summary'!$T$20</f>
        <v>5743.7583439999999</v>
      </c>
      <c r="I12" s="918">
        <f>'Energy NPV'!U65</f>
        <v>112.99999999999999</v>
      </c>
      <c r="J12" s="197"/>
      <c r="K12" s="197">
        <f>H12+I12+J12</f>
        <v>5856.7583439999999</v>
      </c>
      <c r="L12" s="197">
        <f t="shared" ref="L12:L27" si="0">E12-K12</f>
        <v>-5779.6802113782669</v>
      </c>
      <c r="M12" s="197">
        <f t="shared" ref="M12:M27" si="1">G12-K12</f>
        <v>-5449.6802113782669</v>
      </c>
      <c r="N12" s="1033">
        <f>E12/((1+$B$4)^(B12-1))</f>
        <v>77.078132621732507</v>
      </c>
      <c r="O12" s="213">
        <f>F12/((1+$B$4)^(B12-1))</f>
        <v>330</v>
      </c>
      <c r="P12" s="213">
        <f>K12/((1+$B$4)^(B12-1))</f>
        <v>5856.7583439999999</v>
      </c>
      <c r="Q12" s="213">
        <f>L12/((1+$B$4)^(B12-1))</f>
        <v>-5779.6802113782669</v>
      </c>
      <c r="R12" s="929">
        <f>M12/((1+$B$4)^(B12-1))</f>
        <v>-5449.6802113782669</v>
      </c>
      <c r="S12" s="196">
        <f>N12</f>
        <v>77.078132621732507</v>
      </c>
      <c r="T12" s="197">
        <f>O12</f>
        <v>330</v>
      </c>
      <c r="U12" s="197">
        <f>P12</f>
        <v>5856.7583439999999</v>
      </c>
      <c r="V12" s="197">
        <f>Q12</f>
        <v>-5779.6802113782669</v>
      </c>
      <c r="W12" s="199">
        <f>R12</f>
        <v>-5449.6802113782669</v>
      </c>
      <c r="X12" s="197"/>
      <c r="Z12" s="899">
        <v>1</v>
      </c>
      <c r="AA12" s="197">
        <f>$C12</f>
        <v>1.761785888496743</v>
      </c>
      <c r="AB12" s="197">
        <f>'Energy Inputs'!$F$58*$AB$8</f>
        <v>65.625</v>
      </c>
      <c r="AC12" s="197">
        <f>AA12*AB12</f>
        <v>115.61719893259875</v>
      </c>
      <c r="AD12" s="197">
        <f>'Margins summary'!$U$14</f>
        <v>330</v>
      </c>
      <c r="AE12" s="197">
        <f>AC12+AD12</f>
        <v>445.61719893259874</v>
      </c>
      <c r="AF12" s="197">
        <f>'Margins summary'!$T$20</f>
        <v>5743.7583439999999</v>
      </c>
      <c r="AG12" s="918">
        <f>'Energy NPV'!U65</f>
        <v>112.99999999999999</v>
      </c>
      <c r="AH12" s="197"/>
      <c r="AI12" s="197">
        <f>AF12+AG12+AH12</f>
        <v>5856.7583439999999</v>
      </c>
      <c r="AJ12" s="197">
        <f t="shared" ref="AJ12:AJ27" si="2">AC12-AI12</f>
        <v>-5741.1411450674013</v>
      </c>
      <c r="AK12" s="197">
        <f t="shared" ref="AK12:AK27" si="3">AE12-AI12</f>
        <v>-5411.1411450674013</v>
      </c>
      <c r="AL12" s="1033">
        <f>AC12/((1+$B$4)^(Z12-1))</f>
        <v>115.61719893259875</v>
      </c>
      <c r="AM12" s="213">
        <f>AD12/((1+$B$4)^(Z12-1))</f>
        <v>330</v>
      </c>
      <c r="AN12" s="213">
        <f>AI12/((1+$B$4)^(Z12-1))</f>
        <v>5856.7583439999999</v>
      </c>
      <c r="AO12" s="213">
        <f>AJ12/((1+$B$4)^(Z12-1))</f>
        <v>-5741.1411450674013</v>
      </c>
      <c r="AP12" s="929">
        <f>AK12/((1+$B$4)^(Z12-1))</f>
        <v>-5411.1411450674013</v>
      </c>
      <c r="AQ12" s="196">
        <f>AL12</f>
        <v>115.61719893259875</v>
      </c>
      <c r="AR12" s="197">
        <f>AM12</f>
        <v>330</v>
      </c>
      <c r="AS12" s="197">
        <f>AN12</f>
        <v>5856.7583439999999</v>
      </c>
      <c r="AT12" s="197">
        <f>AO12</f>
        <v>-5741.1411450674013</v>
      </c>
      <c r="AU12" s="199">
        <f>AP12</f>
        <v>-5411.1411450674013</v>
      </c>
      <c r="AV12" s="197"/>
      <c r="AX12" s="899">
        <v>1</v>
      </c>
      <c r="AY12" s="197">
        <f>$C12</f>
        <v>1.761785888496743</v>
      </c>
      <c r="AZ12" s="197">
        <f>'Energy Inputs'!$F$58*$AZ$8</f>
        <v>21.875</v>
      </c>
      <c r="BA12" s="197">
        <f>AY12*AZ12</f>
        <v>38.539066310866254</v>
      </c>
      <c r="BB12" s="197">
        <f>'Margins summary'!$U$14</f>
        <v>330</v>
      </c>
      <c r="BC12" s="197">
        <f>BA12+BB12</f>
        <v>368.53906631086625</v>
      </c>
      <c r="BD12" s="197">
        <f>'Margins summary'!$T$20</f>
        <v>5743.7583439999999</v>
      </c>
      <c r="BE12" s="918">
        <f>'Energy NPV'!U65</f>
        <v>112.99999999999999</v>
      </c>
      <c r="BF12" s="197"/>
      <c r="BG12" s="197">
        <f>BD12+BE12+BF12</f>
        <v>5856.7583439999999</v>
      </c>
      <c r="BH12" s="197">
        <f t="shared" ref="BH12:BH27" si="4">BA12-BG12</f>
        <v>-5818.2192776891334</v>
      </c>
      <c r="BI12" s="197">
        <f t="shared" ref="BI12:BI27" si="5">BC12-BG12</f>
        <v>-5488.2192776891334</v>
      </c>
      <c r="BJ12" s="1033">
        <f>BA12/((1+$B$4)^(AX12-1))</f>
        <v>38.539066310866254</v>
      </c>
      <c r="BK12" s="213">
        <f>BB12/((1+$B$4)^(AX12-1))</f>
        <v>330</v>
      </c>
      <c r="BL12" s="213">
        <f>BG12/((1+$B$4)^(AX12-1))</f>
        <v>5856.7583439999999</v>
      </c>
      <c r="BM12" s="213">
        <f>BH12/((1+$B$4)^(AX12-1))</f>
        <v>-5818.2192776891334</v>
      </c>
      <c r="BN12" s="929">
        <f>BI12/((1+$B$4)^(AX12-1))</f>
        <v>-5488.2192776891334</v>
      </c>
      <c r="BO12" s="196">
        <f>BJ12</f>
        <v>38.539066310866254</v>
      </c>
      <c r="BP12" s="197">
        <f>BK12</f>
        <v>330</v>
      </c>
      <c r="BQ12" s="197">
        <f>BL12</f>
        <v>5856.7583439999999</v>
      </c>
      <c r="BR12" s="197">
        <f>BM12</f>
        <v>-5818.2192776891334</v>
      </c>
      <c r="BS12" s="199">
        <f>BN12</f>
        <v>-5488.2192776891334</v>
      </c>
      <c r="BV12" s="899">
        <v>1</v>
      </c>
      <c r="BW12" s="197">
        <f>$C12</f>
        <v>1.761785888496743</v>
      </c>
      <c r="BX12" s="197">
        <f>'Energy Inputs'!$F$58*$BX$8</f>
        <v>87.5</v>
      </c>
      <c r="BY12" s="197">
        <f>BW12*BX12</f>
        <v>154.15626524346501</v>
      </c>
      <c r="BZ12" s="197">
        <f>'Margins summary'!$U$14</f>
        <v>330</v>
      </c>
      <c r="CA12" s="197">
        <f>BY12+BZ12</f>
        <v>484.15626524346499</v>
      </c>
      <c r="CB12" s="197">
        <f>'Margins summary'!$T$20</f>
        <v>5743.7583439999999</v>
      </c>
      <c r="CC12" s="918">
        <f>'Energy NPV'!U65</f>
        <v>112.99999999999999</v>
      </c>
      <c r="CD12" s="197"/>
      <c r="CE12" s="197">
        <f>CB12+CC12+CD12</f>
        <v>5856.7583439999999</v>
      </c>
      <c r="CF12" s="197">
        <f t="shared" ref="CF12:CF27" si="6">BY12-CE12</f>
        <v>-5702.6020787565349</v>
      </c>
      <c r="CG12" s="197">
        <f t="shared" ref="CG12:CG27" si="7">CA12-CE12</f>
        <v>-5372.6020787565349</v>
      </c>
      <c r="CH12" s="1033">
        <f>BY12/((1+$B$4)^(BV12-1))</f>
        <v>154.15626524346501</v>
      </c>
      <c r="CI12" s="213">
        <f>BZ12/((1+$B$4)^(BV12-1))</f>
        <v>330</v>
      </c>
      <c r="CJ12" s="213">
        <f>CE12/((1+$B$4)^(BV12-1))</f>
        <v>5856.7583439999999</v>
      </c>
      <c r="CK12" s="213">
        <f>CF12/((1+$B$4)^(BV12-1))</f>
        <v>-5702.6020787565349</v>
      </c>
      <c r="CL12" s="929">
        <f>CG12/((1+$B$4)^(BV12-1))</f>
        <v>-5372.6020787565349</v>
      </c>
      <c r="CM12" s="196">
        <f>CH12</f>
        <v>154.15626524346501</v>
      </c>
      <c r="CN12" s="197">
        <f>CI12</f>
        <v>330</v>
      </c>
      <c r="CO12" s="197">
        <f>CJ12</f>
        <v>5856.7583439999999</v>
      </c>
      <c r="CP12" s="197">
        <f>CK12</f>
        <v>-5702.6020787565349</v>
      </c>
      <c r="CQ12" s="199">
        <f>CL12</f>
        <v>-5372.6020787565349</v>
      </c>
      <c r="CT12" s="204">
        <v>1</v>
      </c>
      <c r="CU12" s="197">
        <f>$C12</f>
        <v>1.761785888496743</v>
      </c>
      <c r="CV12" s="197">
        <f>'Energy Inputs'!$F$58*$CV$8</f>
        <v>0</v>
      </c>
      <c r="CW12" s="197">
        <f>CU12*CV12</f>
        <v>0</v>
      </c>
      <c r="CX12" s="197">
        <f>'Margins summary'!$U$14</f>
        <v>330</v>
      </c>
      <c r="CY12" s="197">
        <f>CW12+CX12</f>
        <v>330</v>
      </c>
      <c r="CZ12" s="197">
        <f>'Margins summary'!$T$20</f>
        <v>5743.7583439999999</v>
      </c>
      <c r="DA12" s="918">
        <f>'Energy NPV'!U65</f>
        <v>112.99999999999999</v>
      </c>
      <c r="DB12" s="197"/>
      <c r="DC12" s="197">
        <f>CZ12+DA12+DB12</f>
        <v>5856.7583439999999</v>
      </c>
      <c r="DD12" s="197">
        <f t="shared" ref="DD12:DD27" si="8">CW12-DC12</f>
        <v>-5856.7583439999999</v>
      </c>
      <c r="DE12" s="197">
        <f t="shared" ref="DE12:DE27" si="9">CY12-DC12</f>
        <v>-5526.7583439999999</v>
      </c>
      <c r="DF12" s="1033">
        <f>CW12/((1+$B$4)^(CT12-1))</f>
        <v>0</v>
      </c>
      <c r="DG12" s="213">
        <f>CX12/((1+$B$4)^(CT12-1))</f>
        <v>330</v>
      </c>
      <c r="DH12" s="213">
        <f>DC12/((1+$B$4)^(CT12-1))</f>
        <v>5856.7583439999999</v>
      </c>
      <c r="DI12" s="213">
        <f>DD12/((1+$B$4)^(CT12-1))</f>
        <v>-5856.7583439999999</v>
      </c>
      <c r="DJ12" s="929">
        <f>DE12/((1+$B$4)^(CT12-1))</f>
        <v>-5526.7583439999999</v>
      </c>
      <c r="DK12" s="196">
        <f>DF12</f>
        <v>0</v>
      </c>
      <c r="DL12" s="197">
        <f>DG12</f>
        <v>330</v>
      </c>
      <c r="DM12" s="197">
        <f>DH12</f>
        <v>5856.7583439999999</v>
      </c>
      <c r="DN12" s="197">
        <f>DI12</f>
        <v>-5856.7583439999999</v>
      </c>
      <c r="DO12" s="199">
        <f>DJ12</f>
        <v>-5526.7583439999999</v>
      </c>
    </row>
    <row r="13" spans="1:119" x14ac:dyDescent="0.3">
      <c r="B13" s="204">
        <v>2</v>
      </c>
      <c r="C13" s="197">
        <f>'Energy NPV'!$D66</f>
        <v>7.1188775071016606</v>
      </c>
      <c r="D13" s="197">
        <f>'Energy Inputs'!$F$58*$E$8</f>
        <v>43.75</v>
      </c>
      <c r="E13" s="197">
        <f t="shared" ref="E13:E27" si="10">C13*D13</f>
        <v>311.45089093569766</v>
      </c>
      <c r="F13" s="197">
        <f>'Margins summary'!$U$14</f>
        <v>330</v>
      </c>
      <c r="G13" s="197">
        <f t="shared" ref="G13:G27" si="11">E13+F13</f>
        <v>641.45089093569766</v>
      </c>
      <c r="H13" s="197"/>
      <c r="I13" s="918">
        <f>'Energy NPV'!U66</f>
        <v>497.93314399999997</v>
      </c>
      <c r="J13" s="197"/>
      <c r="K13" s="197">
        <f t="shared" ref="K13:K26" si="12">H13+I13+J13</f>
        <v>497.93314399999997</v>
      </c>
      <c r="L13" s="197">
        <f t="shared" si="0"/>
        <v>-186.48225306430231</v>
      </c>
      <c r="M13" s="197">
        <f t="shared" si="1"/>
        <v>143.51774693569769</v>
      </c>
      <c r="N13" s="196">
        <f t="shared" ref="N13:N27" si="13">E13/((1+$B$4)^(B13-1))</f>
        <v>302.37950576281327</v>
      </c>
      <c r="O13" s="197">
        <f t="shared" ref="O13:O27" si="14">F13/((1+$B$4)^(B13-1))</f>
        <v>320.38834951456312</v>
      </c>
      <c r="P13" s="197">
        <f t="shared" ref="P13:P27" si="15">K13/((1+$B$4)^(B13-1))</f>
        <v>483.43023689320387</v>
      </c>
      <c r="Q13" s="197">
        <f t="shared" ref="Q13:Q27" si="16">L13/((1+$B$4)^(B13-1))</f>
        <v>-181.0507311303906</v>
      </c>
      <c r="R13" s="199">
        <f t="shared" ref="R13:R27" si="17">M13/((1+$B$4)^(B13-1))</f>
        <v>139.33761838417252</v>
      </c>
      <c r="S13" s="196">
        <f>S12+N13</f>
        <v>379.45763838454576</v>
      </c>
      <c r="T13" s="197">
        <f t="shared" ref="T13:W27" si="18">T12+O13</f>
        <v>650.38834951456306</v>
      </c>
      <c r="U13" s="197">
        <f t="shared" si="18"/>
        <v>6340.1885808932038</v>
      </c>
      <c r="V13" s="197">
        <f t="shared" si="18"/>
        <v>-5960.7309425086578</v>
      </c>
      <c r="W13" s="199">
        <f t="shared" si="18"/>
        <v>-5310.342592994094</v>
      </c>
      <c r="X13" s="197"/>
      <c r="Z13" s="900">
        <v>2</v>
      </c>
      <c r="AA13" s="197">
        <f t="shared" ref="AA13:AA27" si="19">$C13</f>
        <v>7.1188775071016606</v>
      </c>
      <c r="AB13" s="197">
        <f>'Energy Inputs'!$F$58*$AB$8</f>
        <v>65.625</v>
      </c>
      <c r="AC13" s="197">
        <f t="shared" ref="AC13:AC26" si="20">AA13*AB13</f>
        <v>467.17633640354649</v>
      </c>
      <c r="AD13" s="197">
        <f>'Margins summary'!$U$14</f>
        <v>330</v>
      </c>
      <c r="AE13" s="197">
        <f t="shared" ref="AE13:AE27" si="21">AC13+AD13</f>
        <v>797.17633640354643</v>
      </c>
      <c r="AF13" s="197"/>
      <c r="AG13" s="918">
        <f>'Energy NPV'!U66</f>
        <v>497.93314399999997</v>
      </c>
      <c r="AH13" s="197"/>
      <c r="AI13" s="197">
        <f t="shared" ref="AI13:AI27" si="22">AF13+AG13+AH13</f>
        <v>497.93314399999997</v>
      </c>
      <c r="AJ13" s="197">
        <f t="shared" si="2"/>
        <v>-30.756807596453484</v>
      </c>
      <c r="AK13" s="197">
        <f t="shared" si="3"/>
        <v>299.24319240354646</v>
      </c>
      <c r="AL13" s="196">
        <f t="shared" ref="AL13:AL27" si="23">AC13/((1+$B$4)^(Z13-1))</f>
        <v>453.56925864421987</v>
      </c>
      <c r="AM13" s="197">
        <f t="shared" ref="AM13:AM27" si="24">AD13/((1+$B$4)^(Z13-1))</f>
        <v>320.38834951456312</v>
      </c>
      <c r="AN13" s="197">
        <f t="shared" ref="AN13:AN27" si="25">AI13/((1+$B$4)^(Z13-1))</f>
        <v>483.43023689320387</v>
      </c>
      <c r="AO13" s="197">
        <f t="shared" ref="AO13:AO27" si="26">AJ13/((1+$B$4)^(Z13-1))</f>
        <v>-29.860978248983965</v>
      </c>
      <c r="AP13" s="199">
        <f t="shared" ref="AP13:AP27" si="27">AK13/((1+$B$4)^(Z13-1))</f>
        <v>290.52737126557906</v>
      </c>
      <c r="AQ13" s="196">
        <f>AQ12+AL13</f>
        <v>569.18645757681861</v>
      </c>
      <c r="AR13" s="197">
        <f t="shared" ref="AR13:AR27" si="28">AR12+AM13</f>
        <v>650.38834951456306</v>
      </c>
      <c r="AS13" s="197">
        <f t="shared" ref="AS13:AS27" si="29">AS12+AN13</f>
        <v>6340.1885808932038</v>
      </c>
      <c r="AT13" s="197">
        <f t="shared" ref="AT13:AT27" si="30">AT12+AO13</f>
        <v>-5771.0021233163852</v>
      </c>
      <c r="AU13" s="199">
        <f t="shared" ref="AU13:AU27" si="31">AU12+AP13</f>
        <v>-5120.6137738018224</v>
      </c>
      <c r="AV13" s="197"/>
      <c r="AX13" s="900">
        <v>2</v>
      </c>
      <c r="AY13" s="197">
        <f t="shared" ref="AY13:AY27" si="32">$C13</f>
        <v>7.1188775071016606</v>
      </c>
      <c r="AZ13" s="197">
        <f>'Energy Inputs'!$F$58*$AZ$8</f>
        <v>21.875</v>
      </c>
      <c r="BA13" s="197">
        <f t="shared" ref="BA13:BA27" si="33">AY13*AZ13</f>
        <v>155.72544546784883</v>
      </c>
      <c r="BB13" s="197">
        <f>'Margins summary'!$U$14</f>
        <v>330</v>
      </c>
      <c r="BC13" s="197">
        <f t="shared" ref="BC13:BC27" si="34">BA13+BB13</f>
        <v>485.72544546784883</v>
      </c>
      <c r="BD13" s="197"/>
      <c r="BE13" s="918">
        <f>'Energy NPV'!U66</f>
        <v>497.93314399999997</v>
      </c>
      <c r="BF13" s="197"/>
      <c r="BG13" s="197">
        <f t="shared" ref="BG13:BG27" si="35">BD13+BE13+BF13</f>
        <v>497.93314399999997</v>
      </c>
      <c r="BH13" s="197">
        <f t="shared" si="4"/>
        <v>-342.20769853215114</v>
      </c>
      <c r="BI13" s="197">
        <f t="shared" si="5"/>
        <v>-12.207698532151142</v>
      </c>
      <c r="BJ13" s="196">
        <f t="shared" ref="BJ13:BJ27" si="36">BA13/((1+$B$4)^(AX13-1))</f>
        <v>151.18975288140663</v>
      </c>
      <c r="BK13" s="197">
        <f t="shared" ref="BK13:BK27" si="37">BB13/((1+$B$4)^(AX13-1))</f>
        <v>320.38834951456312</v>
      </c>
      <c r="BL13" s="197">
        <f t="shared" ref="BL13:BL27" si="38">BG13/((1+$B$4)^(AX13-1))</f>
        <v>483.43023689320387</v>
      </c>
      <c r="BM13" s="197">
        <f t="shared" ref="BM13:BM27" si="39">BH13/((1+$B$4)^(AX13-1))</f>
        <v>-332.24048401179721</v>
      </c>
      <c r="BN13" s="199">
        <f t="shared" ref="BN13:BN27" si="40">BI13/((1+$B$4)^(AX13-1))</f>
        <v>-11.852134497234118</v>
      </c>
      <c r="BO13" s="196">
        <f>BO12+BJ13</f>
        <v>189.72881919227288</v>
      </c>
      <c r="BP13" s="197">
        <f t="shared" ref="BP13:BP27" si="41">BP12+BK13</f>
        <v>650.38834951456306</v>
      </c>
      <c r="BQ13" s="197">
        <f t="shared" ref="BQ13:BQ27" si="42">BQ12+BL13</f>
        <v>6340.1885808932038</v>
      </c>
      <c r="BR13" s="197">
        <f t="shared" ref="BR13:BR27" si="43">BR12+BM13</f>
        <v>-6150.4597617009304</v>
      </c>
      <c r="BS13" s="199">
        <f t="shared" ref="BS13:BS27" si="44">BS12+BN13</f>
        <v>-5500.0714121863675</v>
      </c>
      <c r="BV13" s="900">
        <v>2</v>
      </c>
      <c r="BW13" s="197">
        <f t="shared" ref="BW13:BW27" si="45">$C13</f>
        <v>7.1188775071016606</v>
      </c>
      <c r="BX13" s="197">
        <f>'Energy Inputs'!$F$58*$BX$8</f>
        <v>87.5</v>
      </c>
      <c r="BY13" s="197">
        <f t="shared" ref="BY13:BY27" si="46">BW13*BX13</f>
        <v>622.90178187139531</v>
      </c>
      <c r="BZ13" s="197">
        <f>'Margins summary'!$U$14</f>
        <v>330</v>
      </c>
      <c r="CA13" s="197">
        <f t="shared" ref="CA13:CA27" si="47">BY13+BZ13</f>
        <v>952.90178187139531</v>
      </c>
      <c r="CB13" s="197"/>
      <c r="CC13" s="918">
        <f>'Energy NPV'!U66</f>
        <v>497.93314399999997</v>
      </c>
      <c r="CD13" s="197"/>
      <c r="CE13" s="197">
        <f t="shared" ref="CE13:CE27" si="48">CB13+CC13+CD13</f>
        <v>497.93314399999997</v>
      </c>
      <c r="CF13" s="197">
        <f t="shared" si="6"/>
        <v>124.96863787139534</v>
      </c>
      <c r="CG13" s="197">
        <f t="shared" si="7"/>
        <v>454.96863787139534</v>
      </c>
      <c r="CH13" s="196">
        <f t="shared" ref="CH13:CH27" si="49">BY13/((1+$B$4)^(BV13-1))</f>
        <v>604.75901152562653</v>
      </c>
      <c r="CI13" s="197">
        <f t="shared" ref="CI13:CI27" si="50">BZ13/((1+$B$4)^(BV13-1))</f>
        <v>320.38834951456312</v>
      </c>
      <c r="CJ13" s="197">
        <f t="shared" ref="CJ13:CJ27" si="51">CE13/((1+$B$4)^(BV13-1))</f>
        <v>483.43023689320387</v>
      </c>
      <c r="CK13" s="197">
        <f t="shared" ref="CK13:CK27" si="52">CF13/((1+$B$4)^(BV13-1))</f>
        <v>121.32877463242266</v>
      </c>
      <c r="CL13" s="199">
        <f t="shared" ref="CL13:CL27" si="53">CG13/((1+$B$4)^(BV13-1))</f>
        <v>441.71712414698578</v>
      </c>
      <c r="CM13" s="196">
        <f>CM12+CH13</f>
        <v>758.91527676909152</v>
      </c>
      <c r="CN13" s="197">
        <f t="shared" ref="CN13:CN27" si="54">CN12+CI13</f>
        <v>650.38834951456306</v>
      </c>
      <c r="CO13" s="197">
        <f t="shared" ref="CO13:CO27" si="55">CO12+CJ13</f>
        <v>6340.1885808932038</v>
      </c>
      <c r="CP13" s="197">
        <f t="shared" ref="CP13:CP27" si="56">CP12+CK13</f>
        <v>-5581.2733041241117</v>
      </c>
      <c r="CQ13" s="199">
        <f t="shared" ref="CQ13:CQ27" si="57">CQ12+CL13</f>
        <v>-4930.8849546095489</v>
      </c>
      <c r="CT13" s="204">
        <v>2</v>
      </c>
      <c r="CU13" s="197">
        <f t="shared" ref="CU13:CU27" si="58">$C13</f>
        <v>7.1188775071016606</v>
      </c>
      <c r="CV13" s="197">
        <f>'Energy Inputs'!$F$58*$CV$8</f>
        <v>0</v>
      </c>
      <c r="CW13" s="197">
        <f t="shared" ref="CW13:CW27" si="59">CU13*CV13</f>
        <v>0</v>
      </c>
      <c r="CX13" s="197">
        <f>'Margins summary'!$U$14</f>
        <v>330</v>
      </c>
      <c r="CY13" s="197">
        <f t="shared" ref="CY13:CY27" si="60">CW13+CX13</f>
        <v>330</v>
      </c>
      <c r="CZ13" s="197"/>
      <c r="DA13" s="918">
        <f>'Energy NPV'!U66</f>
        <v>497.93314399999997</v>
      </c>
      <c r="DB13" s="197"/>
      <c r="DC13" s="197">
        <f t="shared" ref="DC13:DC27" si="61">CZ13+DA13+DB13</f>
        <v>497.93314399999997</v>
      </c>
      <c r="DD13" s="197">
        <f t="shared" si="8"/>
        <v>-497.93314399999997</v>
      </c>
      <c r="DE13" s="197">
        <f t="shared" si="9"/>
        <v>-167.93314399999997</v>
      </c>
      <c r="DF13" s="196">
        <f t="shared" ref="DF13:DF27" si="62">CW13/((1+$B$4)^(CT13-1))</f>
        <v>0</v>
      </c>
      <c r="DG13" s="197">
        <f t="shared" ref="DG13:DG27" si="63">CX13/((1+$B$4)^(CT13-1))</f>
        <v>320.38834951456312</v>
      </c>
      <c r="DH13" s="197">
        <f t="shared" ref="DH13:DH27" si="64">DC13/((1+$B$4)^(CT13-1))</f>
        <v>483.43023689320387</v>
      </c>
      <c r="DI13" s="197">
        <f t="shared" ref="DI13:DI27" si="65">DD13/((1+$B$4)^(CT13-1))</f>
        <v>-483.43023689320387</v>
      </c>
      <c r="DJ13" s="199">
        <f t="shared" ref="DJ13:DJ27" si="66">DE13/((1+$B$4)^(CT13-1))</f>
        <v>-163.04188737864075</v>
      </c>
      <c r="DK13" s="196">
        <f>DK12+DF13</f>
        <v>0</v>
      </c>
      <c r="DL13" s="197">
        <f t="shared" ref="DL13:DL27" si="67">DL12+DG13</f>
        <v>650.38834951456306</v>
      </c>
      <c r="DM13" s="197">
        <f t="shared" ref="DM13:DM27" si="68">DM12+DH13</f>
        <v>6340.1885808932038</v>
      </c>
      <c r="DN13" s="197">
        <f t="shared" ref="DN13:DN27" si="69">DN12+DI13</f>
        <v>-6340.1885808932038</v>
      </c>
      <c r="DO13" s="199">
        <f t="shared" ref="DO13:DO27" si="70">DO12+DJ13</f>
        <v>-5689.800231378641</v>
      </c>
    </row>
    <row r="14" spans="1:119" x14ac:dyDescent="0.3">
      <c r="B14" s="204">
        <f t="shared" ref="B14:B27" si="71">B13+1</f>
        <v>3</v>
      </c>
      <c r="C14" s="197">
        <f>'Energy NPV'!$D67</f>
        <v>9.4057559323979216</v>
      </c>
      <c r="D14" s="197">
        <f>'Energy Inputs'!$F$58*$E$8</f>
        <v>43.75</v>
      </c>
      <c r="E14" s="197">
        <f t="shared" si="10"/>
        <v>411.50182204240906</v>
      </c>
      <c r="F14" s="197">
        <f>'Margins summary'!$U$14</f>
        <v>330</v>
      </c>
      <c r="G14" s="197">
        <f t="shared" si="11"/>
        <v>741.501822042409</v>
      </c>
      <c r="H14" s="197"/>
      <c r="I14" s="918">
        <f>'Energy NPV'!U67</f>
        <v>497.93314399999997</v>
      </c>
      <c r="J14" s="197"/>
      <c r="K14" s="197">
        <f t="shared" si="12"/>
        <v>497.93314399999997</v>
      </c>
      <c r="L14" s="197">
        <f t="shared" si="0"/>
        <v>-86.43132195759091</v>
      </c>
      <c r="M14" s="197">
        <f t="shared" si="1"/>
        <v>243.56867804240903</v>
      </c>
      <c r="N14" s="196">
        <f t="shared" si="13"/>
        <v>387.87993405826097</v>
      </c>
      <c r="O14" s="197">
        <f t="shared" si="14"/>
        <v>311.05665001413894</v>
      </c>
      <c r="P14" s="197">
        <f t="shared" si="15"/>
        <v>469.3497445565086</v>
      </c>
      <c r="Q14" s="197">
        <f t="shared" si="16"/>
        <v>-81.469810498247639</v>
      </c>
      <c r="R14" s="199">
        <f t="shared" si="17"/>
        <v>229.58683951589126</v>
      </c>
      <c r="S14" s="196">
        <f t="shared" ref="S14:S26" si="72">S13+N14</f>
        <v>767.33757244280673</v>
      </c>
      <c r="T14" s="197">
        <f t="shared" si="18"/>
        <v>961.44499952870206</v>
      </c>
      <c r="U14" s="197">
        <f t="shared" si="18"/>
        <v>6809.5383254497128</v>
      </c>
      <c r="V14" s="197">
        <f t="shared" si="18"/>
        <v>-6042.2007530069059</v>
      </c>
      <c r="W14" s="199">
        <f t="shared" si="18"/>
        <v>-5080.7557534782027</v>
      </c>
      <c r="X14" s="197"/>
      <c r="Z14" s="900">
        <v>3</v>
      </c>
      <c r="AA14" s="197">
        <f t="shared" si="19"/>
        <v>9.4057559323979216</v>
      </c>
      <c r="AB14" s="197">
        <f>'Energy Inputs'!$F$58*$AB$8</f>
        <v>65.625</v>
      </c>
      <c r="AC14" s="197">
        <f t="shared" si="20"/>
        <v>617.25273306361362</v>
      </c>
      <c r="AD14" s="197">
        <f>'Margins summary'!$U$14</f>
        <v>330</v>
      </c>
      <c r="AE14" s="197">
        <f t="shared" si="21"/>
        <v>947.25273306361362</v>
      </c>
      <c r="AF14" s="197"/>
      <c r="AG14" s="918">
        <f>'Energy NPV'!U67</f>
        <v>497.93314399999997</v>
      </c>
      <c r="AH14" s="197"/>
      <c r="AI14" s="197">
        <f t="shared" si="22"/>
        <v>497.93314399999997</v>
      </c>
      <c r="AJ14" s="197">
        <f t="shared" si="2"/>
        <v>119.31958906361365</v>
      </c>
      <c r="AK14" s="197">
        <f t="shared" si="3"/>
        <v>449.31958906361365</v>
      </c>
      <c r="AL14" s="196">
        <f t="shared" si="23"/>
        <v>581.81990108739149</v>
      </c>
      <c r="AM14" s="197">
        <f t="shared" si="24"/>
        <v>311.05665001413894</v>
      </c>
      <c r="AN14" s="197">
        <f t="shared" si="25"/>
        <v>469.3497445565086</v>
      </c>
      <c r="AO14" s="197">
        <f t="shared" si="26"/>
        <v>112.47015653088289</v>
      </c>
      <c r="AP14" s="199">
        <f t="shared" si="27"/>
        <v>423.52680654502183</v>
      </c>
      <c r="AQ14" s="196">
        <f t="shared" ref="AQ14:AQ27" si="73">AQ13+AL14</f>
        <v>1151.00635866421</v>
      </c>
      <c r="AR14" s="197">
        <f t="shared" si="28"/>
        <v>961.44499952870206</v>
      </c>
      <c r="AS14" s="197">
        <f t="shared" si="29"/>
        <v>6809.5383254497128</v>
      </c>
      <c r="AT14" s="197">
        <f t="shared" si="30"/>
        <v>-5658.5319667855019</v>
      </c>
      <c r="AU14" s="199">
        <f t="shared" si="31"/>
        <v>-4697.0869672568006</v>
      </c>
      <c r="AV14" s="197"/>
      <c r="AX14" s="900">
        <v>3</v>
      </c>
      <c r="AY14" s="197">
        <f t="shared" si="32"/>
        <v>9.4057559323979216</v>
      </c>
      <c r="AZ14" s="197">
        <f>'Energy Inputs'!$F$58*$AZ$8</f>
        <v>21.875</v>
      </c>
      <c r="BA14" s="197">
        <f t="shared" si="33"/>
        <v>205.75091102120453</v>
      </c>
      <c r="BB14" s="197">
        <f>'Margins summary'!$U$14</f>
        <v>330</v>
      </c>
      <c r="BC14" s="197">
        <f t="shared" si="34"/>
        <v>535.7509110212045</v>
      </c>
      <c r="BD14" s="197"/>
      <c r="BE14" s="918">
        <f>'Energy NPV'!U67</f>
        <v>497.93314399999997</v>
      </c>
      <c r="BF14" s="197"/>
      <c r="BG14" s="197">
        <f t="shared" si="35"/>
        <v>497.93314399999997</v>
      </c>
      <c r="BH14" s="197">
        <f t="shared" si="4"/>
        <v>-292.18223297879547</v>
      </c>
      <c r="BI14" s="197">
        <f t="shared" si="5"/>
        <v>37.817767021204531</v>
      </c>
      <c r="BJ14" s="196">
        <f t="shared" si="36"/>
        <v>193.93996702913049</v>
      </c>
      <c r="BK14" s="197">
        <f t="shared" si="37"/>
        <v>311.05665001413894</v>
      </c>
      <c r="BL14" s="197">
        <f t="shared" si="38"/>
        <v>469.3497445565086</v>
      </c>
      <c r="BM14" s="197">
        <f t="shared" si="39"/>
        <v>-275.40977752737814</v>
      </c>
      <c r="BN14" s="199">
        <f t="shared" si="40"/>
        <v>35.646872486760799</v>
      </c>
      <c r="BO14" s="196">
        <f t="shared" ref="BO14:BO27" si="74">BO13+BJ14</f>
        <v>383.66878622140337</v>
      </c>
      <c r="BP14" s="197">
        <f t="shared" si="41"/>
        <v>961.44499952870206</v>
      </c>
      <c r="BQ14" s="197">
        <f t="shared" si="42"/>
        <v>6809.5383254497128</v>
      </c>
      <c r="BR14" s="197">
        <f t="shared" si="43"/>
        <v>-6425.8695392283089</v>
      </c>
      <c r="BS14" s="199">
        <f t="shared" si="44"/>
        <v>-5464.4245396996066</v>
      </c>
      <c r="BV14" s="900">
        <v>3</v>
      </c>
      <c r="BW14" s="197">
        <f t="shared" si="45"/>
        <v>9.4057559323979216</v>
      </c>
      <c r="BX14" s="197">
        <f>'Energy Inputs'!$F$58*$BX$8</f>
        <v>87.5</v>
      </c>
      <c r="BY14" s="197">
        <f t="shared" si="46"/>
        <v>823.00364408481812</v>
      </c>
      <c r="BZ14" s="197">
        <f>'Margins summary'!$U$14</f>
        <v>330</v>
      </c>
      <c r="CA14" s="197">
        <f t="shared" si="47"/>
        <v>1153.003644084818</v>
      </c>
      <c r="CB14" s="197"/>
      <c r="CC14" s="918">
        <f>'Energy NPV'!U67</f>
        <v>497.93314399999997</v>
      </c>
      <c r="CD14" s="197"/>
      <c r="CE14" s="197">
        <f t="shared" si="48"/>
        <v>497.93314399999997</v>
      </c>
      <c r="CF14" s="197">
        <f t="shared" si="6"/>
        <v>325.07050008481815</v>
      </c>
      <c r="CG14" s="197">
        <f t="shared" si="7"/>
        <v>655.07050008481804</v>
      </c>
      <c r="CH14" s="196">
        <f t="shared" si="49"/>
        <v>775.75986811652194</v>
      </c>
      <c r="CI14" s="197">
        <f t="shared" si="50"/>
        <v>311.05665001413894</v>
      </c>
      <c r="CJ14" s="197">
        <f t="shared" si="51"/>
        <v>469.3497445565086</v>
      </c>
      <c r="CK14" s="197">
        <f t="shared" si="52"/>
        <v>306.41012356001335</v>
      </c>
      <c r="CL14" s="199">
        <f t="shared" si="53"/>
        <v>617.46677357415217</v>
      </c>
      <c r="CM14" s="196">
        <f t="shared" ref="CM14:CM27" si="75">CM13+CH14</f>
        <v>1534.6751448856135</v>
      </c>
      <c r="CN14" s="197">
        <f t="shared" si="54"/>
        <v>961.44499952870206</v>
      </c>
      <c r="CO14" s="197">
        <f t="shared" si="55"/>
        <v>6809.5383254497128</v>
      </c>
      <c r="CP14" s="197">
        <f t="shared" si="56"/>
        <v>-5274.863180564098</v>
      </c>
      <c r="CQ14" s="199">
        <f t="shared" si="57"/>
        <v>-4313.4181810353966</v>
      </c>
      <c r="CT14" s="204">
        <f t="shared" ref="CT14:CT27" si="76">CT13+1</f>
        <v>3</v>
      </c>
      <c r="CU14" s="197">
        <f t="shared" si="58"/>
        <v>9.4057559323979216</v>
      </c>
      <c r="CV14" s="197">
        <f>'Energy Inputs'!$F$58*$CV$8</f>
        <v>0</v>
      </c>
      <c r="CW14" s="197">
        <f t="shared" si="59"/>
        <v>0</v>
      </c>
      <c r="CX14" s="197">
        <f>'Margins summary'!$U$14</f>
        <v>330</v>
      </c>
      <c r="CY14" s="197">
        <f t="shared" si="60"/>
        <v>330</v>
      </c>
      <c r="CZ14" s="197"/>
      <c r="DA14" s="918">
        <f>'Energy NPV'!U67</f>
        <v>497.93314399999997</v>
      </c>
      <c r="DB14" s="197"/>
      <c r="DC14" s="197">
        <f t="shared" si="61"/>
        <v>497.93314399999997</v>
      </c>
      <c r="DD14" s="197">
        <f t="shared" si="8"/>
        <v>-497.93314399999997</v>
      </c>
      <c r="DE14" s="197">
        <f t="shared" si="9"/>
        <v>-167.93314399999997</v>
      </c>
      <c r="DF14" s="196">
        <f t="shared" si="62"/>
        <v>0</v>
      </c>
      <c r="DG14" s="197">
        <f t="shared" si="63"/>
        <v>311.05665001413894</v>
      </c>
      <c r="DH14" s="197">
        <f t="shared" si="64"/>
        <v>469.3497445565086</v>
      </c>
      <c r="DI14" s="197">
        <f t="shared" si="65"/>
        <v>-469.3497445565086</v>
      </c>
      <c r="DJ14" s="199">
        <f t="shared" si="66"/>
        <v>-158.29309454236966</v>
      </c>
      <c r="DK14" s="196">
        <f t="shared" ref="DK14:DK27" si="77">DK13+DF14</f>
        <v>0</v>
      </c>
      <c r="DL14" s="197">
        <f t="shared" si="67"/>
        <v>961.44499952870206</v>
      </c>
      <c r="DM14" s="197">
        <f t="shared" si="68"/>
        <v>6809.5383254497128</v>
      </c>
      <c r="DN14" s="197">
        <f t="shared" si="69"/>
        <v>-6809.5383254497128</v>
      </c>
      <c r="DO14" s="199">
        <f t="shared" si="70"/>
        <v>-5848.0933259210105</v>
      </c>
    </row>
    <row r="15" spans="1:119" x14ac:dyDescent="0.3">
      <c r="B15" s="204">
        <f t="shared" si="71"/>
        <v>4</v>
      </c>
      <c r="C15" s="197">
        <f>'Energy NPV'!$D68</f>
        <v>10</v>
      </c>
      <c r="D15" s="197">
        <f>'Energy Inputs'!$F$58*$E$8</f>
        <v>43.75</v>
      </c>
      <c r="E15" s="197">
        <f t="shared" si="10"/>
        <v>437.5</v>
      </c>
      <c r="F15" s="197">
        <f>'Margins summary'!$U$14</f>
        <v>330</v>
      </c>
      <c r="G15" s="197">
        <f t="shared" si="11"/>
        <v>767.5</v>
      </c>
      <c r="H15" s="197"/>
      <c r="I15" s="918">
        <f>'Energy NPV'!U68</f>
        <v>316.00314399999996</v>
      </c>
      <c r="J15" s="197"/>
      <c r="K15" s="197">
        <f t="shared" si="12"/>
        <v>316.00314399999996</v>
      </c>
      <c r="L15" s="197">
        <f t="shared" si="0"/>
        <v>121.49685600000004</v>
      </c>
      <c r="M15" s="197">
        <f t="shared" si="1"/>
        <v>451.49685600000004</v>
      </c>
      <c r="N15" s="196">
        <f t="shared" si="13"/>
        <v>400.3744759670073</v>
      </c>
      <c r="O15" s="197">
        <f t="shared" si="14"/>
        <v>301.99674758654265</v>
      </c>
      <c r="P15" s="197">
        <f t="shared" si="15"/>
        <v>289.18764156097541</v>
      </c>
      <c r="Q15" s="197">
        <f t="shared" si="16"/>
        <v>111.18683440603192</v>
      </c>
      <c r="R15" s="199">
        <f t="shared" si="17"/>
        <v>413.18358199257455</v>
      </c>
      <c r="S15" s="196">
        <f t="shared" si="72"/>
        <v>1167.7120484098141</v>
      </c>
      <c r="T15" s="197">
        <f t="shared" si="18"/>
        <v>1263.4417471152447</v>
      </c>
      <c r="U15" s="197">
        <f t="shared" si="18"/>
        <v>7098.7259670106887</v>
      </c>
      <c r="V15" s="197">
        <f t="shared" si="18"/>
        <v>-5931.0139186008737</v>
      </c>
      <c r="W15" s="199">
        <f t="shared" si="18"/>
        <v>-4667.5721714856281</v>
      </c>
      <c r="X15" s="197"/>
      <c r="Z15" s="900">
        <v>4</v>
      </c>
      <c r="AA15" s="197">
        <f t="shared" si="19"/>
        <v>10</v>
      </c>
      <c r="AB15" s="197">
        <f>'Energy Inputs'!$F$58*$AB$8</f>
        <v>65.625</v>
      </c>
      <c r="AC15" s="197">
        <f t="shared" si="20"/>
        <v>656.25</v>
      </c>
      <c r="AD15" s="197">
        <f>'Margins summary'!$U$14</f>
        <v>330</v>
      </c>
      <c r="AE15" s="197">
        <f t="shared" si="21"/>
        <v>986.25</v>
      </c>
      <c r="AF15" s="197"/>
      <c r="AG15" s="918">
        <f>'Energy NPV'!U68</f>
        <v>316.00314399999996</v>
      </c>
      <c r="AH15" s="197"/>
      <c r="AI15" s="197">
        <f t="shared" si="22"/>
        <v>316.00314399999996</v>
      </c>
      <c r="AJ15" s="197">
        <f t="shared" si="2"/>
        <v>340.24685600000004</v>
      </c>
      <c r="AK15" s="197">
        <f t="shared" si="3"/>
        <v>670.24685599999998</v>
      </c>
      <c r="AL15" s="196">
        <f t="shared" si="23"/>
        <v>600.56171395051092</v>
      </c>
      <c r="AM15" s="197">
        <f t="shared" si="24"/>
        <v>301.99674758654265</v>
      </c>
      <c r="AN15" s="197">
        <f t="shared" si="25"/>
        <v>289.18764156097541</v>
      </c>
      <c r="AO15" s="197">
        <f t="shared" si="26"/>
        <v>311.37407238953557</v>
      </c>
      <c r="AP15" s="199">
        <f t="shared" si="27"/>
        <v>613.37081997607822</v>
      </c>
      <c r="AQ15" s="196">
        <f t="shared" si="73"/>
        <v>1751.5680726147209</v>
      </c>
      <c r="AR15" s="197">
        <f t="shared" si="28"/>
        <v>1263.4417471152447</v>
      </c>
      <c r="AS15" s="197">
        <f t="shared" si="29"/>
        <v>7098.7259670106887</v>
      </c>
      <c r="AT15" s="197">
        <f t="shared" si="30"/>
        <v>-5347.1578943959667</v>
      </c>
      <c r="AU15" s="199">
        <f t="shared" si="31"/>
        <v>-4083.7161472807225</v>
      </c>
      <c r="AV15" s="197"/>
      <c r="AX15" s="900">
        <v>4</v>
      </c>
      <c r="AY15" s="197">
        <f t="shared" si="32"/>
        <v>10</v>
      </c>
      <c r="AZ15" s="197">
        <f>'Energy Inputs'!$F$58*$AZ$8</f>
        <v>21.875</v>
      </c>
      <c r="BA15" s="197">
        <f t="shared" si="33"/>
        <v>218.75</v>
      </c>
      <c r="BB15" s="197">
        <f>'Margins summary'!$U$14</f>
        <v>330</v>
      </c>
      <c r="BC15" s="197">
        <f t="shared" si="34"/>
        <v>548.75</v>
      </c>
      <c r="BD15" s="197"/>
      <c r="BE15" s="918">
        <f>'Energy NPV'!U68</f>
        <v>316.00314399999996</v>
      </c>
      <c r="BF15" s="197"/>
      <c r="BG15" s="197">
        <f t="shared" si="35"/>
        <v>316.00314399999996</v>
      </c>
      <c r="BH15" s="197">
        <f t="shared" si="4"/>
        <v>-97.253143999999963</v>
      </c>
      <c r="BI15" s="197">
        <f t="shared" si="5"/>
        <v>232.74685600000004</v>
      </c>
      <c r="BJ15" s="196">
        <f t="shared" si="36"/>
        <v>200.18723798350365</v>
      </c>
      <c r="BK15" s="197">
        <f t="shared" si="37"/>
        <v>301.99674758654265</v>
      </c>
      <c r="BL15" s="197">
        <f t="shared" si="38"/>
        <v>289.18764156097541</v>
      </c>
      <c r="BM15" s="197">
        <f t="shared" si="39"/>
        <v>-89.000403577471744</v>
      </c>
      <c r="BN15" s="199">
        <f t="shared" si="40"/>
        <v>212.99634400907092</v>
      </c>
      <c r="BO15" s="196">
        <f t="shared" si="74"/>
        <v>583.85602420490704</v>
      </c>
      <c r="BP15" s="197">
        <f t="shared" si="41"/>
        <v>1263.4417471152447</v>
      </c>
      <c r="BQ15" s="197">
        <f t="shared" si="42"/>
        <v>7098.7259670106887</v>
      </c>
      <c r="BR15" s="197">
        <f t="shared" si="43"/>
        <v>-6514.8699428057807</v>
      </c>
      <c r="BS15" s="199">
        <f t="shared" si="44"/>
        <v>-5251.4281956905361</v>
      </c>
      <c r="BV15" s="900">
        <v>4</v>
      </c>
      <c r="BW15" s="197">
        <f t="shared" si="45"/>
        <v>10</v>
      </c>
      <c r="BX15" s="197">
        <f>'Energy Inputs'!$F$58*$BX$8</f>
        <v>87.5</v>
      </c>
      <c r="BY15" s="197">
        <f t="shared" si="46"/>
        <v>875</v>
      </c>
      <c r="BZ15" s="197">
        <f>'Margins summary'!$U$14</f>
        <v>330</v>
      </c>
      <c r="CA15" s="197">
        <f t="shared" si="47"/>
        <v>1205</v>
      </c>
      <c r="CB15" s="197"/>
      <c r="CC15" s="918">
        <f>'Energy NPV'!U68</f>
        <v>316.00314399999996</v>
      </c>
      <c r="CD15" s="197"/>
      <c r="CE15" s="197">
        <f t="shared" si="48"/>
        <v>316.00314399999996</v>
      </c>
      <c r="CF15" s="197">
        <f t="shared" si="6"/>
        <v>558.99685599999998</v>
      </c>
      <c r="CG15" s="197">
        <f t="shared" si="7"/>
        <v>888.99685599999998</v>
      </c>
      <c r="CH15" s="196">
        <f t="shared" si="49"/>
        <v>800.7489519340146</v>
      </c>
      <c r="CI15" s="197">
        <f t="shared" si="50"/>
        <v>301.99674758654265</v>
      </c>
      <c r="CJ15" s="197">
        <f t="shared" si="51"/>
        <v>289.18764156097541</v>
      </c>
      <c r="CK15" s="197">
        <f t="shared" si="52"/>
        <v>511.56131037303919</v>
      </c>
      <c r="CL15" s="199">
        <f t="shared" si="53"/>
        <v>813.55805795958179</v>
      </c>
      <c r="CM15" s="196">
        <f t="shared" si="75"/>
        <v>2335.4240968196282</v>
      </c>
      <c r="CN15" s="197">
        <f t="shared" si="54"/>
        <v>1263.4417471152447</v>
      </c>
      <c r="CO15" s="197">
        <f t="shared" si="55"/>
        <v>7098.7259670106887</v>
      </c>
      <c r="CP15" s="197">
        <f t="shared" si="56"/>
        <v>-4763.3018701910587</v>
      </c>
      <c r="CQ15" s="199">
        <f t="shared" si="57"/>
        <v>-3499.860123075815</v>
      </c>
      <c r="CT15" s="204">
        <f t="shared" si="76"/>
        <v>4</v>
      </c>
      <c r="CU15" s="197">
        <f t="shared" si="58"/>
        <v>10</v>
      </c>
      <c r="CV15" s="197">
        <f>'Energy Inputs'!$F$58*$CV$8</f>
        <v>0</v>
      </c>
      <c r="CW15" s="197">
        <f t="shared" si="59"/>
        <v>0</v>
      </c>
      <c r="CX15" s="197">
        <f>'Margins summary'!$U$14</f>
        <v>330</v>
      </c>
      <c r="CY15" s="197">
        <f t="shared" si="60"/>
        <v>330</v>
      </c>
      <c r="CZ15" s="197"/>
      <c r="DA15" s="918">
        <f>'Energy NPV'!U68</f>
        <v>316.00314399999996</v>
      </c>
      <c r="DB15" s="197"/>
      <c r="DC15" s="197">
        <f t="shared" si="61"/>
        <v>316.00314399999996</v>
      </c>
      <c r="DD15" s="197">
        <f t="shared" si="8"/>
        <v>-316.00314399999996</v>
      </c>
      <c r="DE15" s="197">
        <f t="shared" si="9"/>
        <v>13.996856000000037</v>
      </c>
      <c r="DF15" s="196">
        <f t="shared" si="62"/>
        <v>0</v>
      </c>
      <c r="DG15" s="197">
        <f t="shared" si="63"/>
        <v>301.99674758654265</v>
      </c>
      <c r="DH15" s="197">
        <f t="shared" si="64"/>
        <v>289.18764156097541</v>
      </c>
      <c r="DI15" s="197">
        <f t="shared" si="65"/>
        <v>-289.18764156097541</v>
      </c>
      <c r="DJ15" s="199">
        <f t="shared" si="66"/>
        <v>12.809106025567262</v>
      </c>
      <c r="DK15" s="196">
        <f t="shared" si="77"/>
        <v>0</v>
      </c>
      <c r="DL15" s="197">
        <f t="shared" si="67"/>
        <v>1263.4417471152447</v>
      </c>
      <c r="DM15" s="197">
        <f t="shared" si="68"/>
        <v>7098.7259670106887</v>
      </c>
      <c r="DN15" s="197">
        <f t="shared" si="69"/>
        <v>-7098.7259670106887</v>
      </c>
      <c r="DO15" s="199">
        <f t="shared" si="70"/>
        <v>-5835.2842198954431</v>
      </c>
    </row>
    <row r="16" spans="1:119" x14ac:dyDescent="0.3">
      <c r="B16" s="204">
        <f t="shared" si="71"/>
        <v>5</v>
      </c>
      <c r="C16" s="197">
        <f>'Energy NPV'!$D69</f>
        <v>10</v>
      </c>
      <c r="D16" s="197">
        <f>'Energy Inputs'!$F$58*$E$8</f>
        <v>43.75</v>
      </c>
      <c r="E16" s="197">
        <f t="shared" si="10"/>
        <v>437.5</v>
      </c>
      <c r="F16" s="197">
        <f>'Margins summary'!$U$14</f>
        <v>330</v>
      </c>
      <c r="G16" s="197">
        <f t="shared" si="11"/>
        <v>767.5</v>
      </c>
      <c r="H16" s="197"/>
      <c r="I16" s="918">
        <f>'Energy NPV'!U69</f>
        <v>316.00314399999996</v>
      </c>
      <c r="J16" s="197"/>
      <c r="K16" s="197">
        <f t="shared" si="12"/>
        <v>316.00314399999996</v>
      </c>
      <c r="L16" s="197">
        <f t="shared" si="0"/>
        <v>121.49685600000004</v>
      </c>
      <c r="M16" s="197">
        <f t="shared" si="1"/>
        <v>451.49685600000004</v>
      </c>
      <c r="N16" s="196">
        <f t="shared" si="13"/>
        <v>388.71308346311395</v>
      </c>
      <c r="O16" s="197">
        <f t="shared" si="14"/>
        <v>293.20072581217738</v>
      </c>
      <c r="P16" s="197">
        <f t="shared" si="15"/>
        <v>280.76470054463636</v>
      </c>
      <c r="Q16" s="197">
        <f t="shared" si="16"/>
        <v>107.94838291847759</v>
      </c>
      <c r="R16" s="199">
        <f t="shared" si="17"/>
        <v>401.14910873065497</v>
      </c>
      <c r="S16" s="196">
        <f t="shared" si="72"/>
        <v>1556.425131872928</v>
      </c>
      <c r="T16" s="197">
        <f t="shared" si="18"/>
        <v>1556.642472927422</v>
      </c>
      <c r="U16" s="197">
        <f t="shared" si="18"/>
        <v>7379.4906675553248</v>
      </c>
      <c r="V16" s="197">
        <f t="shared" si="18"/>
        <v>-5823.0655356823963</v>
      </c>
      <c r="W16" s="199">
        <f t="shared" si="18"/>
        <v>-4266.4230627549732</v>
      </c>
      <c r="X16" s="197"/>
      <c r="Z16" s="900">
        <v>5</v>
      </c>
      <c r="AA16" s="197">
        <f t="shared" si="19"/>
        <v>10</v>
      </c>
      <c r="AB16" s="197">
        <f>'Energy Inputs'!$F$58*$AB$8</f>
        <v>65.625</v>
      </c>
      <c r="AC16" s="197">
        <f t="shared" si="20"/>
        <v>656.25</v>
      </c>
      <c r="AD16" s="197">
        <f>'Margins summary'!$U$14</f>
        <v>330</v>
      </c>
      <c r="AE16" s="197">
        <f t="shared" si="21"/>
        <v>986.25</v>
      </c>
      <c r="AF16" s="197"/>
      <c r="AG16" s="918">
        <f>'Energy NPV'!U69</f>
        <v>316.00314399999996</v>
      </c>
      <c r="AH16" s="197"/>
      <c r="AI16" s="197">
        <f t="shared" si="22"/>
        <v>316.00314399999996</v>
      </c>
      <c r="AJ16" s="197">
        <f t="shared" si="2"/>
        <v>340.24685600000004</v>
      </c>
      <c r="AK16" s="197">
        <f t="shared" si="3"/>
        <v>670.24685599999998</v>
      </c>
      <c r="AL16" s="196">
        <f t="shared" si="23"/>
        <v>583.06962519467083</v>
      </c>
      <c r="AM16" s="197">
        <f t="shared" si="24"/>
        <v>293.20072581217738</v>
      </c>
      <c r="AN16" s="197">
        <f t="shared" si="25"/>
        <v>280.76470054463636</v>
      </c>
      <c r="AO16" s="197">
        <f t="shared" si="26"/>
        <v>302.30492465003454</v>
      </c>
      <c r="AP16" s="199">
        <f t="shared" si="27"/>
        <v>595.50565046221186</v>
      </c>
      <c r="AQ16" s="196">
        <f t="shared" si="73"/>
        <v>2334.6376978093917</v>
      </c>
      <c r="AR16" s="197">
        <f t="shared" si="28"/>
        <v>1556.642472927422</v>
      </c>
      <c r="AS16" s="197">
        <f t="shared" si="29"/>
        <v>7379.4906675553248</v>
      </c>
      <c r="AT16" s="197">
        <f t="shared" si="30"/>
        <v>-5044.8529697459326</v>
      </c>
      <c r="AU16" s="199">
        <f t="shared" si="31"/>
        <v>-3488.2104968185104</v>
      </c>
      <c r="AV16" s="197"/>
      <c r="AX16" s="900">
        <v>5</v>
      </c>
      <c r="AY16" s="197">
        <f t="shared" si="32"/>
        <v>10</v>
      </c>
      <c r="AZ16" s="197">
        <f>'Energy Inputs'!$F$58*$AZ$8</f>
        <v>21.875</v>
      </c>
      <c r="BA16" s="197">
        <f t="shared" si="33"/>
        <v>218.75</v>
      </c>
      <c r="BB16" s="197">
        <f>'Margins summary'!$U$14</f>
        <v>330</v>
      </c>
      <c r="BC16" s="197">
        <f t="shared" si="34"/>
        <v>548.75</v>
      </c>
      <c r="BD16" s="197"/>
      <c r="BE16" s="918">
        <f>'Energy NPV'!U69</f>
        <v>316.00314399999996</v>
      </c>
      <c r="BF16" s="197"/>
      <c r="BG16" s="197">
        <f t="shared" si="35"/>
        <v>316.00314399999996</v>
      </c>
      <c r="BH16" s="197">
        <f t="shared" si="4"/>
        <v>-97.253143999999963</v>
      </c>
      <c r="BI16" s="197">
        <f t="shared" si="5"/>
        <v>232.74685600000004</v>
      </c>
      <c r="BJ16" s="196">
        <f t="shared" si="36"/>
        <v>194.35654173155697</v>
      </c>
      <c r="BK16" s="197">
        <f t="shared" si="37"/>
        <v>293.20072581217738</v>
      </c>
      <c r="BL16" s="197">
        <f t="shared" si="38"/>
        <v>280.76470054463636</v>
      </c>
      <c r="BM16" s="197">
        <f t="shared" si="39"/>
        <v>-86.408158813079368</v>
      </c>
      <c r="BN16" s="199">
        <f t="shared" si="40"/>
        <v>206.792566999098</v>
      </c>
      <c r="BO16" s="196">
        <f t="shared" si="74"/>
        <v>778.21256593646399</v>
      </c>
      <c r="BP16" s="197">
        <f t="shared" si="41"/>
        <v>1556.642472927422</v>
      </c>
      <c r="BQ16" s="197">
        <f t="shared" si="42"/>
        <v>7379.4906675553248</v>
      </c>
      <c r="BR16" s="197">
        <f t="shared" si="43"/>
        <v>-6601.2781016188601</v>
      </c>
      <c r="BS16" s="199">
        <f t="shared" si="44"/>
        <v>-5044.6356286914379</v>
      </c>
      <c r="BV16" s="900">
        <v>5</v>
      </c>
      <c r="BW16" s="197">
        <f t="shared" si="45"/>
        <v>10</v>
      </c>
      <c r="BX16" s="197">
        <f>'Energy Inputs'!$F$58*$BX$8</f>
        <v>87.5</v>
      </c>
      <c r="BY16" s="197">
        <f t="shared" si="46"/>
        <v>875</v>
      </c>
      <c r="BZ16" s="197">
        <f>'Margins summary'!$U$14</f>
        <v>330</v>
      </c>
      <c r="CA16" s="197">
        <f t="shared" si="47"/>
        <v>1205</v>
      </c>
      <c r="CB16" s="197"/>
      <c r="CC16" s="918">
        <f>'Energy NPV'!U69</f>
        <v>316.00314399999996</v>
      </c>
      <c r="CD16" s="197"/>
      <c r="CE16" s="197">
        <f t="shared" si="48"/>
        <v>316.00314399999996</v>
      </c>
      <c r="CF16" s="197">
        <f t="shared" si="6"/>
        <v>558.99685599999998</v>
      </c>
      <c r="CG16" s="197">
        <f t="shared" si="7"/>
        <v>888.99685599999998</v>
      </c>
      <c r="CH16" s="196">
        <f t="shared" si="49"/>
        <v>777.42616692622789</v>
      </c>
      <c r="CI16" s="197">
        <f t="shared" si="50"/>
        <v>293.20072581217738</v>
      </c>
      <c r="CJ16" s="197">
        <f t="shared" si="51"/>
        <v>280.76470054463636</v>
      </c>
      <c r="CK16" s="197">
        <f t="shared" si="52"/>
        <v>496.66146638159148</v>
      </c>
      <c r="CL16" s="199">
        <f t="shared" si="53"/>
        <v>789.86219219376881</v>
      </c>
      <c r="CM16" s="196">
        <f t="shared" si="75"/>
        <v>3112.850263745856</v>
      </c>
      <c r="CN16" s="197">
        <f t="shared" si="54"/>
        <v>1556.642472927422</v>
      </c>
      <c r="CO16" s="197">
        <f t="shared" si="55"/>
        <v>7379.4906675553248</v>
      </c>
      <c r="CP16" s="197">
        <f t="shared" si="56"/>
        <v>-4266.640403809467</v>
      </c>
      <c r="CQ16" s="199">
        <f t="shared" si="57"/>
        <v>-2709.9979308820461</v>
      </c>
      <c r="CT16" s="204">
        <f t="shared" si="76"/>
        <v>5</v>
      </c>
      <c r="CU16" s="197">
        <f t="shared" si="58"/>
        <v>10</v>
      </c>
      <c r="CV16" s="197">
        <f>'Energy Inputs'!$F$58*$CV$8</f>
        <v>0</v>
      </c>
      <c r="CW16" s="197">
        <f t="shared" si="59"/>
        <v>0</v>
      </c>
      <c r="CX16" s="197">
        <f>'Margins summary'!$U$14</f>
        <v>330</v>
      </c>
      <c r="CY16" s="197">
        <f t="shared" si="60"/>
        <v>330</v>
      </c>
      <c r="CZ16" s="197"/>
      <c r="DA16" s="918">
        <f>'Energy NPV'!U69</f>
        <v>316.00314399999996</v>
      </c>
      <c r="DB16" s="197"/>
      <c r="DC16" s="197">
        <f t="shared" si="61"/>
        <v>316.00314399999996</v>
      </c>
      <c r="DD16" s="197">
        <f t="shared" si="8"/>
        <v>-316.00314399999996</v>
      </c>
      <c r="DE16" s="197">
        <f t="shared" si="9"/>
        <v>13.996856000000037</v>
      </c>
      <c r="DF16" s="196">
        <f t="shared" si="62"/>
        <v>0</v>
      </c>
      <c r="DG16" s="197">
        <f t="shared" si="63"/>
        <v>293.20072581217738</v>
      </c>
      <c r="DH16" s="197">
        <f t="shared" si="64"/>
        <v>280.76470054463636</v>
      </c>
      <c r="DI16" s="197">
        <f t="shared" si="65"/>
        <v>-280.76470054463636</v>
      </c>
      <c r="DJ16" s="199">
        <f t="shared" si="66"/>
        <v>12.436025267541032</v>
      </c>
      <c r="DK16" s="196">
        <f t="shared" si="77"/>
        <v>0</v>
      </c>
      <c r="DL16" s="197">
        <f t="shared" si="67"/>
        <v>1556.642472927422</v>
      </c>
      <c r="DM16" s="197">
        <f t="shared" si="68"/>
        <v>7379.4906675553248</v>
      </c>
      <c r="DN16" s="197">
        <f t="shared" si="69"/>
        <v>-7379.4906675553248</v>
      </c>
      <c r="DO16" s="199">
        <f t="shared" si="70"/>
        <v>-5822.8481946279016</v>
      </c>
    </row>
    <row r="17" spans="2:119" x14ac:dyDescent="0.3">
      <c r="B17" s="204">
        <f t="shared" si="71"/>
        <v>6</v>
      </c>
      <c r="C17" s="197">
        <f>'Energy NPV'!$D70</f>
        <v>10</v>
      </c>
      <c r="D17" s="197">
        <f>'Energy Inputs'!$F$58*$E$8</f>
        <v>43.75</v>
      </c>
      <c r="E17" s="197">
        <f t="shared" si="10"/>
        <v>437.5</v>
      </c>
      <c r="F17" s="197">
        <f>'Margins summary'!$U$14</f>
        <v>330</v>
      </c>
      <c r="G17" s="197">
        <f t="shared" si="11"/>
        <v>767.5</v>
      </c>
      <c r="H17" s="197"/>
      <c r="I17" s="918">
        <f>'Energy NPV'!U70</f>
        <v>316.00314399999996</v>
      </c>
      <c r="J17" s="197"/>
      <c r="K17" s="197">
        <f t="shared" si="12"/>
        <v>316.00314399999996</v>
      </c>
      <c r="L17" s="197">
        <f t="shared" si="0"/>
        <v>121.49685600000004</v>
      </c>
      <c r="M17" s="197">
        <f t="shared" si="1"/>
        <v>451.49685600000004</v>
      </c>
      <c r="N17" s="196">
        <f t="shared" si="13"/>
        <v>377.39134316807178</v>
      </c>
      <c r="O17" s="197">
        <f t="shared" si="14"/>
        <v>284.66089884677416</v>
      </c>
      <c r="P17" s="197">
        <f t="shared" si="15"/>
        <v>272.58708790741395</v>
      </c>
      <c r="Q17" s="197">
        <f t="shared" si="16"/>
        <v>104.80425526065787</v>
      </c>
      <c r="R17" s="199">
        <f t="shared" si="17"/>
        <v>389.465154107432</v>
      </c>
      <c r="S17" s="196">
        <f t="shared" si="72"/>
        <v>1933.8164750409996</v>
      </c>
      <c r="T17" s="197">
        <f t="shared" si="18"/>
        <v>1841.3033717741962</v>
      </c>
      <c r="U17" s="197">
        <f t="shared" si="18"/>
        <v>7652.0777554627384</v>
      </c>
      <c r="V17" s="197">
        <f t="shared" si="18"/>
        <v>-5718.2612804217388</v>
      </c>
      <c r="W17" s="199">
        <f t="shared" si="18"/>
        <v>-3876.9579086475414</v>
      </c>
      <c r="X17" s="197"/>
      <c r="Z17" s="900">
        <v>6</v>
      </c>
      <c r="AA17" s="197">
        <f t="shared" si="19"/>
        <v>10</v>
      </c>
      <c r="AB17" s="197">
        <f>'Energy Inputs'!$F$58*$AB$8</f>
        <v>65.625</v>
      </c>
      <c r="AC17" s="197">
        <f t="shared" si="20"/>
        <v>656.25</v>
      </c>
      <c r="AD17" s="197">
        <f>'Margins summary'!$U$14</f>
        <v>330</v>
      </c>
      <c r="AE17" s="197">
        <f t="shared" si="21"/>
        <v>986.25</v>
      </c>
      <c r="AF17" s="197"/>
      <c r="AG17" s="918">
        <f>'Energy NPV'!U70</f>
        <v>316.00314399999996</v>
      </c>
      <c r="AH17" s="197"/>
      <c r="AI17" s="197">
        <f t="shared" si="22"/>
        <v>316.00314399999996</v>
      </c>
      <c r="AJ17" s="197">
        <f t="shared" si="2"/>
        <v>340.24685600000004</v>
      </c>
      <c r="AK17" s="197">
        <f t="shared" si="3"/>
        <v>670.24685599999998</v>
      </c>
      <c r="AL17" s="196">
        <f t="shared" si="23"/>
        <v>566.08701475210773</v>
      </c>
      <c r="AM17" s="197">
        <f t="shared" si="24"/>
        <v>284.66089884677416</v>
      </c>
      <c r="AN17" s="197">
        <f t="shared" si="25"/>
        <v>272.58708790741395</v>
      </c>
      <c r="AO17" s="197">
        <f t="shared" si="26"/>
        <v>293.49992684469379</v>
      </c>
      <c r="AP17" s="199">
        <f t="shared" si="27"/>
        <v>578.16082569146783</v>
      </c>
      <c r="AQ17" s="196">
        <f t="shared" si="73"/>
        <v>2900.7247125614995</v>
      </c>
      <c r="AR17" s="197">
        <f t="shared" si="28"/>
        <v>1841.3033717741962</v>
      </c>
      <c r="AS17" s="197">
        <f t="shared" si="29"/>
        <v>7652.0777554627384</v>
      </c>
      <c r="AT17" s="197">
        <f t="shared" si="30"/>
        <v>-4751.353042901239</v>
      </c>
      <c r="AU17" s="199">
        <f t="shared" si="31"/>
        <v>-2910.0496711270425</v>
      </c>
      <c r="AV17" s="197"/>
      <c r="AX17" s="900">
        <v>6</v>
      </c>
      <c r="AY17" s="197">
        <f t="shared" si="32"/>
        <v>10</v>
      </c>
      <c r="AZ17" s="197">
        <f>'Energy Inputs'!$F$58*$AZ$8</f>
        <v>21.875</v>
      </c>
      <c r="BA17" s="197">
        <f t="shared" si="33"/>
        <v>218.75</v>
      </c>
      <c r="BB17" s="197">
        <f>'Margins summary'!$U$14</f>
        <v>330</v>
      </c>
      <c r="BC17" s="197">
        <f t="shared" si="34"/>
        <v>548.75</v>
      </c>
      <c r="BD17" s="197"/>
      <c r="BE17" s="918">
        <f>'Energy NPV'!U70</f>
        <v>316.00314399999996</v>
      </c>
      <c r="BF17" s="197"/>
      <c r="BG17" s="197">
        <f t="shared" si="35"/>
        <v>316.00314399999996</v>
      </c>
      <c r="BH17" s="197">
        <f t="shared" si="4"/>
        <v>-97.253143999999963</v>
      </c>
      <c r="BI17" s="197">
        <f t="shared" si="5"/>
        <v>232.74685600000004</v>
      </c>
      <c r="BJ17" s="196">
        <f t="shared" si="36"/>
        <v>188.69567158403589</v>
      </c>
      <c r="BK17" s="197">
        <f t="shared" si="37"/>
        <v>284.66089884677416</v>
      </c>
      <c r="BL17" s="197">
        <f t="shared" si="38"/>
        <v>272.58708790741395</v>
      </c>
      <c r="BM17" s="197">
        <f t="shared" si="39"/>
        <v>-83.891416323378024</v>
      </c>
      <c r="BN17" s="199">
        <f t="shared" si="40"/>
        <v>200.76948252339614</v>
      </c>
      <c r="BO17" s="196">
        <f t="shared" si="74"/>
        <v>966.90823752049982</v>
      </c>
      <c r="BP17" s="197">
        <f t="shared" si="41"/>
        <v>1841.3033717741962</v>
      </c>
      <c r="BQ17" s="197">
        <f t="shared" si="42"/>
        <v>7652.0777554627384</v>
      </c>
      <c r="BR17" s="197">
        <f t="shared" si="43"/>
        <v>-6685.1695179422377</v>
      </c>
      <c r="BS17" s="199">
        <f t="shared" si="44"/>
        <v>-4843.8661461680422</v>
      </c>
      <c r="BV17" s="900">
        <v>6</v>
      </c>
      <c r="BW17" s="197">
        <f t="shared" si="45"/>
        <v>10</v>
      </c>
      <c r="BX17" s="197">
        <f>'Energy Inputs'!$F$58*$BX$8</f>
        <v>87.5</v>
      </c>
      <c r="BY17" s="197">
        <f t="shared" si="46"/>
        <v>875</v>
      </c>
      <c r="BZ17" s="197">
        <f>'Margins summary'!$U$14</f>
        <v>330</v>
      </c>
      <c r="CA17" s="197">
        <f t="shared" si="47"/>
        <v>1205</v>
      </c>
      <c r="CB17" s="197"/>
      <c r="CC17" s="918">
        <f>'Energy NPV'!U70</f>
        <v>316.00314399999996</v>
      </c>
      <c r="CD17" s="197"/>
      <c r="CE17" s="197">
        <f t="shared" si="48"/>
        <v>316.00314399999996</v>
      </c>
      <c r="CF17" s="197">
        <f t="shared" si="6"/>
        <v>558.99685599999998</v>
      </c>
      <c r="CG17" s="197">
        <f t="shared" si="7"/>
        <v>888.99685599999998</v>
      </c>
      <c r="CH17" s="196">
        <f t="shared" si="49"/>
        <v>754.78268633614357</v>
      </c>
      <c r="CI17" s="197">
        <f t="shared" si="50"/>
        <v>284.66089884677416</v>
      </c>
      <c r="CJ17" s="197">
        <f t="shared" si="51"/>
        <v>272.58708790741395</v>
      </c>
      <c r="CK17" s="197">
        <f t="shared" si="52"/>
        <v>482.19559842872962</v>
      </c>
      <c r="CL17" s="199">
        <f t="shared" si="53"/>
        <v>766.85649727550378</v>
      </c>
      <c r="CM17" s="196">
        <f t="shared" si="75"/>
        <v>3867.6329500819993</v>
      </c>
      <c r="CN17" s="197">
        <f t="shared" si="54"/>
        <v>1841.3033717741962</v>
      </c>
      <c r="CO17" s="197">
        <f t="shared" si="55"/>
        <v>7652.0777554627384</v>
      </c>
      <c r="CP17" s="197">
        <f t="shared" si="56"/>
        <v>-3784.4448053807373</v>
      </c>
      <c r="CQ17" s="199">
        <f t="shared" si="57"/>
        <v>-1943.1414336065423</v>
      </c>
      <c r="CT17" s="204">
        <f t="shared" si="76"/>
        <v>6</v>
      </c>
      <c r="CU17" s="197">
        <f t="shared" si="58"/>
        <v>10</v>
      </c>
      <c r="CV17" s="197">
        <f>'Energy Inputs'!$F$58*$CV$8</f>
        <v>0</v>
      </c>
      <c r="CW17" s="197">
        <f t="shared" si="59"/>
        <v>0</v>
      </c>
      <c r="CX17" s="197">
        <f>'Margins summary'!$U$14</f>
        <v>330</v>
      </c>
      <c r="CY17" s="197">
        <f t="shared" si="60"/>
        <v>330</v>
      </c>
      <c r="CZ17" s="197"/>
      <c r="DA17" s="918">
        <f>'Energy NPV'!U70</f>
        <v>316.00314399999996</v>
      </c>
      <c r="DB17" s="197"/>
      <c r="DC17" s="197">
        <f t="shared" si="61"/>
        <v>316.00314399999996</v>
      </c>
      <c r="DD17" s="197">
        <f t="shared" si="8"/>
        <v>-316.00314399999996</v>
      </c>
      <c r="DE17" s="197">
        <f t="shared" si="9"/>
        <v>13.996856000000037</v>
      </c>
      <c r="DF17" s="196">
        <f t="shared" si="62"/>
        <v>0</v>
      </c>
      <c r="DG17" s="197">
        <f t="shared" si="63"/>
        <v>284.66089884677416</v>
      </c>
      <c r="DH17" s="197">
        <f t="shared" si="64"/>
        <v>272.58708790741395</v>
      </c>
      <c r="DI17" s="197">
        <f t="shared" si="65"/>
        <v>-272.58708790741395</v>
      </c>
      <c r="DJ17" s="199">
        <f t="shared" si="66"/>
        <v>12.073810939360225</v>
      </c>
      <c r="DK17" s="196">
        <f t="shared" si="77"/>
        <v>0</v>
      </c>
      <c r="DL17" s="197">
        <f t="shared" si="67"/>
        <v>1841.3033717741962</v>
      </c>
      <c r="DM17" s="197">
        <f t="shared" si="68"/>
        <v>7652.0777554627384</v>
      </c>
      <c r="DN17" s="197">
        <f t="shared" si="69"/>
        <v>-7652.0777554627384</v>
      </c>
      <c r="DO17" s="199">
        <f t="shared" si="70"/>
        <v>-5810.7743836885411</v>
      </c>
    </row>
    <row r="18" spans="2:119" x14ac:dyDescent="0.3">
      <c r="B18" s="204">
        <f t="shared" si="71"/>
        <v>7</v>
      </c>
      <c r="C18" s="197">
        <f>'Energy NPV'!$D71</f>
        <v>10</v>
      </c>
      <c r="D18" s="197">
        <f>'Energy Inputs'!$F$58*$E$8</f>
        <v>43.75</v>
      </c>
      <c r="E18" s="197">
        <f t="shared" si="10"/>
        <v>437.5</v>
      </c>
      <c r="F18" s="197">
        <f>'Margins summary'!$U$14</f>
        <v>330</v>
      </c>
      <c r="G18" s="197">
        <f t="shared" si="11"/>
        <v>767.5</v>
      </c>
      <c r="H18" s="197"/>
      <c r="I18" s="918">
        <f>'Energy NPV'!U71</f>
        <v>316.00314399999996</v>
      </c>
      <c r="J18" s="197"/>
      <c r="K18" s="197">
        <f t="shared" si="12"/>
        <v>316.00314399999996</v>
      </c>
      <c r="L18" s="197">
        <f t="shared" si="0"/>
        <v>121.49685600000004</v>
      </c>
      <c r="M18" s="197">
        <f t="shared" si="1"/>
        <v>451.49685600000004</v>
      </c>
      <c r="N18" s="196">
        <f t="shared" si="13"/>
        <v>366.39936229909881</v>
      </c>
      <c r="O18" s="197">
        <f t="shared" si="14"/>
        <v>276.36980470560593</v>
      </c>
      <c r="P18" s="197">
        <f t="shared" si="15"/>
        <v>264.64765816253777</v>
      </c>
      <c r="Q18" s="197">
        <f t="shared" si="16"/>
        <v>101.75170413656103</v>
      </c>
      <c r="R18" s="199">
        <f t="shared" si="17"/>
        <v>378.12150884216697</v>
      </c>
      <c r="S18" s="196">
        <f t="shared" si="72"/>
        <v>2300.2158373400985</v>
      </c>
      <c r="T18" s="197">
        <f t="shared" si="18"/>
        <v>2117.6731764798024</v>
      </c>
      <c r="U18" s="197">
        <f t="shared" si="18"/>
        <v>7916.7254136252759</v>
      </c>
      <c r="V18" s="197">
        <f t="shared" si="18"/>
        <v>-5616.5095762851779</v>
      </c>
      <c r="W18" s="199">
        <f t="shared" si="18"/>
        <v>-3498.8363998053746</v>
      </c>
      <c r="X18" s="197"/>
      <c r="Z18" s="900">
        <v>7</v>
      </c>
      <c r="AA18" s="197">
        <f t="shared" si="19"/>
        <v>10</v>
      </c>
      <c r="AB18" s="197">
        <f>'Energy Inputs'!$F$58*$AB$8</f>
        <v>65.625</v>
      </c>
      <c r="AC18" s="197">
        <f t="shared" si="20"/>
        <v>656.25</v>
      </c>
      <c r="AD18" s="197">
        <f>'Margins summary'!$U$14</f>
        <v>330</v>
      </c>
      <c r="AE18" s="197">
        <f t="shared" si="21"/>
        <v>986.25</v>
      </c>
      <c r="AF18" s="197"/>
      <c r="AG18" s="918">
        <f>'Energy NPV'!U71</f>
        <v>316.00314399999996</v>
      </c>
      <c r="AH18" s="197"/>
      <c r="AI18" s="197">
        <f t="shared" si="22"/>
        <v>316.00314399999996</v>
      </c>
      <c r="AJ18" s="197">
        <f t="shared" si="2"/>
        <v>340.24685600000004</v>
      </c>
      <c r="AK18" s="197">
        <f t="shared" si="3"/>
        <v>670.24685599999998</v>
      </c>
      <c r="AL18" s="196">
        <f t="shared" si="23"/>
        <v>549.59904344864822</v>
      </c>
      <c r="AM18" s="197">
        <f t="shared" si="24"/>
        <v>276.36980470560593</v>
      </c>
      <c r="AN18" s="197">
        <f t="shared" si="25"/>
        <v>264.64765816253777</v>
      </c>
      <c r="AO18" s="197">
        <f t="shared" si="26"/>
        <v>284.95138528611045</v>
      </c>
      <c r="AP18" s="199">
        <f t="shared" si="27"/>
        <v>561.32118999171632</v>
      </c>
      <c r="AQ18" s="196">
        <f t="shared" si="73"/>
        <v>3450.3237560101479</v>
      </c>
      <c r="AR18" s="197">
        <f t="shared" si="28"/>
        <v>2117.6731764798024</v>
      </c>
      <c r="AS18" s="197">
        <f t="shared" si="29"/>
        <v>7916.7254136252759</v>
      </c>
      <c r="AT18" s="197">
        <f t="shared" si="30"/>
        <v>-4466.4016576151289</v>
      </c>
      <c r="AU18" s="199">
        <f t="shared" si="31"/>
        <v>-2348.7284811353261</v>
      </c>
      <c r="AV18" s="197"/>
      <c r="AX18" s="900">
        <v>7</v>
      </c>
      <c r="AY18" s="197">
        <f t="shared" si="32"/>
        <v>10</v>
      </c>
      <c r="AZ18" s="197">
        <f>'Energy Inputs'!$F$58*$AZ$8</f>
        <v>21.875</v>
      </c>
      <c r="BA18" s="197">
        <f t="shared" si="33"/>
        <v>218.75</v>
      </c>
      <c r="BB18" s="197">
        <f>'Margins summary'!$U$14</f>
        <v>330</v>
      </c>
      <c r="BC18" s="197">
        <f t="shared" si="34"/>
        <v>548.75</v>
      </c>
      <c r="BD18" s="197"/>
      <c r="BE18" s="918">
        <f>'Energy NPV'!U71</f>
        <v>316.00314399999996</v>
      </c>
      <c r="BF18" s="197"/>
      <c r="BG18" s="197">
        <f t="shared" si="35"/>
        <v>316.00314399999996</v>
      </c>
      <c r="BH18" s="197">
        <f t="shared" si="4"/>
        <v>-97.253143999999963</v>
      </c>
      <c r="BI18" s="197">
        <f t="shared" si="5"/>
        <v>232.74685600000004</v>
      </c>
      <c r="BJ18" s="196">
        <f t="shared" si="36"/>
        <v>183.19968114954941</v>
      </c>
      <c r="BK18" s="197">
        <f t="shared" si="37"/>
        <v>276.36980470560593</v>
      </c>
      <c r="BL18" s="197">
        <f t="shared" si="38"/>
        <v>264.64765816253777</v>
      </c>
      <c r="BM18" s="197">
        <f t="shared" si="39"/>
        <v>-81.447977012988375</v>
      </c>
      <c r="BN18" s="199">
        <f t="shared" si="40"/>
        <v>194.92182769261757</v>
      </c>
      <c r="BO18" s="196">
        <f t="shared" si="74"/>
        <v>1150.1079186700492</v>
      </c>
      <c r="BP18" s="197">
        <f t="shared" si="41"/>
        <v>2117.6731764798024</v>
      </c>
      <c r="BQ18" s="197">
        <f t="shared" si="42"/>
        <v>7916.7254136252759</v>
      </c>
      <c r="BR18" s="197">
        <f t="shared" si="43"/>
        <v>-6766.617494955226</v>
      </c>
      <c r="BS18" s="199">
        <f t="shared" si="44"/>
        <v>-4648.9443184754246</v>
      </c>
      <c r="BV18" s="900">
        <v>7</v>
      </c>
      <c r="BW18" s="197">
        <f t="shared" si="45"/>
        <v>10</v>
      </c>
      <c r="BX18" s="197">
        <f>'Energy Inputs'!$F$58*$BX$8</f>
        <v>87.5</v>
      </c>
      <c r="BY18" s="197">
        <f t="shared" si="46"/>
        <v>875</v>
      </c>
      <c r="BZ18" s="197">
        <f>'Margins summary'!$U$14</f>
        <v>330</v>
      </c>
      <c r="CA18" s="197">
        <f t="shared" si="47"/>
        <v>1205</v>
      </c>
      <c r="CB18" s="197"/>
      <c r="CC18" s="918">
        <f>'Energy NPV'!U71</f>
        <v>316.00314399999996</v>
      </c>
      <c r="CD18" s="197"/>
      <c r="CE18" s="197">
        <f t="shared" si="48"/>
        <v>316.00314399999996</v>
      </c>
      <c r="CF18" s="197">
        <f t="shared" si="6"/>
        <v>558.99685599999998</v>
      </c>
      <c r="CG18" s="197">
        <f t="shared" si="7"/>
        <v>888.99685599999998</v>
      </c>
      <c r="CH18" s="196">
        <f t="shared" si="49"/>
        <v>732.79872459819762</v>
      </c>
      <c r="CI18" s="197">
        <f t="shared" si="50"/>
        <v>276.36980470560593</v>
      </c>
      <c r="CJ18" s="197">
        <f t="shared" si="51"/>
        <v>264.64765816253777</v>
      </c>
      <c r="CK18" s="197">
        <f t="shared" si="52"/>
        <v>468.1510664356598</v>
      </c>
      <c r="CL18" s="199">
        <f t="shared" si="53"/>
        <v>744.52087114126573</v>
      </c>
      <c r="CM18" s="196">
        <f t="shared" si="75"/>
        <v>4600.4316746801969</v>
      </c>
      <c r="CN18" s="197">
        <f t="shared" si="54"/>
        <v>2117.6731764798024</v>
      </c>
      <c r="CO18" s="197">
        <f t="shared" si="55"/>
        <v>7916.7254136252759</v>
      </c>
      <c r="CP18" s="197">
        <f t="shared" si="56"/>
        <v>-3316.2937389450776</v>
      </c>
      <c r="CQ18" s="199">
        <f t="shared" si="57"/>
        <v>-1198.6205624652766</v>
      </c>
      <c r="CT18" s="204">
        <f t="shared" si="76"/>
        <v>7</v>
      </c>
      <c r="CU18" s="197">
        <f t="shared" si="58"/>
        <v>10</v>
      </c>
      <c r="CV18" s="197">
        <f>'Energy Inputs'!$F$58*$CV$8</f>
        <v>0</v>
      </c>
      <c r="CW18" s="197">
        <f t="shared" si="59"/>
        <v>0</v>
      </c>
      <c r="CX18" s="197">
        <f>'Margins summary'!$U$14</f>
        <v>330</v>
      </c>
      <c r="CY18" s="197">
        <f t="shared" si="60"/>
        <v>330</v>
      </c>
      <c r="CZ18" s="197"/>
      <c r="DA18" s="918">
        <f>'Energy NPV'!U71</f>
        <v>316.00314399999996</v>
      </c>
      <c r="DB18" s="197"/>
      <c r="DC18" s="197">
        <f t="shared" si="61"/>
        <v>316.00314399999996</v>
      </c>
      <c r="DD18" s="197">
        <f t="shared" si="8"/>
        <v>-316.00314399999996</v>
      </c>
      <c r="DE18" s="197">
        <f t="shared" si="9"/>
        <v>13.996856000000037</v>
      </c>
      <c r="DF18" s="196">
        <f t="shared" si="62"/>
        <v>0</v>
      </c>
      <c r="DG18" s="197">
        <f t="shared" si="63"/>
        <v>276.36980470560593</v>
      </c>
      <c r="DH18" s="197">
        <f t="shared" si="64"/>
        <v>264.64765816253777</v>
      </c>
      <c r="DI18" s="197">
        <f t="shared" si="65"/>
        <v>-264.64765816253777</v>
      </c>
      <c r="DJ18" s="199">
        <f t="shared" si="66"/>
        <v>11.722146543068179</v>
      </c>
      <c r="DK18" s="196">
        <f t="shared" si="77"/>
        <v>0</v>
      </c>
      <c r="DL18" s="197">
        <f t="shared" si="67"/>
        <v>2117.6731764798024</v>
      </c>
      <c r="DM18" s="197">
        <f t="shared" si="68"/>
        <v>7916.7254136252759</v>
      </c>
      <c r="DN18" s="197">
        <f t="shared" si="69"/>
        <v>-7916.7254136252759</v>
      </c>
      <c r="DO18" s="199">
        <f t="shared" si="70"/>
        <v>-5799.0522371454726</v>
      </c>
    </row>
    <row r="19" spans="2:119" x14ac:dyDescent="0.3">
      <c r="B19" s="204">
        <f t="shared" si="71"/>
        <v>8</v>
      </c>
      <c r="C19" s="197">
        <f>'Energy NPV'!$D72</f>
        <v>10</v>
      </c>
      <c r="D19" s="197">
        <f>'Energy Inputs'!$F$58*$E$8</f>
        <v>43.75</v>
      </c>
      <c r="E19" s="197">
        <f t="shared" si="10"/>
        <v>437.5</v>
      </c>
      <c r="F19" s="197">
        <f>'Margins summary'!$U$14</f>
        <v>330</v>
      </c>
      <c r="G19" s="197">
        <f t="shared" si="11"/>
        <v>767.5</v>
      </c>
      <c r="H19" s="197"/>
      <c r="I19" s="918">
        <f>'Energy NPV'!U72</f>
        <v>316.00314399999996</v>
      </c>
      <c r="J19" s="197"/>
      <c r="K19" s="197">
        <f t="shared" si="12"/>
        <v>316.00314399999996</v>
      </c>
      <c r="L19" s="197">
        <f t="shared" si="0"/>
        <v>121.49685600000004</v>
      </c>
      <c r="M19" s="197">
        <f t="shared" si="1"/>
        <v>451.49685600000004</v>
      </c>
      <c r="N19" s="196">
        <f t="shared" si="13"/>
        <v>355.72753621271727</v>
      </c>
      <c r="O19" s="197">
        <f t="shared" si="14"/>
        <v>268.32019874330672</v>
      </c>
      <c r="P19" s="197">
        <f t="shared" si="15"/>
        <v>256.93947394421144</v>
      </c>
      <c r="Q19" s="197">
        <f t="shared" si="16"/>
        <v>98.788062268505854</v>
      </c>
      <c r="R19" s="199">
        <f t="shared" si="17"/>
        <v>367.1082610118126</v>
      </c>
      <c r="S19" s="196">
        <f t="shared" si="72"/>
        <v>2655.9433735528155</v>
      </c>
      <c r="T19" s="197">
        <f t="shared" si="18"/>
        <v>2385.9933752231091</v>
      </c>
      <c r="U19" s="197">
        <f t="shared" si="18"/>
        <v>8173.6648875694873</v>
      </c>
      <c r="V19" s="197">
        <f t="shared" si="18"/>
        <v>-5517.7215140166718</v>
      </c>
      <c r="W19" s="199">
        <f t="shared" si="18"/>
        <v>-3131.7281387935618</v>
      </c>
      <c r="X19" s="197"/>
      <c r="Z19" s="900">
        <v>8</v>
      </c>
      <c r="AA19" s="197">
        <f t="shared" si="19"/>
        <v>10</v>
      </c>
      <c r="AB19" s="197">
        <f>'Energy Inputs'!$F$58*$AB$8</f>
        <v>65.625</v>
      </c>
      <c r="AC19" s="197">
        <f t="shared" si="20"/>
        <v>656.25</v>
      </c>
      <c r="AD19" s="197">
        <f>'Margins summary'!$U$14</f>
        <v>330</v>
      </c>
      <c r="AE19" s="197">
        <f t="shared" si="21"/>
        <v>986.25</v>
      </c>
      <c r="AF19" s="197"/>
      <c r="AG19" s="918">
        <f>'Energy NPV'!U72</f>
        <v>316.00314399999996</v>
      </c>
      <c r="AH19" s="197"/>
      <c r="AI19" s="197">
        <f t="shared" si="22"/>
        <v>316.00314399999996</v>
      </c>
      <c r="AJ19" s="197">
        <f t="shared" si="2"/>
        <v>340.24685600000004</v>
      </c>
      <c r="AK19" s="197">
        <f t="shared" si="3"/>
        <v>670.24685599999998</v>
      </c>
      <c r="AL19" s="196">
        <f t="shared" si="23"/>
        <v>533.5913043190759</v>
      </c>
      <c r="AM19" s="197">
        <f t="shared" si="24"/>
        <v>268.32019874330672</v>
      </c>
      <c r="AN19" s="197">
        <f t="shared" si="25"/>
        <v>256.93947394421144</v>
      </c>
      <c r="AO19" s="197">
        <f t="shared" si="26"/>
        <v>276.65183037486446</v>
      </c>
      <c r="AP19" s="199">
        <f t="shared" si="27"/>
        <v>544.97202911817112</v>
      </c>
      <c r="AQ19" s="196">
        <f t="shared" si="73"/>
        <v>3983.9150603292237</v>
      </c>
      <c r="AR19" s="197">
        <f t="shared" si="28"/>
        <v>2385.9933752231091</v>
      </c>
      <c r="AS19" s="197">
        <f t="shared" si="29"/>
        <v>8173.6648875694873</v>
      </c>
      <c r="AT19" s="197">
        <f t="shared" si="30"/>
        <v>-4189.7498272402645</v>
      </c>
      <c r="AU19" s="199">
        <f t="shared" si="31"/>
        <v>-1803.756452017155</v>
      </c>
      <c r="AV19" s="197"/>
      <c r="AX19" s="900">
        <v>8</v>
      </c>
      <c r="AY19" s="197">
        <f t="shared" si="32"/>
        <v>10</v>
      </c>
      <c r="AZ19" s="197">
        <f>'Energy Inputs'!$F$58*$AZ$8</f>
        <v>21.875</v>
      </c>
      <c r="BA19" s="197">
        <f t="shared" si="33"/>
        <v>218.75</v>
      </c>
      <c r="BB19" s="197">
        <f>'Margins summary'!$U$14</f>
        <v>330</v>
      </c>
      <c r="BC19" s="197">
        <f t="shared" si="34"/>
        <v>548.75</v>
      </c>
      <c r="BD19" s="197"/>
      <c r="BE19" s="918">
        <f>'Energy NPV'!U72</f>
        <v>316.00314399999996</v>
      </c>
      <c r="BF19" s="197"/>
      <c r="BG19" s="197">
        <f t="shared" si="35"/>
        <v>316.00314399999996</v>
      </c>
      <c r="BH19" s="197">
        <f t="shared" si="4"/>
        <v>-97.253143999999963</v>
      </c>
      <c r="BI19" s="197">
        <f t="shared" si="5"/>
        <v>232.74685600000004</v>
      </c>
      <c r="BJ19" s="196">
        <f t="shared" si="36"/>
        <v>177.86376810635863</v>
      </c>
      <c r="BK19" s="197">
        <f t="shared" si="37"/>
        <v>268.32019874330672</v>
      </c>
      <c r="BL19" s="197">
        <f t="shared" si="38"/>
        <v>256.93947394421144</v>
      </c>
      <c r="BM19" s="197">
        <f t="shared" si="39"/>
        <v>-79.07570583785278</v>
      </c>
      <c r="BN19" s="199">
        <f t="shared" si="40"/>
        <v>189.24449290545394</v>
      </c>
      <c r="BO19" s="196">
        <f t="shared" si="74"/>
        <v>1327.9716867764078</v>
      </c>
      <c r="BP19" s="197">
        <f t="shared" si="41"/>
        <v>2385.9933752231091</v>
      </c>
      <c r="BQ19" s="197">
        <f t="shared" si="42"/>
        <v>8173.6648875694873</v>
      </c>
      <c r="BR19" s="197">
        <f t="shared" si="43"/>
        <v>-6845.6932007930791</v>
      </c>
      <c r="BS19" s="199">
        <f t="shared" si="44"/>
        <v>-4459.6998255699709</v>
      </c>
      <c r="BV19" s="900">
        <v>8</v>
      </c>
      <c r="BW19" s="197">
        <f t="shared" si="45"/>
        <v>10</v>
      </c>
      <c r="BX19" s="197">
        <f>'Energy Inputs'!$F$58*$BX$8</f>
        <v>87.5</v>
      </c>
      <c r="BY19" s="197">
        <f t="shared" si="46"/>
        <v>875</v>
      </c>
      <c r="BZ19" s="197">
        <f>'Margins summary'!$U$14</f>
        <v>330</v>
      </c>
      <c r="CA19" s="197">
        <f t="shared" si="47"/>
        <v>1205</v>
      </c>
      <c r="CB19" s="197"/>
      <c r="CC19" s="918">
        <f>'Energy NPV'!U72</f>
        <v>316.00314399999996</v>
      </c>
      <c r="CD19" s="197"/>
      <c r="CE19" s="197">
        <f t="shared" si="48"/>
        <v>316.00314399999996</v>
      </c>
      <c r="CF19" s="197">
        <f t="shared" si="6"/>
        <v>558.99685599999998</v>
      </c>
      <c r="CG19" s="197">
        <f t="shared" si="7"/>
        <v>888.99685599999998</v>
      </c>
      <c r="CH19" s="196">
        <f t="shared" si="49"/>
        <v>711.45507242543454</v>
      </c>
      <c r="CI19" s="197">
        <f t="shared" si="50"/>
        <v>268.32019874330672</v>
      </c>
      <c r="CJ19" s="197">
        <f t="shared" si="51"/>
        <v>256.93947394421144</v>
      </c>
      <c r="CK19" s="197">
        <f t="shared" si="52"/>
        <v>454.51559848122309</v>
      </c>
      <c r="CL19" s="199">
        <f t="shared" si="53"/>
        <v>722.83579722452976</v>
      </c>
      <c r="CM19" s="196">
        <f t="shared" si="75"/>
        <v>5311.886747105631</v>
      </c>
      <c r="CN19" s="197">
        <f t="shared" si="54"/>
        <v>2385.9933752231091</v>
      </c>
      <c r="CO19" s="197">
        <f t="shared" si="55"/>
        <v>8173.6648875694873</v>
      </c>
      <c r="CP19" s="197">
        <f t="shared" si="56"/>
        <v>-2861.7781404638545</v>
      </c>
      <c r="CQ19" s="199">
        <f t="shared" si="57"/>
        <v>-475.78476524074688</v>
      </c>
      <c r="CT19" s="204">
        <f t="shared" si="76"/>
        <v>8</v>
      </c>
      <c r="CU19" s="197">
        <f t="shared" si="58"/>
        <v>10</v>
      </c>
      <c r="CV19" s="197">
        <f>'Energy Inputs'!$F$58*$CV$8</f>
        <v>0</v>
      </c>
      <c r="CW19" s="197">
        <f t="shared" si="59"/>
        <v>0</v>
      </c>
      <c r="CX19" s="197">
        <f>'Margins summary'!$U$14</f>
        <v>330</v>
      </c>
      <c r="CY19" s="197">
        <f t="shared" si="60"/>
        <v>330</v>
      </c>
      <c r="CZ19" s="197"/>
      <c r="DA19" s="918">
        <f>'Energy NPV'!U72</f>
        <v>316.00314399999996</v>
      </c>
      <c r="DB19" s="197"/>
      <c r="DC19" s="197">
        <f t="shared" si="61"/>
        <v>316.00314399999996</v>
      </c>
      <c r="DD19" s="197">
        <f t="shared" si="8"/>
        <v>-316.00314399999996</v>
      </c>
      <c r="DE19" s="197">
        <f t="shared" si="9"/>
        <v>13.996856000000037</v>
      </c>
      <c r="DF19" s="196">
        <f t="shared" si="62"/>
        <v>0</v>
      </c>
      <c r="DG19" s="197">
        <f t="shared" si="63"/>
        <v>268.32019874330672</v>
      </c>
      <c r="DH19" s="197">
        <f t="shared" si="64"/>
        <v>256.93947394421144</v>
      </c>
      <c r="DI19" s="197">
        <f t="shared" si="65"/>
        <v>-256.93947394421144</v>
      </c>
      <c r="DJ19" s="199">
        <f t="shared" si="66"/>
        <v>11.380724799095319</v>
      </c>
      <c r="DK19" s="196">
        <f t="shared" si="77"/>
        <v>0</v>
      </c>
      <c r="DL19" s="197">
        <f t="shared" si="67"/>
        <v>2385.9933752231091</v>
      </c>
      <c r="DM19" s="197">
        <f t="shared" si="68"/>
        <v>8173.6648875694873</v>
      </c>
      <c r="DN19" s="197">
        <f t="shared" si="69"/>
        <v>-8173.6648875694873</v>
      </c>
      <c r="DO19" s="199">
        <f t="shared" si="70"/>
        <v>-5787.6715123463773</v>
      </c>
    </row>
    <row r="20" spans="2:119" x14ac:dyDescent="0.3">
      <c r="B20" s="204">
        <f t="shared" si="71"/>
        <v>9</v>
      </c>
      <c r="C20" s="197">
        <f>'Energy NPV'!$D73</f>
        <v>10</v>
      </c>
      <c r="D20" s="197">
        <f>'Energy Inputs'!$F$58*$E$8</f>
        <v>43.75</v>
      </c>
      <c r="E20" s="197">
        <f t="shared" si="10"/>
        <v>437.5</v>
      </c>
      <c r="F20" s="197">
        <f>'Margins summary'!$U$14</f>
        <v>330</v>
      </c>
      <c r="G20" s="197">
        <f t="shared" si="11"/>
        <v>767.5</v>
      </c>
      <c r="H20" s="197"/>
      <c r="I20" s="918">
        <f>'Energy NPV'!U73</f>
        <v>316.00314399999996</v>
      </c>
      <c r="J20" s="197"/>
      <c r="K20" s="197">
        <f t="shared" si="12"/>
        <v>316.00314399999996</v>
      </c>
      <c r="L20" s="197">
        <f t="shared" si="0"/>
        <v>121.49685600000004</v>
      </c>
      <c r="M20" s="197">
        <f t="shared" si="1"/>
        <v>451.49685600000004</v>
      </c>
      <c r="N20" s="196">
        <f t="shared" si="13"/>
        <v>345.36654001234689</v>
      </c>
      <c r="O20" s="197">
        <f t="shared" si="14"/>
        <v>260.50504732359883</v>
      </c>
      <c r="P20" s="197">
        <f t="shared" si="15"/>
        <v>249.45579994583636</v>
      </c>
      <c r="Q20" s="197">
        <f t="shared" si="16"/>
        <v>95.910740066510542</v>
      </c>
      <c r="R20" s="199">
        <f t="shared" si="17"/>
        <v>356.41578739010936</v>
      </c>
      <c r="S20" s="196">
        <f t="shared" si="72"/>
        <v>3001.3099135651623</v>
      </c>
      <c r="T20" s="197">
        <f t="shared" si="18"/>
        <v>2646.4984225467078</v>
      </c>
      <c r="U20" s="197">
        <f t="shared" si="18"/>
        <v>8423.1206875153239</v>
      </c>
      <c r="V20" s="197">
        <f t="shared" si="18"/>
        <v>-5421.8107739501611</v>
      </c>
      <c r="W20" s="199">
        <f t="shared" si="18"/>
        <v>-2775.3123514034523</v>
      </c>
      <c r="X20" s="197"/>
      <c r="Z20" s="900">
        <v>9</v>
      </c>
      <c r="AA20" s="197">
        <f t="shared" si="19"/>
        <v>10</v>
      </c>
      <c r="AB20" s="197">
        <f>'Energy Inputs'!$F$58*$AB$8</f>
        <v>65.625</v>
      </c>
      <c r="AC20" s="197">
        <f t="shared" si="20"/>
        <v>656.25</v>
      </c>
      <c r="AD20" s="197">
        <f>'Margins summary'!$U$14</f>
        <v>330</v>
      </c>
      <c r="AE20" s="197">
        <f t="shared" si="21"/>
        <v>986.25</v>
      </c>
      <c r="AF20" s="197"/>
      <c r="AG20" s="918">
        <f>'Energy NPV'!U73</f>
        <v>316.00314399999996</v>
      </c>
      <c r="AH20" s="197"/>
      <c r="AI20" s="197">
        <f t="shared" si="22"/>
        <v>316.00314399999996</v>
      </c>
      <c r="AJ20" s="197">
        <f t="shared" si="2"/>
        <v>340.24685600000004</v>
      </c>
      <c r="AK20" s="197">
        <f t="shared" si="3"/>
        <v>670.24685599999998</v>
      </c>
      <c r="AL20" s="196">
        <f t="shared" si="23"/>
        <v>518.04981001852036</v>
      </c>
      <c r="AM20" s="197">
        <f t="shared" si="24"/>
        <v>260.50504732359883</v>
      </c>
      <c r="AN20" s="197">
        <f t="shared" si="25"/>
        <v>249.45579994583636</v>
      </c>
      <c r="AO20" s="197">
        <f t="shared" si="26"/>
        <v>268.594010072684</v>
      </c>
      <c r="AP20" s="199">
        <f t="shared" si="27"/>
        <v>529.09905739628277</v>
      </c>
      <c r="AQ20" s="196">
        <f t="shared" si="73"/>
        <v>4501.9648703477442</v>
      </c>
      <c r="AR20" s="197">
        <f t="shared" si="28"/>
        <v>2646.4984225467078</v>
      </c>
      <c r="AS20" s="197">
        <f t="shared" si="29"/>
        <v>8423.1206875153239</v>
      </c>
      <c r="AT20" s="197">
        <f t="shared" si="30"/>
        <v>-3921.1558171675806</v>
      </c>
      <c r="AU20" s="199">
        <f t="shared" si="31"/>
        <v>-1274.6573946208723</v>
      </c>
      <c r="AV20" s="197"/>
      <c r="AX20" s="900">
        <v>9</v>
      </c>
      <c r="AY20" s="197">
        <f t="shared" si="32"/>
        <v>10</v>
      </c>
      <c r="AZ20" s="197">
        <f>'Energy Inputs'!$F$58*$AZ$8</f>
        <v>21.875</v>
      </c>
      <c r="BA20" s="197">
        <f t="shared" si="33"/>
        <v>218.75</v>
      </c>
      <c r="BB20" s="197">
        <f>'Margins summary'!$U$14</f>
        <v>330</v>
      </c>
      <c r="BC20" s="197">
        <f t="shared" si="34"/>
        <v>548.75</v>
      </c>
      <c r="BD20" s="197"/>
      <c r="BE20" s="918">
        <f>'Energy NPV'!U73</f>
        <v>316.00314399999996</v>
      </c>
      <c r="BF20" s="197"/>
      <c r="BG20" s="197">
        <f t="shared" si="35"/>
        <v>316.00314399999996</v>
      </c>
      <c r="BH20" s="197">
        <f t="shared" si="4"/>
        <v>-97.253143999999963</v>
      </c>
      <c r="BI20" s="197">
        <f t="shared" si="5"/>
        <v>232.74685600000004</v>
      </c>
      <c r="BJ20" s="196">
        <f t="shared" si="36"/>
        <v>172.68327000617344</v>
      </c>
      <c r="BK20" s="197">
        <f t="shared" si="37"/>
        <v>260.50504732359883</v>
      </c>
      <c r="BL20" s="197">
        <f t="shared" si="38"/>
        <v>249.45579994583636</v>
      </c>
      <c r="BM20" s="197">
        <f t="shared" si="39"/>
        <v>-76.772529939662903</v>
      </c>
      <c r="BN20" s="199">
        <f t="shared" si="40"/>
        <v>183.73251738393589</v>
      </c>
      <c r="BO20" s="196">
        <f t="shared" si="74"/>
        <v>1500.6549567825812</v>
      </c>
      <c r="BP20" s="197">
        <f t="shared" si="41"/>
        <v>2646.4984225467078</v>
      </c>
      <c r="BQ20" s="197">
        <f t="shared" si="42"/>
        <v>8423.1206875153239</v>
      </c>
      <c r="BR20" s="197">
        <f t="shared" si="43"/>
        <v>-6922.4657307327416</v>
      </c>
      <c r="BS20" s="199">
        <f t="shared" si="44"/>
        <v>-4275.9673081860346</v>
      </c>
      <c r="BV20" s="900">
        <v>9</v>
      </c>
      <c r="BW20" s="197">
        <f t="shared" si="45"/>
        <v>10</v>
      </c>
      <c r="BX20" s="197">
        <f>'Energy Inputs'!$F$58*$BX$8</f>
        <v>87.5</v>
      </c>
      <c r="BY20" s="197">
        <f t="shared" si="46"/>
        <v>875</v>
      </c>
      <c r="BZ20" s="197">
        <f>'Margins summary'!$U$14</f>
        <v>330</v>
      </c>
      <c r="CA20" s="197">
        <f t="shared" si="47"/>
        <v>1205</v>
      </c>
      <c r="CB20" s="197"/>
      <c r="CC20" s="918">
        <f>'Energy NPV'!U73</f>
        <v>316.00314399999996</v>
      </c>
      <c r="CD20" s="197"/>
      <c r="CE20" s="197">
        <f t="shared" si="48"/>
        <v>316.00314399999996</v>
      </c>
      <c r="CF20" s="197">
        <f t="shared" si="6"/>
        <v>558.99685599999998</v>
      </c>
      <c r="CG20" s="197">
        <f t="shared" si="7"/>
        <v>888.99685599999998</v>
      </c>
      <c r="CH20" s="196">
        <f t="shared" si="49"/>
        <v>690.73308002469378</v>
      </c>
      <c r="CI20" s="197">
        <f t="shared" si="50"/>
        <v>260.50504732359883</v>
      </c>
      <c r="CJ20" s="197">
        <f t="shared" si="51"/>
        <v>249.45579994583636</v>
      </c>
      <c r="CK20" s="197">
        <f t="shared" si="52"/>
        <v>441.27728007885742</v>
      </c>
      <c r="CL20" s="199">
        <f t="shared" si="53"/>
        <v>701.78232740245619</v>
      </c>
      <c r="CM20" s="196">
        <f t="shared" si="75"/>
        <v>6002.6198271303247</v>
      </c>
      <c r="CN20" s="197">
        <f t="shared" si="54"/>
        <v>2646.4984225467078</v>
      </c>
      <c r="CO20" s="197">
        <f t="shared" si="55"/>
        <v>8423.1206875153239</v>
      </c>
      <c r="CP20" s="197">
        <f t="shared" si="56"/>
        <v>-2420.5008603849969</v>
      </c>
      <c r="CQ20" s="199">
        <f t="shared" si="57"/>
        <v>225.99756216170931</v>
      </c>
      <c r="CT20" s="204">
        <f t="shared" si="76"/>
        <v>9</v>
      </c>
      <c r="CU20" s="197">
        <f t="shared" si="58"/>
        <v>10</v>
      </c>
      <c r="CV20" s="197">
        <f>'Energy Inputs'!$F$58*$CV$8</f>
        <v>0</v>
      </c>
      <c r="CW20" s="197">
        <f t="shared" si="59"/>
        <v>0</v>
      </c>
      <c r="CX20" s="197">
        <f>'Margins summary'!$U$14</f>
        <v>330</v>
      </c>
      <c r="CY20" s="197">
        <f t="shared" si="60"/>
        <v>330</v>
      </c>
      <c r="CZ20" s="197"/>
      <c r="DA20" s="918">
        <f>'Energy NPV'!U73</f>
        <v>316.00314399999996</v>
      </c>
      <c r="DB20" s="197"/>
      <c r="DC20" s="197">
        <f t="shared" si="61"/>
        <v>316.00314399999996</v>
      </c>
      <c r="DD20" s="197">
        <f t="shared" si="8"/>
        <v>-316.00314399999996</v>
      </c>
      <c r="DE20" s="197">
        <f t="shared" si="9"/>
        <v>13.996856000000037</v>
      </c>
      <c r="DF20" s="196">
        <f t="shared" si="62"/>
        <v>0</v>
      </c>
      <c r="DG20" s="197">
        <f t="shared" si="63"/>
        <v>260.50504732359883</v>
      </c>
      <c r="DH20" s="197">
        <f t="shared" si="64"/>
        <v>249.45579994583636</v>
      </c>
      <c r="DI20" s="197">
        <f t="shared" si="65"/>
        <v>-249.45579994583636</v>
      </c>
      <c r="DJ20" s="199">
        <f t="shared" si="66"/>
        <v>11.049247377762446</v>
      </c>
      <c r="DK20" s="196">
        <f t="shared" si="77"/>
        <v>0</v>
      </c>
      <c r="DL20" s="197">
        <f t="shared" si="67"/>
        <v>2646.4984225467078</v>
      </c>
      <c r="DM20" s="197">
        <f t="shared" si="68"/>
        <v>8423.1206875153239</v>
      </c>
      <c r="DN20" s="197">
        <f t="shared" si="69"/>
        <v>-8423.1206875153239</v>
      </c>
      <c r="DO20" s="199">
        <f t="shared" si="70"/>
        <v>-5776.6222649686151</v>
      </c>
    </row>
    <row r="21" spans="2:119" x14ac:dyDescent="0.3">
      <c r="B21" s="204">
        <f t="shared" si="71"/>
        <v>10</v>
      </c>
      <c r="C21" s="197">
        <f>'Energy NPV'!$D74</f>
        <v>10</v>
      </c>
      <c r="D21" s="197">
        <f>'Energy Inputs'!$F$58*$E$8</f>
        <v>43.75</v>
      </c>
      <c r="E21" s="197">
        <f t="shared" si="10"/>
        <v>437.5</v>
      </c>
      <c r="F21" s="197">
        <f>'Margins summary'!$U$14</f>
        <v>330</v>
      </c>
      <c r="G21" s="197">
        <f t="shared" si="11"/>
        <v>767.5</v>
      </c>
      <c r="H21" s="197"/>
      <c r="I21" s="918">
        <f>'Energy NPV'!U74</f>
        <v>316.00314399999996</v>
      </c>
      <c r="J21" s="197"/>
      <c r="K21" s="197">
        <f t="shared" si="12"/>
        <v>316.00314399999996</v>
      </c>
      <c r="L21" s="197">
        <f t="shared" si="0"/>
        <v>121.49685600000004</v>
      </c>
      <c r="M21" s="197">
        <f t="shared" si="1"/>
        <v>451.49685600000004</v>
      </c>
      <c r="N21" s="196">
        <f t="shared" si="13"/>
        <v>335.30732040033678</v>
      </c>
      <c r="O21" s="197">
        <f t="shared" si="14"/>
        <v>252.91752167339689</v>
      </c>
      <c r="P21" s="197">
        <f t="shared" si="15"/>
        <v>242.19009703479259</v>
      </c>
      <c r="Q21" s="197">
        <f t="shared" si="16"/>
        <v>93.11722336554422</v>
      </c>
      <c r="R21" s="199">
        <f t="shared" si="17"/>
        <v>346.03474503894108</v>
      </c>
      <c r="S21" s="196">
        <f t="shared" si="72"/>
        <v>3336.6172339654991</v>
      </c>
      <c r="T21" s="197">
        <f t="shared" si="18"/>
        <v>2899.4159442201048</v>
      </c>
      <c r="U21" s="197">
        <f t="shared" si="18"/>
        <v>8665.3107845501163</v>
      </c>
      <c r="V21" s="197">
        <f t="shared" si="18"/>
        <v>-5328.6935505846168</v>
      </c>
      <c r="W21" s="199">
        <f t="shared" si="18"/>
        <v>-2429.2776063645115</v>
      </c>
      <c r="X21" s="197"/>
      <c r="Z21" s="900">
        <v>10</v>
      </c>
      <c r="AA21" s="197">
        <f t="shared" si="19"/>
        <v>10</v>
      </c>
      <c r="AB21" s="197">
        <f>'Energy Inputs'!$F$58*$AB$8</f>
        <v>65.625</v>
      </c>
      <c r="AC21" s="197">
        <f t="shared" si="20"/>
        <v>656.25</v>
      </c>
      <c r="AD21" s="197">
        <f>'Margins summary'!$U$14</f>
        <v>330</v>
      </c>
      <c r="AE21" s="197">
        <f t="shared" si="21"/>
        <v>986.25</v>
      </c>
      <c r="AF21" s="197"/>
      <c r="AG21" s="918">
        <f>'Energy NPV'!U74</f>
        <v>316.00314399999996</v>
      </c>
      <c r="AH21" s="197"/>
      <c r="AI21" s="197">
        <f t="shared" si="22"/>
        <v>316.00314399999996</v>
      </c>
      <c r="AJ21" s="197">
        <f t="shared" si="2"/>
        <v>340.24685600000004</v>
      </c>
      <c r="AK21" s="197">
        <f t="shared" si="3"/>
        <v>670.24685599999998</v>
      </c>
      <c r="AL21" s="196">
        <f t="shared" si="23"/>
        <v>502.9609806005052</v>
      </c>
      <c r="AM21" s="197">
        <f t="shared" si="24"/>
        <v>252.91752167339689</v>
      </c>
      <c r="AN21" s="197">
        <f t="shared" si="25"/>
        <v>242.19009703479259</v>
      </c>
      <c r="AO21" s="197">
        <f t="shared" si="26"/>
        <v>260.77088356571261</v>
      </c>
      <c r="AP21" s="199">
        <f t="shared" si="27"/>
        <v>513.68840523910944</v>
      </c>
      <c r="AQ21" s="196">
        <f t="shared" si="73"/>
        <v>5004.9258509482497</v>
      </c>
      <c r="AR21" s="197">
        <f t="shared" si="28"/>
        <v>2899.4159442201048</v>
      </c>
      <c r="AS21" s="197">
        <f t="shared" si="29"/>
        <v>8665.3107845501163</v>
      </c>
      <c r="AT21" s="197">
        <f t="shared" si="30"/>
        <v>-3660.3849336018679</v>
      </c>
      <c r="AU21" s="199">
        <f t="shared" si="31"/>
        <v>-760.96898938176287</v>
      </c>
      <c r="AV21" s="197"/>
      <c r="AX21" s="900">
        <v>10</v>
      </c>
      <c r="AY21" s="197">
        <f t="shared" si="32"/>
        <v>10</v>
      </c>
      <c r="AZ21" s="197">
        <f>'Energy Inputs'!$F$58*$AZ$8</f>
        <v>21.875</v>
      </c>
      <c r="BA21" s="197">
        <f t="shared" si="33"/>
        <v>218.75</v>
      </c>
      <c r="BB21" s="197">
        <f>'Margins summary'!$U$14</f>
        <v>330</v>
      </c>
      <c r="BC21" s="197">
        <f t="shared" si="34"/>
        <v>548.75</v>
      </c>
      <c r="BD21" s="197"/>
      <c r="BE21" s="918">
        <f>'Energy NPV'!U74</f>
        <v>316.00314399999996</v>
      </c>
      <c r="BF21" s="197"/>
      <c r="BG21" s="197">
        <f t="shared" si="35"/>
        <v>316.00314399999996</v>
      </c>
      <c r="BH21" s="197">
        <f t="shared" si="4"/>
        <v>-97.253143999999963</v>
      </c>
      <c r="BI21" s="197">
        <f t="shared" si="5"/>
        <v>232.74685600000004</v>
      </c>
      <c r="BJ21" s="196">
        <f t="shared" si="36"/>
        <v>167.65366020016839</v>
      </c>
      <c r="BK21" s="197">
        <f t="shared" si="37"/>
        <v>252.91752167339689</v>
      </c>
      <c r="BL21" s="197">
        <f t="shared" si="38"/>
        <v>242.19009703479259</v>
      </c>
      <c r="BM21" s="197">
        <f t="shared" si="39"/>
        <v>-74.536436834624183</v>
      </c>
      <c r="BN21" s="199">
        <f t="shared" si="40"/>
        <v>178.38108483877272</v>
      </c>
      <c r="BO21" s="196">
        <f t="shared" si="74"/>
        <v>1668.3086169827495</v>
      </c>
      <c r="BP21" s="197">
        <f t="shared" si="41"/>
        <v>2899.4159442201048</v>
      </c>
      <c r="BQ21" s="197">
        <f t="shared" si="42"/>
        <v>8665.3107845501163</v>
      </c>
      <c r="BR21" s="197">
        <f t="shared" si="43"/>
        <v>-6997.0021675673661</v>
      </c>
      <c r="BS21" s="199">
        <f t="shared" si="44"/>
        <v>-4097.5862233472617</v>
      </c>
      <c r="BV21" s="900">
        <v>10</v>
      </c>
      <c r="BW21" s="197">
        <f t="shared" si="45"/>
        <v>10</v>
      </c>
      <c r="BX21" s="197">
        <f>'Energy Inputs'!$F$58*$BX$8</f>
        <v>87.5</v>
      </c>
      <c r="BY21" s="197">
        <f t="shared" si="46"/>
        <v>875</v>
      </c>
      <c r="BZ21" s="197">
        <f>'Margins summary'!$U$14</f>
        <v>330</v>
      </c>
      <c r="CA21" s="197">
        <f t="shared" si="47"/>
        <v>1205</v>
      </c>
      <c r="CB21" s="197"/>
      <c r="CC21" s="918">
        <f>'Energy NPV'!U74</f>
        <v>316.00314399999996</v>
      </c>
      <c r="CD21" s="197"/>
      <c r="CE21" s="197">
        <f t="shared" si="48"/>
        <v>316.00314399999996</v>
      </c>
      <c r="CF21" s="197">
        <f t="shared" si="6"/>
        <v>558.99685599999998</v>
      </c>
      <c r="CG21" s="197">
        <f t="shared" si="7"/>
        <v>888.99685599999998</v>
      </c>
      <c r="CH21" s="196">
        <f t="shared" si="49"/>
        <v>670.61464080067356</v>
      </c>
      <c r="CI21" s="197">
        <f t="shared" si="50"/>
        <v>252.91752167339689</v>
      </c>
      <c r="CJ21" s="197">
        <f t="shared" si="51"/>
        <v>242.19009703479259</v>
      </c>
      <c r="CK21" s="197">
        <f t="shared" si="52"/>
        <v>428.42454376588097</v>
      </c>
      <c r="CL21" s="199">
        <f t="shared" si="53"/>
        <v>681.3420654392778</v>
      </c>
      <c r="CM21" s="196">
        <f t="shared" si="75"/>
        <v>6673.2344679309981</v>
      </c>
      <c r="CN21" s="197">
        <f t="shared" si="54"/>
        <v>2899.4159442201048</v>
      </c>
      <c r="CO21" s="197">
        <f t="shared" si="55"/>
        <v>8665.3107845501163</v>
      </c>
      <c r="CP21" s="197">
        <f t="shared" si="56"/>
        <v>-1992.0763166191159</v>
      </c>
      <c r="CQ21" s="199">
        <f t="shared" si="57"/>
        <v>907.33962760098711</v>
      </c>
      <c r="CT21" s="204">
        <f t="shared" si="76"/>
        <v>10</v>
      </c>
      <c r="CU21" s="197">
        <f t="shared" si="58"/>
        <v>10</v>
      </c>
      <c r="CV21" s="197">
        <f>'Energy Inputs'!$F$58*$CV$8</f>
        <v>0</v>
      </c>
      <c r="CW21" s="197">
        <f t="shared" si="59"/>
        <v>0</v>
      </c>
      <c r="CX21" s="197">
        <f>'Margins summary'!$U$14</f>
        <v>330</v>
      </c>
      <c r="CY21" s="197">
        <f t="shared" si="60"/>
        <v>330</v>
      </c>
      <c r="CZ21" s="197"/>
      <c r="DA21" s="918">
        <f>'Energy NPV'!U74</f>
        <v>316.00314399999996</v>
      </c>
      <c r="DB21" s="197"/>
      <c r="DC21" s="197">
        <f t="shared" si="61"/>
        <v>316.00314399999996</v>
      </c>
      <c r="DD21" s="197">
        <f t="shared" si="8"/>
        <v>-316.00314399999996</v>
      </c>
      <c r="DE21" s="197">
        <f t="shared" si="9"/>
        <v>13.996856000000037</v>
      </c>
      <c r="DF21" s="196">
        <f t="shared" si="62"/>
        <v>0</v>
      </c>
      <c r="DG21" s="197">
        <f t="shared" si="63"/>
        <v>252.91752167339689</v>
      </c>
      <c r="DH21" s="197">
        <f t="shared" si="64"/>
        <v>242.19009703479259</v>
      </c>
      <c r="DI21" s="197">
        <f t="shared" si="65"/>
        <v>-242.19009703479259</v>
      </c>
      <c r="DJ21" s="199">
        <f t="shared" si="66"/>
        <v>10.727424638604317</v>
      </c>
      <c r="DK21" s="196">
        <f t="shared" si="77"/>
        <v>0</v>
      </c>
      <c r="DL21" s="197">
        <f t="shared" si="67"/>
        <v>2899.4159442201048</v>
      </c>
      <c r="DM21" s="197">
        <f t="shared" si="68"/>
        <v>8665.3107845501163</v>
      </c>
      <c r="DN21" s="197">
        <f t="shared" si="69"/>
        <v>-8665.3107845501163</v>
      </c>
      <c r="DO21" s="199">
        <f t="shared" si="70"/>
        <v>-5765.894840330011</v>
      </c>
    </row>
    <row r="22" spans="2:119" x14ac:dyDescent="0.3">
      <c r="B22" s="204">
        <f t="shared" si="71"/>
        <v>11</v>
      </c>
      <c r="C22" s="197">
        <f>'Energy NPV'!$D75</f>
        <v>10</v>
      </c>
      <c r="D22" s="197">
        <f>'Energy Inputs'!$F$58*$E$8</f>
        <v>43.75</v>
      </c>
      <c r="E22" s="197">
        <f t="shared" si="10"/>
        <v>437.5</v>
      </c>
      <c r="F22" s="197">
        <f>'Margins summary'!$U$14</f>
        <v>330</v>
      </c>
      <c r="G22" s="197">
        <f t="shared" si="11"/>
        <v>767.5</v>
      </c>
      <c r="H22" s="197"/>
      <c r="I22" s="918">
        <f>'Energy NPV'!U75</f>
        <v>316.00314399999996</v>
      </c>
      <c r="J22" s="197"/>
      <c r="K22" s="197">
        <f t="shared" si="12"/>
        <v>316.00314399999996</v>
      </c>
      <c r="L22" s="197">
        <f t="shared" si="0"/>
        <v>121.49685600000004</v>
      </c>
      <c r="M22" s="197">
        <f t="shared" si="1"/>
        <v>451.49685600000004</v>
      </c>
      <c r="N22" s="196">
        <f t="shared" si="13"/>
        <v>325.54108776731726</v>
      </c>
      <c r="O22" s="197">
        <f t="shared" si="14"/>
        <v>245.55099191591933</v>
      </c>
      <c r="P22" s="197">
        <f t="shared" si="15"/>
        <v>235.13601653863356</v>
      </c>
      <c r="Q22" s="197">
        <f t="shared" si="16"/>
        <v>90.405071228683695</v>
      </c>
      <c r="R22" s="199">
        <f t="shared" si="17"/>
        <v>335.95606314460304</v>
      </c>
      <c r="S22" s="196">
        <f t="shared" si="72"/>
        <v>3662.1583217328161</v>
      </c>
      <c r="T22" s="197">
        <f t="shared" si="18"/>
        <v>3144.9669361360243</v>
      </c>
      <c r="U22" s="197">
        <f t="shared" si="18"/>
        <v>8900.4468010887504</v>
      </c>
      <c r="V22" s="197">
        <f t="shared" si="18"/>
        <v>-5238.2884793559333</v>
      </c>
      <c r="W22" s="199">
        <f t="shared" si="18"/>
        <v>-2093.3215432199086</v>
      </c>
      <c r="X22" s="197"/>
      <c r="Z22" s="900">
        <v>11</v>
      </c>
      <c r="AA22" s="197">
        <f t="shared" si="19"/>
        <v>10</v>
      </c>
      <c r="AB22" s="197">
        <f>'Energy Inputs'!$F$58*$AB$8</f>
        <v>65.625</v>
      </c>
      <c r="AC22" s="197">
        <f t="shared" si="20"/>
        <v>656.25</v>
      </c>
      <c r="AD22" s="197">
        <f>'Margins summary'!$U$14</f>
        <v>330</v>
      </c>
      <c r="AE22" s="197">
        <f t="shared" si="21"/>
        <v>986.25</v>
      </c>
      <c r="AF22" s="197"/>
      <c r="AG22" s="918">
        <f>'Energy NPV'!U75</f>
        <v>316.00314399999996</v>
      </c>
      <c r="AH22" s="197"/>
      <c r="AI22" s="197">
        <f t="shared" si="22"/>
        <v>316.00314399999996</v>
      </c>
      <c r="AJ22" s="197">
        <f t="shared" si="2"/>
        <v>340.24685600000004</v>
      </c>
      <c r="AK22" s="197">
        <f t="shared" si="3"/>
        <v>670.24685599999998</v>
      </c>
      <c r="AL22" s="196">
        <f t="shared" si="23"/>
        <v>488.31163165097593</v>
      </c>
      <c r="AM22" s="197">
        <f t="shared" si="24"/>
        <v>245.55099191591933</v>
      </c>
      <c r="AN22" s="197">
        <f t="shared" si="25"/>
        <v>235.13601653863356</v>
      </c>
      <c r="AO22" s="197">
        <f t="shared" si="26"/>
        <v>253.17561511234234</v>
      </c>
      <c r="AP22" s="199">
        <f t="shared" si="27"/>
        <v>498.72660702826158</v>
      </c>
      <c r="AQ22" s="196">
        <f t="shared" si="73"/>
        <v>5493.2374825992256</v>
      </c>
      <c r="AR22" s="197">
        <f t="shared" si="28"/>
        <v>3144.9669361360243</v>
      </c>
      <c r="AS22" s="197">
        <f t="shared" si="29"/>
        <v>8900.4468010887504</v>
      </c>
      <c r="AT22" s="197">
        <f t="shared" si="30"/>
        <v>-3407.2093184895257</v>
      </c>
      <c r="AU22" s="199">
        <f t="shared" si="31"/>
        <v>-262.24238235350128</v>
      </c>
      <c r="AV22" s="197"/>
      <c r="AX22" s="900">
        <v>11</v>
      </c>
      <c r="AY22" s="197">
        <f t="shared" si="32"/>
        <v>10</v>
      </c>
      <c r="AZ22" s="197">
        <f>'Energy Inputs'!$F$58*$AZ$8</f>
        <v>21.875</v>
      </c>
      <c r="BA22" s="197">
        <f t="shared" si="33"/>
        <v>218.75</v>
      </c>
      <c r="BB22" s="197">
        <f>'Margins summary'!$U$14</f>
        <v>330</v>
      </c>
      <c r="BC22" s="197">
        <f t="shared" si="34"/>
        <v>548.75</v>
      </c>
      <c r="BD22" s="197"/>
      <c r="BE22" s="918">
        <f>'Energy NPV'!U75</f>
        <v>316.00314399999996</v>
      </c>
      <c r="BF22" s="197"/>
      <c r="BG22" s="197">
        <f t="shared" si="35"/>
        <v>316.00314399999996</v>
      </c>
      <c r="BH22" s="197">
        <f t="shared" si="4"/>
        <v>-97.253143999999963</v>
      </c>
      <c r="BI22" s="197">
        <f t="shared" si="5"/>
        <v>232.74685600000004</v>
      </c>
      <c r="BJ22" s="196">
        <f t="shared" si="36"/>
        <v>162.77054388365863</v>
      </c>
      <c r="BK22" s="197">
        <f t="shared" si="37"/>
        <v>245.55099191591933</v>
      </c>
      <c r="BL22" s="197">
        <f t="shared" si="38"/>
        <v>235.13601653863356</v>
      </c>
      <c r="BM22" s="197">
        <f t="shared" si="39"/>
        <v>-72.365472654974937</v>
      </c>
      <c r="BN22" s="199">
        <f t="shared" si="40"/>
        <v>173.18551926094437</v>
      </c>
      <c r="BO22" s="196">
        <f t="shared" si="74"/>
        <v>1831.0791608664081</v>
      </c>
      <c r="BP22" s="197">
        <f t="shared" si="41"/>
        <v>3144.9669361360243</v>
      </c>
      <c r="BQ22" s="197">
        <f t="shared" si="42"/>
        <v>8900.4468010887504</v>
      </c>
      <c r="BR22" s="197">
        <f t="shared" si="43"/>
        <v>-7069.3676402223409</v>
      </c>
      <c r="BS22" s="199">
        <f t="shared" si="44"/>
        <v>-3924.4007040863171</v>
      </c>
      <c r="BV22" s="900">
        <v>11</v>
      </c>
      <c r="BW22" s="197">
        <f t="shared" si="45"/>
        <v>10</v>
      </c>
      <c r="BX22" s="197">
        <f>'Energy Inputs'!$F$58*$BX$8</f>
        <v>87.5</v>
      </c>
      <c r="BY22" s="197">
        <f t="shared" si="46"/>
        <v>875</v>
      </c>
      <c r="BZ22" s="197">
        <f>'Margins summary'!$U$14</f>
        <v>330</v>
      </c>
      <c r="CA22" s="197">
        <f t="shared" si="47"/>
        <v>1205</v>
      </c>
      <c r="CB22" s="197"/>
      <c r="CC22" s="918">
        <f>'Energy NPV'!U75</f>
        <v>316.00314399999996</v>
      </c>
      <c r="CD22" s="197"/>
      <c r="CE22" s="197">
        <f t="shared" si="48"/>
        <v>316.00314399999996</v>
      </c>
      <c r="CF22" s="197">
        <f t="shared" si="6"/>
        <v>558.99685599999998</v>
      </c>
      <c r="CG22" s="197">
        <f t="shared" si="7"/>
        <v>888.99685599999998</v>
      </c>
      <c r="CH22" s="196">
        <f t="shared" si="49"/>
        <v>651.08217553463453</v>
      </c>
      <c r="CI22" s="197">
        <f t="shared" si="50"/>
        <v>245.55099191591933</v>
      </c>
      <c r="CJ22" s="197">
        <f t="shared" si="51"/>
        <v>235.13601653863356</v>
      </c>
      <c r="CK22" s="197">
        <f t="shared" si="52"/>
        <v>415.94615899600092</v>
      </c>
      <c r="CL22" s="199">
        <f t="shared" si="53"/>
        <v>661.49715091192024</v>
      </c>
      <c r="CM22" s="196">
        <f t="shared" si="75"/>
        <v>7324.3166434656323</v>
      </c>
      <c r="CN22" s="197">
        <f t="shared" si="54"/>
        <v>3144.9669361360243</v>
      </c>
      <c r="CO22" s="197">
        <f t="shared" si="55"/>
        <v>8900.4468010887504</v>
      </c>
      <c r="CP22" s="197">
        <f t="shared" si="56"/>
        <v>-1576.1301576231149</v>
      </c>
      <c r="CQ22" s="199">
        <f t="shared" si="57"/>
        <v>1568.8367785129074</v>
      </c>
      <c r="CT22" s="204">
        <f t="shared" si="76"/>
        <v>11</v>
      </c>
      <c r="CU22" s="197">
        <f t="shared" si="58"/>
        <v>10</v>
      </c>
      <c r="CV22" s="197">
        <f>'Energy Inputs'!$F$58*$CV$8</f>
        <v>0</v>
      </c>
      <c r="CW22" s="197">
        <f t="shared" si="59"/>
        <v>0</v>
      </c>
      <c r="CX22" s="197">
        <f>'Margins summary'!$U$14</f>
        <v>330</v>
      </c>
      <c r="CY22" s="197">
        <f t="shared" si="60"/>
        <v>330</v>
      </c>
      <c r="CZ22" s="197"/>
      <c r="DA22" s="918">
        <f>'Energy NPV'!U75</f>
        <v>316.00314399999996</v>
      </c>
      <c r="DB22" s="197"/>
      <c r="DC22" s="197">
        <f t="shared" si="61"/>
        <v>316.00314399999996</v>
      </c>
      <c r="DD22" s="197">
        <f t="shared" si="8"/>
        <v>-316.00314399999996</v>
      </c>
      <c r="DE22" s="197">
        <f t="shared" si="9"/>
        <v>13.996856000000037</v>
      </c>
      <c r="DF22" s="196">
        <f t="shared" si="62"/>
        <v>0</v>
      </c>
      <c r="DG22" s="197">
        <f t="shared" si="63"/>
        <v>245.55099191591933</v>
      </c>
      <c r="DH22" s="197">
        <f t="shared" si="64"/>
        <v>235.13601653863356</v>
      </c>
      <c r="DI22" s="197">
        <f t="shared" si="65"/>
        <v>-235.13601653863356</v>
      </c>
      <c r="DJ22" s="199">
        <f t="shared" si="66"/>
        <v>10.414975377285744</v>
      </c>
      <c r="DK22" s="196">
        <f t="shared" si="77"/>
        <v>0</v>
      </c>
      <c r="DL22" s="197">
        <f t="shared" si="67"/>
        <v>3144.9669361360243</v>
      </c>
      <c r="DM22" s="197">
        <f t="shared" si="68"/>
        <v>8900.4468010887504</v>
      </c>
      <c r="DN22" s="197">
        <f t="shared" si="69"/>
        <v>-8900.4468010887504</v>
      </c>
      <c r="DO22" s="199">
        <f t="shared" si="70"/>
        <v>-5755.4798649527256</v>
      </c>
    </row>
    <row r="23" spans="2:119" x14ac:dyDescent="0.3">
      <c r="B23" s="204">
        <f t="shared" si="71"/>
        <v>12</v>
      </c>
      <c r="C23" s="197">
        <f>'Energy NPV'!$D76</f>
        <v>10</v>
      </c>
      <c r="D23" s="197">
        <f>'Energy Inputs'!$F$58*$E$8</f>
        <v>43.75</v>
      </c>
      <c r="E23" s="197">
        <f t="shared" si="10"/>
        <v>437.5</v>
      </c>
      <c r="F23" s="197">
        <f>'Margins summary'!$U$14</f>
        <v>330</v>
      </c>
      <c r="G23" s="197">
        <f t="shared" si="11"/>
        <v>767.5</v>
      </c>
      <c r="H23" s="197"/>
      <c r="I23" s="918">
        <f>'Energy NPV'!U76</f>
        <v>316.00314399999996</v>
      </c>
      <c r="J23" s="197"/>
      <c r="K23" s="197">
        <f t="shared" si="12"/>
        <v>316.00314399999996</v>
      </c>
      <c r="L23" s="197">
        <f t="shared" si="0"/>
        <v>121.49685600000004</v>
      </c>
      <c r="M23" s="197">
        <f t="shared" si="1"/>
        <v>451.49685600000004</v>
      </c>
      <c r="N23" s="196">
        <f t="shared" si="13"/>
        <v>316.05930851195848</v>
      </c>
      <c r="O23" s="197">
        <f t="shared" si="14"/>
        <v>238.39902127759154</v>
      </c>
      <c r="P23" s="197">
        <f t="shared" si="15"/>
        <v>228.2873946977025</v>
      </c>
      <c r="Q23" s="197">
        <f t="shared" si="16"/>
        <v>87.771913814256024</v>
      </c>
      <c r="R23" s="199">
        <f t="shared" si="17"/>
        <v>326.17093509184758</v>
      </c>
      <c r="S23" s="196">
        <f t="shared" si="72"/>
        <v>3978.2176302447747</v>
      </c>
      <c r="T23" s="197">
        <f t="shared" si="18"/>
        <v>3383.3659574136159</v>
      </c>
      <c r="U23" s="197">
        <f t="shared" si="18"/>
        <v>9128.7341957864537</v>
      </c>
      <c r="V23" s="197">
        <f t="shared" si="18"/>
        <v>-5150.5165655416777</v>
      </c>
      <c r="W23" s="199">
        <f t="shared" si="18"/>
        <v>-1767.1506081280609</v>
      </c>
      <c r="X23" s="197"/>
      <c r="Z23" s="900">
        <v>12</v>
      </c>
      <c r="AA23" s="197">
        <f t="shared" si="19"/>
        <v>10</v>
      </c>
      <c r="AB23" s="197">
        <f>'Energy Inputs'!$F$58*$AB$8</f>
        <v>65.625</v>
      </c>
      <c r="AC23" s="197">
        <f t="shared" si="20"/>
        <v>656.25</v>
      </c>
      <c r="AD23" s="197">
        <f>'Margins summary'!$U$14</f>
        <v>330</v>
      </c>
      <c r="AE23" s="197">
        <f t="shared" si="21"/>
        <v>986.25</v>
      </c>
      <c r="AF23" s="197"/>
      <c r="AG23" s="918">
        <f>'Energy NPV'!U76</f>
        <v>316.00314399999996</v>
      </c>
      <c r="AH23" s="197"/>
      <c r="AI23" s="197">
        <f t="shared" si="22"/>
        <v>316.00314399999996</v>
      </c>
      <c r="AJ23" s="197">
        <f t="shared" si="2"/>
        <v>340.24685600000004</v>
      </c>
      <c r="AK23" s="197">
        <f t="shared" si="3"/>
        <v>670.24685599999998</v>
      </c>
      <c r="AL23" s="196">
        <f t="shared" si="23"/>
        <v>474.08896276793774</v>
      </c>
      <c r="AM23" s="197">
        <f t="shared" si="24"/>
        <v>238.39902127759154</v>
      </c>
      <c r="AN23" s="197">
        <f t="shared" si="25"/>
        <v>228.2873946977025</v>
      </c>
      <c r="AO23" s="197">
        <f t="shared" si="26"/>
        <v>245.80156807023528</v>
      </c>
      <c r="AP23" s="199">
        <f t="shared" si="27"/>
        <v>484.20058934782679</v>
      </c>
      <c r="AQ23" s="196">
        <f t="shared" si="73"/>
        <v>5967.3264453671636</v>
      </c>
      <c r="AR23" s="197">
        <f t="shared" si="28"/>
        <v>3383.3659574136159</v>
      </c>
      <c r="AS23" s="197">
        <f t="shared" si="29"/>
        <v>9128.7341957864537</v>
      </c>
      <c r="AT23" s="197">
        <f t="shared" si="30"/>
        <v>-3161.4077504192906</v>
      </c>
      <c r="AU23" s="199">
        <f t="shared" si="31"/>
        <v>221.95820699432551</v>
      </c>
      <c r="AV23" s="197"/>
      <c r="AX23" s="900">
        <v>12</v>
      </c>
      <c r="AY23" s="197">
        <f t="shared" si="32"/>
        <v>10</v>
      </c>
      <c r="AZ23" s="197">
        <f>'Energy Inputs'!$F$58*$AZ$8</f>
        <v>21.875</v>
      </c>
      <c r="BA23" s="197">
        <f t="shared" si="33"/>
        <v>218.75</v>
      </c>
      <c r="BB23" s="197">
        <f>'Margins summary'!$U$14</f>
        <v>330</v>
      </c>
      <c r="BC23" s="197">
        <f t="shared" si="34"/>
        <v>548.75</v>
      </c>
      <c r="BD23" s="197"/>
      <c r="BE23" s="918">
        <f>'Energy NPV'!U76</f>
        <v>316.00314399999996</v>
      </c>
      <c r="BF23" s="197"/>
      <c r="BG23" s="197">
        <f t="shared" si="35"/>
        <v>316.00314399999996</v>
      </c>
      <c r="BH23" s="197">
        <f t="shared" si="4"/>
        <v>-97.253143999999963</v>
      </c>
      <c r="BI23" s="197">
        <f t="shared" si="5"/>
        <v>232.74685600000004</v>
      </c>
      <c r="BJ23" s="196">
        <f t="shared" si="36"/>
        <v>158.02965425597924</v>
      </c>
      <c r="BK23" s="197">
        <f t="shared" si="37"/>
        <v>238.39902127759154</v>
      </c>
      <c r="BL23" s="197">
        <f t="shared" si="38"/>
        <v>228.2873946977025</v>
      </c>
      <c r="BM23" s="197">
        <f t="shared" si="39"/>
        <v>-70.257740441723229</v>
      </c>
      <c r="BN23" s="199">
        <f t="shared" si="40"/>
        <v>168.14128083586832</v>
      </c>
      <c r="BO23" s="196">
        <f t="shared" si="74"/>
        <v>1989.1088151223873</v>
      </c>
      <c r="BP23" s="197">
        <f t="shared" si="41"/>
        <v>3383.3659574136159</v>
      </c>
      <c r="BQ23" s="197">
        <f t="shared" si="42"/>
        <v>9128.7341957864537</v>
      </c>
      <c r="BR23" s="197">
        <f t="shared" si="43"/>
        <v>-7139.6253806640643</v>
      </c>
      <c r="BS23" s="199">
        <f t="shared" si="44"/>
        <v>-3756.2594232504489</v>
      </c>
      <c r="BV23" s="900">
        <v>12</v>
      </c>
      <c r="BW23" s="197">
        <f t="shared" si="45"/>
        <v>10</v>
      </c>
      <c r="BX23" s="197">
        <f>'Energy Inputs'!$F$58*$BX$8</f>
        <v>87.5</v>
      </c>
      <c r="BY23" s="197">
        <f t="shared" si="46"/>
        <v>875</v>
      </c>
      <c r="BZ23" s="197">
        <f>'Margins summary'!$U$14</f>
        <v>330</v>
      </c>
      <c r="CA23" s="197">
        <f t="shared" si="47"/>
        <v>1205</v>
      </c>
      <c r="CB23" s="197"/>
      <c r="CC23" s="918">
        <f>'Energy NPV'!U76</f>
        <v>316.00314399999996</v>
      </c>
      <c r="CD23" s="197"/>
      <c r="CE23" s="197">
        <f t="shared" si="48"/>
        <v>316.00314399999996</v>
      </c>
      <c r="CF23" s="197">
        <f t="shared" si="6"/>
        <v>558.99685599999998</v>
      </c>
      <c r="CG23" s="197">
        <f t="shared" si="7"/>
        <v>888.99685599999998</v>
      </c>
      <c r="CH23" s="196">
        <f t="shared" si="49"/>
        <v>632.11861702391695</v>
      </c>
      <c r="CI23" s="197">
        <f t="shared" si="50"/>
        <v>238.39902127759154</v>
      </c>
      <c r="CJ23" s="197">
        <f t="shared" si="51"/>
        <v>228.2873946977025</v>
      </c>
      <c r="CK23" s="197">
        <f t="shared" si="52"/>
        <v>403.83122232621446</v>
      </c>
      <c r="CL23" s="199">
        <f t="shared" si="53"/>
        <v>642.230243603806</v>
      </c>
      <c r="CM23" s="196">
        <f t="shared" si="75"/>
        <v>7956.4352604895494</v>
      </c>
      <c r="CN23" s="197">
        <f t="shared" si="54"/>
        <v>3383.3659574136159</v>
      </c>
      <c r="CO23" s="197">
        <f t="shared" si="55"/>
        <v>9128.7341957864537</v>
      </c>
      <c r="CP23" s="197">
        <f t="shared" si="56"/>
        <v>-1172.2989352969005</v>
      </c>
      <c r="CQ23" s="199">
        <f t="shared" si="57"/>
        <v>2211.0670221167134</v>
      </c>
      <c r="CT23" s="204">
        <f t="shared" si="76"/>
        <v>12</v>
      </c>
      <c r="CU23" s="197">
        <f t="shared" si="58"/>
        <v>10</v>
      </c>
      <c r="CV23" s="197">
        <f>'Energy Inputs'!$F$58*$CV$8</f>
        <v>0</v>
      </c>
      <c r="CW23" s="197">
        <f t="shared" si="59"/>
        <v>0</v>
      </c>
      <c r="CX23" s="197">
        <f>'Margins summary'!$U$14</f>
        <v>330</v>
      </c>
      <c r="CY23" s="197">
        <f t="shared" si="60"/>
        <v>330</v>
      </c>
      <c r="CZ23" s="197"/>
      <c r="DA23" s="918">
        <f>'Energy NPV'!U76</f>
        <v>316.00314399999996</v>
      </c>
      <c r="DB23" s="197"/>
      <c r="DC23" s="197">
        <f t="shared" si="61"/>
        <v>316.00314399999996</v>
      </c>
      <c r="DD23" s="197">
        <f t="shared" si="8"/>
        <v>-316.00314399999996</v>
      </c>
      <c r="DE23" s="197">
        <f t="shared" si="9"/>
        <v>13.996856000000037</v>
      </c>
      <c r="DF23" s="196">
        <f t="shared" si="62"/>
        <v>0</v>
      </c>
      <c r="DG23" s="197">
        <f t="shared" si="63"/>
        <v>238.39902127759154</v>
      </c>
      <c r="DH23" s="197">
        <f t="shared" si="64"/>
        <v>228.2873946977025</v>
      </c>
      <c r="DI23" s="197">
        <f t="shared" si="65"/>
        <v>-228.2873946977025</v>
      </c>
      <c r="DJ23" s="199">
        <f t="shared" si="66"/>
        <v>10.111626579889071</v>
      </c>
      <c r="DK23" s="196">
        <f t="shared" si="77"/>
        <v>0</v>
      </c>
      <c r="DL23" s="197">
        <f t="shared" si="67"/>
        <v>3383.3659574136159</v>
      </c>
      <c r="DM23" s="197">
        <f t="shared" si="68"/>
        <v>9128.7341957864537</v>
      </c>
      <c r="DN23" s="197">
        <f t="shared" si="69"/>
        <v>-9128.7341957864537</v>
      </c>
      <c r="DO23" s="199">
        <f t="shared" si="70"/>
        <v>-5745.3682383728365</v>
      </c>
    </row>
    <row r="24" spans="2:119" x14ac:dyDescent="0.3">
      <c r="B24" s="204">
        <f t="shared" si="71"/>
        <v>13</v>
      </c>
      <c r="C24" s="197">
        <f>'Energy NPV'!$D77</f>
        <v>10</v>
      </c>
      <c r="D24" s="197">
        <f>'Energy Inputs'!$F$58*$E$8</f>
        <v>43.75</v>
      </c>
      <c r="E24" s="197">
        <f t="shared" si="10"/>
        <v>437.5</v>
      </c>
      <c r="F24" s="197">
        <f>'Margins summary'!$U$14</f>
        <v>330</v>
      </c>
      <c r="G24" s="197">
        <f t="shared" si="11"/>
        <v>767.5</v>
      </c>
      <c r="H24" s="197"/>
      <c r="I24" s="918">
        <f>'Energy NPV'!U77</f>
        <v>316.00314399999996</v>
      </c>
      <c r="J24" s="197"/>
      <c r="K24" s="197">
        <f t="shared" si="12"/>
        <v>316.00314399999996</v>
      </c>
      <c r="L24" s="197">
        <f t="shared" si="0"/>
        <v>121.49685600000004</v>
      </c>
      <c r="M24" s="197">
        <f t="shared" si="1"/>
        <v>451.49685600000004</v>
      </c>
      <c r="N24" s="196">
        <f t="shared" si="13"/>
        <v>306.85369758442579</v>
      </c>
      <c r="O24" s="197">
        <f t="shared" si="14"/>
        <v>231.45536046368116</v>
      </c>
      <c r="P24" s="197">
        <f t="shared" si="15"/>
        <v>221.63824727932283</v>
      </c>
      <c r="Q24" s="197">
        <f t="shared" si="16"/>
        <v>85.215450305102948</v>
      </c>
      <c r="R24" s="199">
        <f t="shared" si="17"/>
        <v>316.67081076878412</v>
      </c>
      <c r="S24" s="196">
        <f t="shared" si="72"/>
        <v>4285.0713278292005</v>
      </c>
      <c r="T24" s="197">
        <f t="shared" si="18"/>
        <v>3614.8213178772971</v>
      </c>
      <c r="U24" s="197">
        <f t="shared" si="18"/>
        <v>9350.3724430657767</v>
      </c>
      <c r="V24" s="197">
        <f t="shared" si="18"/>
        <v>-5065.3011152365743</v>
      </c>
      <c r="W24" s="199">
        <f t="shared" si="18"/>
        <v>-1450.4797973592767</v>
      </c>
      <c r="X24" s="197"/>
      <c r="Z24" s="900">
        <v>13</v>
      </c>
      <c r="AA24" s="197">
        <f t="shared" si="19"/>
        <v>10</v>
      </c>
      <c r="AB24" s="197">
        <f>'Energy Inputs'!$F$58*$AB$8</f>
        <v>65.625</v>
      </c>
      <c r="AC24" s="197">
        <f t="shared" si="20"/>
        <v>656.25</v>
      </c>
      <c r="AD24" s="197">
        <f>'Margins summary'!$U$14</f>
        <v>330</v>
      </c>
      <c r="AE24" s="197">
        <f t="shared" si="21"/>
        <v>986.25</v>
      </c>
      <c r="AF24" s="197"/>
      <c r="AG24" s="918">
        <f>'Energy NPV'!U77</f>
        <v>316.00314399999996</v>
      </c>
      <c r="AH24" s="197"/>
      <c r="AI24" s="197">
        <f t="shared" si="22"/>
        <v>316.00314399999996</v>
      </c>
      <c r="AJ24" s="197">
        <f t="shared" si="2"/>
        <v>340.24685600000004</v>
      </c>
      <c r="AK24" s="197">
        <f t="shared" si="3"/>
        <v>670.24685599999998</v>
      </c>
      <c r="AL24" s="196">
        <f t="shared" si="23"/>
        <v>460.28054637663865</v>
      </c>
      <c r="AM24" s="197">
        <f t="shared" si="24"/>
        <v>231.45536046368116</v>
      </c>
      <c r="AN24" s="197">
        <f t="shared" si="25"/>
        <v>221.63824727932283</v>
      </c>
      <c r="AO24" s="197">
        <f t="shared" si="26"/>
        <v>238.64229909731583</v>
      </c>
      <c r="AP24" s="199">
        <f t="shared" si="27"/>
        <v>470.09765956099693</v>
      </c>
      <c r="AQ24" s="196">
        <f t="shared" si="73"/>
        <v>6427.6069917438026</v>
      </c>
      <c r="AR24" s="197">
        <f t="shared" si="28"/>
        <v>3614.8213178772971</v>
      </c>
      <c r="AS24" s="197">
        <f t="shared" si="29"/>
        <v>9350.3724430657767</v>
      </c>
      <c r="AT24" s="197">
        <f t="shared" si="30"/>
        <v>-2922.7654513219745</v>
      </c>
      <c r="AU24" s="199">
        <f t="shared" si="31"/>
        <v>692.05586655532238</v>
      </c>
      <c r="AV24" s="197"/>
      <c r="AX24" s="900">
        <v>13</v>
      </c>
      <c r="AY24" s="197">
        <f t="shared" si="32"/>
        <v>10</v>
      </c>
      <c r="AZ24" s="197">
        <f>'Energy Inputs'!$F$58*$AZ$8</f>
        <v>21.875</v>
      </c>
      <c r="BA24" s="197">
        <f t="shared" si="33"/>
        <v>218.75</v>
      </c>
      <c r="BB24" s="197">
        <f>'Margins summary'!$U$14</f>
        <v>330</v>
      </c>
      <c r="BC24" s="197">
        <f t="shared" si="34"/>
        <v>548.75</v>
      </c>
      <c r="BD24" s="197"/>
      <c r="BE24" s="918">
        <f>'Energy NPV'!U77</f>
        <v>316.00314399999996</v>
      </c>
      <c r="BF24" s="197"/>
      <c r="BG24" s="197">
        <f t="shared" si="35"/>
        <v>316.00314399999996</v>
      </c>
      <c r="BH24" s="197">
        <f t="shared" si="4"/>
        <v>-97.253143999999963</v>
      </c>
      <c r="BI24" s="197">
        <f t="shared" si="5"/>
        <v>232.74685600000004</v>
      </c>
      <c r="BJ24" s="196">
        <f t="shared" si="36"/>
        <v>153.42684879221289</v>
      </c>
      <c r="BK24" s="197">
        <f t="shared" si="37"/>
        <v>231.45536046368116</v>
      </c>
      <c r="BL24" s="197">
        <f t="shared" si="38"/>
        <v>221.63824727932283</v>
      </c>
      <c r="BM24" s="197">
        <f t="shared" si="39"/>
        <v>-68.211398487109946</v>
      </c>
      <c r="BN24" s="199">
        <f t="shared" si="40"/>
        <v>163.2439619765712</v>
      </c>
      <c r="BO24" s="196">
        <f t="shared" si="74"/>
        <v>2142.5356639146003</v>
      </c>
      <c r="BP24" s="197">
        <f t="shared" si="41"/>
        <v>3614.8213178772971</v>
      </c>
      <c r="BQ24" s="197">
        <f t="shared" si="42"/>
        <v>9350.3724430657767</v>
      </c>
      <c r="BR24" s="197">
        <f t="shared" si="43"/>
        <v>-7207.8367791511746</v>
      </c>
      <c r="BS24" s="199">
        <f t="shared" si="44"/>
        <v>-3593.0154612738779</v>
      </c>
      <c r="BV24" s="900">
        <v>13</v>
      </c>
      <c r="BW24" s="197">
        <f t="shared" si="45"/>
        <v>10</v>
      </c>
      <c r="BX24" s="197">
        <f>'Energy Inputs'!$F$58*$BX$8</f>
        <v>87.5</v>
      </c>
      <c r="BY24" s="197">
        <f t="shared" si="46"/>
        <v>875</v>
      </c>
      <c r="BZ24" s="197">
        <f>'Margins summary'!$U$14</f>
        <v>330</v>
      </c>
      <c r="CA24" s="197">
        <f t="shared" si="47"/>
        <v>1205</v>
      </c>
      <c r="CB24" s="197"/>
      <c r="CC24" s="918">
        <f>'Energy NPV'!U77</f>
        <v>316.00314399999996</v>
      </c>
      <c r="CD24" s="197"/>
      <c r="CE24" s="197">
        <f t="shared" si="48"/>
        <v>316.00314399999996</v>
      </c>
      <c r="CF24" s="197">
        <f t="shared" si="6"/>
        <v>558.99685599999998</v>
      </c>
      <c r="CG24" s="197">
        <f t="shared" si="7"/>
        <v>888.99685599999998</v>
      </c>
      <c r="CH24" s="196">
        <f t="shared" si="49"/>
        <v>613.70739516885158</v>
      </c>
      <c r="CI24" s="197">
        <f t="shared" si="50"/>
        <v>231.45536046368116</v>
      </c>
      <c r="CJ24" s="197">
        <f t="shared" si="51"/>
        <v>221.63824727932283</v>
      </c>
      <c r="CK24" s="197">
        <f t="shared" si="52"/>
        <v>392.06914788952867</v>
      </c>
      <c r="CL24" s="199">
        <f t="shared" si="53"/>
        <v>623.52450835320985</v>
      </c>
      <c r="CM24" s="196">
        <f t="shared" si="75"/>
        <v>8570.1426556584011</v>
      </c>
      <c r="CN24" s="197">
        <f t="shared" si="54"/>
        <v>3614.8213178772971</v>
      </c>
      <c r="CO24" s="197">
        <f t="shared" si="55"/>
        <v>9350.3724430657767</v>
      </c>
      <c r="CP24" s="197">
        <f t="shared" si="56"/>
        <v>-780.22978740737176</v>
      </c>
      <c r="CQ24" s="199">
        <f t="shared" si="57"/>
        <v>2834.5915304699233</v>
      </c>
      <c r="CT24" s="204">
        <f t="shared" si="76"/>
        <v>13</v>
      </c>
      <c r="CU24" s="197">
        <f t="shared" si="58"/>
        <v>10</v>
      </c>
      <c r="CV24" s="197">
        <f>'Energy Inputs'!$F$58*$CV$8</f>
        <v>0</v>
      </c>
      <c r="CW24" s="197">
        <f t="shared" si="59"/>
        <v>0</v>
      </c>
      <c r="CX24" s="197">
        <f>'Margins summary'!$U$14</f>
        <v>330</v>
      </c>
      <c r="CY24" s="197">
        <f t="shared" si="60"/>
        <v>330</v>
      </c>
      <c r="CZ24" s="197"/>
      <c r="DA24" s="918">
        <f>'Energy NPV'!U77</f>
        <v>316.00314399999996</v>
      </c>
      <c r="DB24" s="197"/>
      <c r="DC24" s="197">
        <f t="shared" si="61"/>
        <v>316.00314399999996</v>
      </c>
      <c r="DD24" s="197">
        <f t="shared" si="8"/>
        <v>-316.00314399999996</v>
      </c>
      <c r="DE24" s="197">
        <f t="shared" si="9"/>
        <v>13.996856000000037</v>
      </c>
      <c r="DF24" s="196">
        <f t="shared" si="62"/>
        <v>0</v>
      </c>
      <c r="DG24" s="197">
        <f t="shared" si="63"/>
        <v>231.45536046368116</v>
      </c>
      <c r="DH24" s="197">
        <f t="shared" si="64"/>
        <v>221.63824727932283</v>
      </c>
      <c r="DI24" s="197">
        <f t="shared" si="65"/>
        <v>-221.63824727932283</v>
      </c>
      <c r="DJ24" s="199">
        <f t="shared" si="66"/>
        <v>9.8171131843583233</v>
      </c>
      <c r="DK24" s="196">
        <f t="shared" si="77"/>
        <v>0</v>
      </c>
      <c r="DL24" s="197">
        <f t="shared" si="67"/>
        <v>3614.8213178772971</v>
      </c>
      <c r="DM24" s="197">
        <f t="shared" si="68"/>
        <v>9350.3724430657767</v>
      </c>
      <c r="DN24" s="197">
        <f t="shared" si="69"/>
        <v>-9350.3724430657767</v>
      </c>
      <c r="DO24" s="199">
        <f t="shared" si="70"/>
        <v>-5735.5511251884782</v>
      </c>
    </row>
    <row r="25" spans="2:119" x14ac:dyDescent="0.3">
      <c r="B25" s="204">
        <f t="shared" si="71"/>
        <v>14</v>
      </c>
      <c r="C25" s="197">
        <f>'Energy NPV'!$D78</f>
        <v>10</v>
      </c>
      <c r="D25" s="197">
        <f>'Energy Inputs'!$F$58*$E$8</f>
        <v>43.75</v>
      </c>
      <c r="E25" s="197">
        <f t="shared" si="10"/>
        <v>437.5</v>
      </c>
      <c r="F25" s="197">
        <f>'Margins summary'!$U$14</f>
        <v>330</v>
      </c>
      <c r="G25" s="197">
        <f t="shared" si="11"/>
        <v>767.5</v>
      </c>
      <c r="H25" s="197"/>
      <c r="I25" s="918">
        <f>'Energy NPV'!U78</f>
        <v>316.00314399999996</v>
      </c>
      <c r="J25" s="197"/>
      <c r="K25" s="197">
        <f t="shared" si="12"/>
        <v>316.00314399999996</v>
      </c>
      <c r="L25" s="197">
        <f t="shared" si="0"/>
        <v>121.49685600000004</v>
      </c>
      <c r="M25" s="197">
        <f t="shared" si="1"/>
        <v>451.49685600000004</v>
      </c>
      <c r="N25" s="196">
        <f t="shared" si="13"/>
        <v>297.91621124701533</v>
      </c>
      <c r="O25" s="197">
        <f t="shared" si="14"/>
        <v>224.71394219774871</v>
      </c>
      <c r="P25" s="197">
        <f t="shared" si="15"/>
        <v>215.18276434885712</v>
      </c>
      <c r="Q25" s="197">
        <f t="shared" si="16"/>
        <v>82.733446898158206</v>
      </c>
      <c r="R25" s="199">
        <f t="shared" si="17"/>
        <v>307.44738909590689</v>
      </c>
      <c r="S25" s="196">
        <f t="shared" si="72"/>
        <v>4582.9875390762154</v>
      </c>
      <c r="T25" s="197">
        <f t="shared" si="18"/>
        <v>3839.5352600750457</v>
      </c>
      <c r="U25" s="197">
        <f t="shared" si="18"/>
        <v>9565.5552074146344</v>
      </c>
      <c r="V25" s="197">
        <f t="shared" si="18"/>
        <v>-4982.5676683384163</v>
      </c>
      <c r="W25" s="199">
        <f t="shared" si="18"/>
        <v>-1143.0324082633699</v>
      </c>
      <c r="X25" s="197"/>
      <c r="Z25" s="900">
        <v>14</v>
      </c>
      <c r="AA25" s="197">
        <f t="shared" si="19"/>
        <v>10</v>
      </c>
      <c r="AB25" s="197">
        <f>'Energy Inputs'!$F$58*$AB$8</f>
        <v>65.625</v>
      </c>
      <c r="AC25" s="197">
        <f t="shared" si="20"/>
        <v>656.25</v>
      </c>
      <c r="AD25" s="197">
        <f>'Margins summary'!$U$14</f>
        <v>330</v>
      </c>
      <c r="AE25" s="197">
        <f t="shared" si="21"/>
        <v>986.25</v>
      </c>
      <c r="AF25" s="197"/>
      <c r="AG25" s="918">
        <f>'Energy NPV'!U78</f>
        <v>316.00314399999996</v>
      </c>
      <c r="AH25" s="197"/>
      <c r="AI25" s="197">
        <f t="shared" si="22"/>
        <v>316.00314399999996</v>
      </c>
      <c r="AJ25" s="197">
        <f t="shared" si="2"/>
        <v>340.24685600000004</v>
      </c>
      <c r="AK25" s="197">
        <f t="shared" si="3"/>
        <v>670.24685599999998</v>
      </c>
      <c r="AL25" s="196">
        <f t="shared" si="23"/>
        <v>446.87431687052299</v>
      </c>
      <c r="AM25" s="197">
        <f t="shared" si="24"/>
        <v>224.71394219774871</v>
      </c>
      <c r="AN25" s="197">
        <f t="shared" si="25"/>
        <v>215.18276434885712</v>
      </c>
      <c r="AO25" s="197">
        <f t="shared" si="26"/>
        <v>231.69155252166587</v>
      </c>
      <c r="AP25" s="199">
        <f t="shared" si="27"/>
        <v>456.40549471941455</v>
      </c>
      <c r="AQ25" s="196">
        <f t="shared" si="73"/>
        <v>6874.4813086143258</v>
      </c>
      <c r="AR25" s="197">
        <f t="shared" si="28"/>
        <v>3839.5352600750457</v>
      </c>
      <c r="AS25" s="197">
        <f t="shared" si="29"/>
        <v>9565.5552074146344</v>
      </c>
      <c r="AT25" s="197">
        <f t="shared" si="30"/>
        <v>-2691.0738988003086</v>
      </c>
      <c r="AU25" s="199">
        <f t="shared" si="31"/>
        <v>1148.4613612747369</v>
      </c>
      <c r="AV25" s="197"/>
      <c r="AX25" s="900">
        <v>14</v>
      </c>
      <c r="AY25" s="197">
        <f t="shared" si="32"/>
        <v>10</v>
      </c>
      <c r="AZ25" s="197">
        <f>'Energy Inputs'!$F$58*$AZ$8</f>
        <v>21.875</v>
      </c>
      <c r="BA25" s="197">
        <f t="shared" si="33"/>
        <v>218.75</v>
      </c>
      <c r="BB25" s="197">
        <f>'Margins summary'!$U$14</f>
        <v>330</v>
      </c>
      <c r="BC25" s="197">
        <f t="shared" si="34"/>
        <v>548.75</v>
      </c>
      <c r="BD25" s="197"/>
      <c r="BE25" s="918">
        <f>'Energy NPV'!U78</f>
        <v>316.00314399999996</v>
      </c>
      <c r="BF25" s="197"/>
      <c r="BG25" s="197">
        <f t="shared" si="35"/>
        <v>316.00314399999996</v>
      </c>
      <c r="BH25" s="197">
        <f t="shared" si="4"/>
        <v>-97.253143999999963</v>
      </c>
      <c r="BI25" s="197">
        <f t="shared" si="5"/>
        <v>232.74685600000004</v>
      </c>
      <c r="BJ25" s="196">
        <f t="shared" si="36"/>
        <v>148.95810562350766</v>
      </c>
      <c r="BK25" s="197">
        <f t="shared" si="37"/>
        <v>224.71394219774871</v>
      </c>
      <c r="BL25" s="197">
        <f t="shared" si="38"/>
        <v>215.18276434885712</v>
      </c>
      <c r="BM25" s="197">
        <f t="shared" si="39"/>
        <v>-66.224658725349471</v>
      </c>
      <c r="BN25" s="199">
        <f t="shared" si="40"/>
        <v>158.48928347239925</v>
      </c>
      <c r="BO25" s="196">
        <f t="shared" si="74"/>
        <v>2291.4937695381077</v>
      </c>
      <c r="BP25" s="197">
        <f t="shared" si="41"/>
        <v>3839.5352600750457</v>
      </c>
      <c r="BQ25" s="197">
        <f t="shared" si="42"/>
        <v>9565.5552074146344</v>
      </c>
      <c r="BR25" s="197">
        <f t="shared" si="43"/>
        <v>-7274.061437876524</v>
      </c>
      <c r="BS25" s="199">
        <f t="shared" si="44"/>
        <v>-3434.5261778014788</v>
      </c>
      <c r="BV25" s="900">
        <v>14</v>
      </c>
      <c r="BW25" s="197">
        <f t="shared" si="45"/>
        <v>10</v>
      </c>
      <c r="BX25" s="197">
        <f>'Energy Inputs'!$F$58*$BX$8</f>
        <v>87.5</v>
      </c>
      <c r="BY25" s="197">
        <f t="shared" si="46"/>
        <v>875</v>
      </c>
      <c r="BZ25" s="197">
        <f>'Margins summary'!$U$14</f>
        <v>330</v>
      </c>
      <c r="CA25" s="197">
        <f t="shared" si="47"/>
        <v>1205</v>
      </c>
      <c r="CB25" s="197"/>
      <c r="CC25" s="918">
        <f>'Energy NPV'!U78</f>
        <v>316.00314399999996</v>
      </c>
      <c r="CD25" s="197"/>
      <c r="CE25" s="197">
        <f t="shared" si="48"/>
        <v>316.00314399999996</v>
      </c>
      <c r="CF25" s="197">
        <f t="shared" si="6"/>
        <v>558.99685599999998</v>
      </c>
      <c r="CG25" s="197">
        <f t="shared" si="7"/>
        <v>888.99685599999998</v>
      </c>
      <c r="CH25" s="196">
        <f t="shared" si="49"/>
        <v>595.83242249403065</v>
      </c>
      <c r="CI25" s="197">
        <f t="shared" si="50"/>
        <v>224.71394219774871</v>
      </c>
      <c r="CJ25" s="197">
        <f t="shared" si="51"/>
        <v>215.18276434885712</v>
      </c>
      <c r="CK25" s="197">
        <f t="shared" si="52"/>
        <v>380.64965814517348</v>
      </c>
      <c r="CL25" s="199">
        <f t="shared" si="53"/>
        <v>605.36360034292215</v>
      </c>
      <c r="CM25" s="196">
        <f t="shared" si="75"/>
        <v>9165.9750781524308</v>
      </c>
      <c r="CN25" s="197">
        <f t="shared" si="54"/>
        <v>3839.5352600750457</v>
      </c>
      <c r="CO25" s="197">
        <f t="shared" si="55"/>
        <v>9565.5552074146344</v>
      </c>
      <c r="CP25" s="197">
        <f t="shared" si="56"/>
        <v>-399.58012926219828</v>
      </c>
      <c r="CQ25" s="199">
        <f t="shared" si="57"/>
        <v>3439.9551308128457</v>
      </c>
      <c r="CT25" s="204">
        <f t="shared" si="76"/>
        <v>14</v>
      </c>
      <c r="CU25" s="197">
        <f t="shared" si="58"/>
        <v>10</v>
      </c>
      <c r="CV25" s="197">
        <f>'Energy Inputs'!$F$58*$CV$8</f>
        <v>0</v>
      </c>
      <c r="CW25" s="197">
        <f t="shared" si="59"/>
        <v>0</v>
      </c>
      <c r="CX25" s="197">
        <f>'Margins summary'!$U$14</f>
        <v>330</v>
      </c>
      <c r="CY25" s="197">
        <f t="shared" si="60"/>
        <v>330</v>
      </c>
      <c r="CZ25" s="197"/>
      <c r="DA25" s="918">
        <f>'Energy NPV'!U78</f>
        <v>316.00314399999996</v>
      </c>
      <c r="DB25" s="197"/>
      <c r="DC25" s="197">
        <f t="shared" si="61"/>
        <v>316.00314399999996</v>
      </c>
      <c r="DD25" s="197">
        <f t="shared" si="8"/>
        <v>-316.00314399999996</v>
      </c>
      <c r="DE25" s="197">
        <f t="shared" si="9"/>
        <v>13.996856000000037</v>
      </c>
      <c r="DF25" s="196">
        <f t="shared" si="62"/>
        <v>0</v>
      </c>
      <c r="DG25" s="197">
        <f t="shared" si="63"/>
        <v>224.71394219774871</v>
      </c>
      <c r="DH25" s="197">
        <f t="shared" si="64"/>
        <v>215.18276434885712</v>
      </c>
      <c r="DI25" s="197">
        <f t="shared" si="65"/>
        <v>-215.18276434885712</v>
      </c>
      <c r="DJ25" s="199">
        <f t="shared" si="66"/>
        <v>9.531177848891577</v>
      </c>
      <c r="DK25" s="196">
        <f t="shared" si="77"/>
        <v>0</v>
      </c>
      <c r="DL25" s="197">
        <f t="shared" si="67"/>
        <v>3839.5352600750457</v>
      </c>
      <c r="DM25" s="197">
        <f t="shared" si="68"/>
        <v>9565.5552074146344</v>
      </c>
      <c r="DN25" s="197">
        <f t="shared" si="69"/>
        <v>-9565.5552074146344</v>
      </c>
      <c r="DO25" s="199">
        <f t="shared" si="70"/>
        <v>-5726.0199473395869</v>
      </c>
    </row>
    <row r="26" spans="2:119" x14ac:dyDescent="0.3">
      <c r="B26" s="204">
        <f t="shared" si="71"/>
        <v>15</v>
      </c>
      <c r="C26" s="197">
        <f>'Energy NPV'!$D79</f>
        <v>10</v>
      </c>
      <c r="D26" s="197">
        <f>'Energy Inputs'!$F$58*$E$8</f>
        <v>43.75</v>
      </c>
      <c r="E26" s="197">
        <f t="shared" si="10"/>
        <v>437.5</v>
      </c>
      <c r="F26" s="197">
        <f>'Margins summary'!$U$14</f>
        <v>330</v>
      </c>
      <c r="G26" s="197">
        <f t="shared" si="11"/>
        <v>767.5</v>
      </c>
      <c r="H26" s="197"/>
      <c r="I26" s="918">
        <f>'Energy NPV'!U79</f>
        <v>316.00314399999996</v>
      </c>
      <c r="J26" s="197"/>
      <c r="K26" s="197">
        <f t="shared" si="12"/>
        <v>316.00314399999996</v>
      </c>
      <c r="L26" s="197">
        <f t="shared" si="0"/>
        <v>121.49685600000004</v>
      </c>
      <c r="M26" s="197">
        <f t="shared" si="1"/>
        <v>451.49685600000004</v>
      </c>
      <c r="N26" s="196">
        <f t="shared" si="13"/>
        <v>289.23904004564594</v>
      </c>
      <c r="O26" s="197">
        <f t="shared" si="14"/>
        <v>218.16887592014436</v>
      </c>
      <c r="P26" s="197">
        <f t="shared" si="15"/>
        <v>208.91530519306517</v>
      </c>
      <c r="Q26" s="197">
        <f t="shared" si="16"/>
        <v>80.32373485258077</v>
      </c>
      <c r="R26" s="199">
        <f t="shared" si="17"/>
        <v>298.49261077272513</v>
      </c>
      <c r="S26" s="196">
        <f t="shared" si="72"/>
        <v>4872.2265791218615</v>
      </c>
      <c r="T26" s="197">
        <f t="shared" si="18"/>
        <v>4057.70413599519</v>
      </c>
      <c r="U26" s="197">
        <f t="shared" si="18"/>
        <v>9774.4705126076988</v>
      </c>
      <c r="V26" s="197">
        <f t="shared" si="18"/>
        <v>-4902.2439334858354</v>
      </c>
      <c r="W26" s="199">
        <f t="shared" si="18"/>
        <v>-844.53979749064479</v>
      </c>
      <c r="X26" s="197"/>
      <c r="Z26" s="900">
        <v>15</v>
      </c>
      <c r="AA26" s="197">
        <f t="shared" si="19"/>
        <v>10</v>
      </c>
      <c r="AB26" s="197">
        <f>'Energy Inputs'!$F$58*$AB$8</f>
        <v>65.625</v>
      </c>
      <c r="AC26" s="197">
        <f t="shared" si="20"/>
        <v>656.25</v>
      </c>
      <c r="AD26" s="197">
        <f>'Margins summary'!$U$14</f>
        <v>330</v>
      </c>
      <c r="AE26" s="197">
        <f t="shared" si="21"/>
        <v>986.25</v>
      </c>
      <c r="AF26" s="197"/>
      <c r="AG26" s="918">
        <f>'Energy NPV'!U79</f>
        <v>316.00314399999996</v>
      </c>
      <c r="AH26" s="197"/>
      <c r="AI26" s="197">
        <f t="shared" si="22"/>
        <v>316.00314399999996</v>
      </c>
      <c r="AJ26" s="197">
        <f t="shared" si="2"/>
        <v>340.24685600000004</v>
      </c>
      <c r="AK26" s="197">
        <f t="shared" si="3"/>
        <v>670.24685599999998</v>
      </c>
      <c r="AL26" s="196">
        <f t="shared" si="23"/>
        <v>433.85856006846888</v>
      </c>
      <c r="AM26" s="197">
        <f t="shared" si="24"/>
        <v>218.16887592014436</v>
      </c>
      <c r="AN26" s="197">
        <f t="shared" si="25"/>
        <v>208.91530519306517</v>
      </c>
      <c r="AO26" s="197">
        <f t="shared" si="26"/>
        <v>224.94325487540374</v>
      </c>
      <c r="AP26" s="199">
        <f t="shared" si="27"/>
        <v>443.11213079554807</v>
      </c>
      <c r="AQ26" s="196">
        <f t="shared" si="73"/>
        <v>7308.339868682795</v>
      </c>
      <c r="AR26" s="197">
        <f t="shared" si="28"/>
        <v>4057.70413599519</v>
      </c>
      <c r="AS26" s="197">
        <f t="shared" si="29"/>
        <v>9774.4705126076988</v>
      </c>
      <c r="AT26" s="197">
        <f t="shared" si="30"/>
        <v>-2466.1306439249047</v>
      </c>
      <c r="AU26" s="199">
        <f t="shared" si="31"/>
        <v>1591.5734920702848</v>
      </c>
      <c r="AV26" s="197"/>
      <c r="AX26" s="900">
        <v>15</v>
      </c>
      <c r="AY26" s="197">
        <f t="shared" si="32"/>
        <v>10</v>
      </c>
      <c r="AZ26" s="197">
        <f>'Energy Inputs'!$F$58*$AZ$8</f>
        <v>21.875</v>
      </c>
      <c r="BA26" s="197">
        <f t="shared" si="33"/>
        <v>218.75</v>
      </c>
      <c r="BB26" s="197">
        <f>'Margins summary'!$U$14</f>
        <v>330</v>
      </c>
      <c r="BC26" s="197">
        <f t="shared" si="34"/>
        <v>548.75</v>
      </c>
      <c r="BD26" s="197"/>
      <c r="BE26" s="918">
        <f>'Energy NPV'!U79</f>
        <v>316.00314399999996</v>
      </c>
      <c r="BF26" s="197"/>
      <c r="BG26" s="197">
        <f t="shared" si="35"/>
        <v>316.00314399999996</v>
      </c>
      <c r="BH26" s="197">
        <f t="shared" si="4"/>
        <v>-97.253143999999963</v>
      </c>
      <c r="BI26" s="197">
        <f t="shared" si="5"/>
        <v>232.74685600000004</v>
      </c>
      <c r="BJ26" s="196">
        <f t="shared" si="36"/>
        <v>144.61952002282297</v>
      </c>
      <c r="BK26" s="197">
        <f t="shared" si="37"/>
        <v>218.16887592014436</v>
      </c>
      <c r="BL26" s="197">
        <f t="shared" si="38"/>
        <v>208.91530519306517</v>
      </c>
      <c r="BM26" s="197">
        <f t="shared" si="39"/>
        <v>-64.295785170242198</v>
      </c>
      <c r="BN26" s="199">
        <f t="shared" si="40"/>
        <v>153.87309074990216</v>
      </c>
      <c r="BO26" s="196">
        <f t="shared" si="74"/>
        <v>2436.1132895609308</v>
      </c>
      <c r="BP26" s="197">
        <f t="shared" si="41"/>
        <v>4057.70413599519</v>
      </c>
      <c r="BQ26" s="197">
        <f t="shared" si="42"/>
        <v>9774.4705126076988</v>
      </c>
      <c r="BR26" s="197">
        <f t="shared" si="43"/>
        <v>-7338.3572230467662</v>
      </c>
      <c r="BS26" s="199">
        <f t="shared" si="44"/>
        <v>-3280.6530870515767</v>
      </c>
      <c r="BV26" s="900">
        <v>15</v>
      </c>
      <c r="BW26" s="197">
        <f t="shared" si="45"/>
        <v>10</v>
      </c>
      <c r="BX26" s="197">
        <f>'Energy Inputs'!$F$58*$BX$8</f>
        <v>87.5</v>
      </c>
      <c r="BY26" s="197">
        <f t="shared" si="46"/>
        <v>875</v>
      </c>
      <c r="BZ26" s="197">
        <f>'Margins summary'!$U$14</f>
        <v>330</v>
      </c>
      <c r="CA26" s="197">
        <f t="shared" si="47"/>
        <v>1205</v>
      </c>
      <c r="CB26" s="197"/>
      <c r="CC26" s="918">
        <f>'Energy NPV'!U79</f>
        <v>316.00314399999996</v>
      </c>
      <c r="CD26" s="197"/>
      <c r="CE26" s="197">
        <f t="shared" si="48"/>
        <v>316.00314399999996</v>
      </c>
      <c r="CF26" s="197">
        <f t="shared" si="6"/>
        <v>558.99685599999998</v>
      </c>
      <c r="CG26" s="197">
        <f t="shared" si="7"/>
        <v>888.99685599999998</v>
      </c>
      <c r="CH26" s="196">
        <f t="shared" si="49"/>
        <v>578.47808009129187</v>
      </c>
      <c r="CI26" s="197">
        <f t="shared" si="50"/>
        <v>218.16887592014436</v>
      </c>
      <c r="CJ26" s="197">
        <f t="shared" si="51"/>
        <v>208.91530519306517</v>
      </c>
      <c r="CK26" s="197">
        <f t="shared" si="52"/>
        <v>369.56277489822668</v>
      </c>
      <c r="CL26" s="199">
        <f t="shared" si="53"/>
        <v>587.73165081837101</v>
      </c>
      <c r="CM26" s="196">
        <f t="shared" si="75"/>
        <v>9744.453158243723</v>
      </c>
      <c r="CN26" s="197">
        <f t="shared" si="54"/>
        <v>4057.70413599519</v>
      </c>
      <c r="CO26" s="197">
        <f t="shared" si="55"/>
        <v>9774.4705126076988</v>
      </c>
      <c r="CP26" s="197">
        <f t="shared" si="56"/>
        <v>-30.017354363971606</v>
      </c>
      <c r="CQ26" s="199">
        <f t="shared" si="57"/>
        <v>4027.6867816312169</v>
      </c>
      <c r="CT26" s="204">
        <f t="shared" si="76"/>
        <v>15</v>
      </c>
      <c r="CU26" s="197">
        <f t="shared" si="58"/>
        <v>10</v>
      </c>
      <c r="CV26" s="197">
        <f>'Energy Inputs'!$F$58*$CV$8</f>
        <v>0</v>
      </c>
      <c r="CW26" s="197">
        <f t="shared" si="59"/>
        <v>0</v>
      </c>
      <c r="CX26" s="197">
        <f>'Margins summary'!$U$14</f>
        <v>330</v>
      </c>
      <c r="CY26" s="197">
        <f t="shared" si="60"/>
        <v>330</v>
      </c>
      <c r="CZ26" s="197"/>
      <c r="DA26" s="918">
        <f>'Energy NPV'!U79</f>
        <v>316.00314399999996</v>
      </c>
      <c r="DB26" s="197"/>
      <c r="DC26" s="197">
        <f t="shared" si="61"/>
        <v>316.00314399999996</v>
      </c>
      <c r="DD26" s="197">
        <f t="shared" si="8"/>
        <v>-316.00314399999996</v>
      </c>
      <c r="DE26" s="197">
        <f t="shared" si="9"/>
        <v>13.996856000000037</v>
      </c>
      <c r="DF26" s="196">
        <f t="shared" si="62"/>
        <v>0</v>
      </c>
      <c r="DG26" s="197">
        <f t="shared" si="63"/>
        <v>218.16887592014436</v>
      </c>
      <c r="DH26" s="197">
        <f t="shared" si="64"/>
        <v>208.91530519306517</v>
      </c>
      <c r="DI26" s="197">
        <f t="shared" si="65"/>
        <v>-208.91530519306517</v>
      </c>
      <c r="DJ26" s="199">
        <f t="shared" si="66"/>
        <v>9.2535707270792003</v>
      </c>
      <c r="DK26" s="196">
        <f t="shared" si="77"/>
        <v>0</v>
      </c>
      <c r="DL26" s="197">
        <f t="shared" si="67"/>
        <v>4057.70413599519</v>
      </c>
      <c r="DM26" s="197">
        <f t="shared" si="68"/>
        <v>9774.4705126076988</v>
      </c>
      <c r="DN26" s="197">
        <f t="shared" si="69"/>
        <v>-9774.4705126076988</v>
      </c>
      <c r="DO26" s="199">
        <f t="shared" si="70"/>
        <v>-5716.7663766125079</v>
      </c>
    </row>
    <row r="27" spans="2:119" x14ac:dyDescent="0.3">
      <c r="B27" s="206">
        <f t="shared" si="71"/>
        <v>16</v>
      </c>
      <c r="C27" s="207">
        <f>'Energy NPV'!$D80</f>
        <v>10</v>
      </c>
      <c r="D27" s="207">
        <f>'Energy Inputs'!$F$58*$E$8</f>
        <v>43.75</v>
      </c>
      <c r="E27" s="207">
        <f t="shared" si="10"/>
        <v>437.5</v>
      </c>
      <c r="F27" s="207">
        <f>'Margins summary'!$U$14</f>
        <v>330</v>
      </c>
      <c r="G27" s="207">
        <f t="shared" si="11"/>
        <v>767.5</v>
      </c>
      <c r="H27" s="207"/>
      <c r="I27" s="919">
        <f>'Energy NPV'!U80</f>
        <v>203.00314399999996</v>
      </c>
      <c r="J27" s="207">
        <f>'Energy margins'!$X$67</f>
        <v>192.1</v>
      </c>
      <c r="K27" s="207">
        <f>H27+I27+J27</f>
        <v>395.10314399999993</v>
      </c>
      <c r="L27" s="207">
        <f t="shared" si="0"/>
        <v>42.396856000000071</v>
      </c>
      <c r="M27" s="207">
        <f t="shared" si="1"/>
        <v>372.39685600000007</v>
      </c>
      <c r="N27" s="208">
        <f t="shared" si="13"/>
        <v>280.81460198606396</v>
      </c>
      <c r="O27" s="207">
        <f t="shared" si="14"/>
        <v>211.81444264091684</v>
      </c>
      <c r="P27" s="207">
        <f t="shared" si="15"/>
        <v>253.60167343040573</v>
      </c>
      <c r="Q27" s="207">
        <f t="shared" si="16"/>
        <v>27.212928555658259</v>
      </c>
      <c r="R27" s="209">
        <f t="shared" si="17"/>
        <v>239.0273711965751</v>
      </c>
      <c r="S27" s="208">
        <f>S26+N27</f>
        <v>5153.0411811079257</v>
      </c>
      <c r="T27" s="207">
        <f t="shared" si="18"/>
        <v>4269.5185786361071</v>
      </c>
      <c r="U27" s="207">
        <f t="shared" si="18"/>
        <v>10028.072186038104</v>
      </c>
      <c r="V27" s="207">
        <f t="shared" si="18"/>
        <v>-4875.031004930177</v>
      </c>
      <c r="W27" s="209">
        <f t="shared" si="18"/>
        <v>-605.51242629406966</v>
      </c>
      <c r="X27" s="197"/>
      <c r="Z27" s="901">
        <v>16</v>
      </c>
      <c r="AA27" s="207">
        <f t="shared" si="19"/>
        <v>10</v>
      </c>
      <c r="AB27" s="207">
        <f>'Energy Inputs'!$F$58*$AB$8</f>
        <v>65.625</v>
      </c>
      <c r="AC27" s="207">
        <f>AA27*AB27</f>
        <v>656.25</v>
      </c>
      <c r="AD27" s="207">
        <f>'Margins summary'!$U$14</f>
        <v>330</v>
      </c>
      <c r="AE27" s="207">
        <f t="shared" si="21"/>
        <v>986.25</v>
      </c>
      <c r="AF27" s="207"/>
      <c r="AG27" s="919">
        <f>'Energy NPV'!U80</f>
        <v>203.00314399999996</v>
      </c>
      <c r="AH27" s="207">
        <f>'Energy margins'!$X$67</f>
        <v>192.1</v>
      </c>
      <c r="AI27" s="207">
        <f t="shared" si="22"/>
        <v>395.10314399999993</v>
      </c>
      <c r="AJ27" s="207">
        <f t="shared" si="2"/>
        <v>261.14685600000007</v>
      </c>
      <c r="AK27" s="207">
        <f t="shared" si="3"/>
        <v>591.14685600000007</v>
      </c>
      <c r="AL27" s="208">
        <f t="shared" si="23"/>
        <v>421.221902979096</v>
      </c>
      <c r="AM27" s="207">
        <f t="shared" si="24"/>
        <v>211.81444264091684</v>
      </c>
      <c r="AN27" s="207">
        <f t="shared" si="25"/>
        <v>253.60167343040573</v>
      </c>
      <c r="AO27" s="207">
        <f t="shared" si="26"/>
        <v>167.62022954869025</v>
      </c>
      <c r="AP27" s="209">
        <f t="shared" si="27"/>
        <v>379.43467218960711</v>
      </c>
      <c r="AQ27" s="208">
        <f t="shared" si="73"/>
        <v>7729.5617716618908</v>
      </c>
      <c r="AR27" s="207">
        <f t="shared" si="28"/>
        <v>4269.5185786361071</v>
      </c>
      <c r="AS27" s="207">
        <f t="shared" si="29"/>
        <v>10028.072186038104</v>
      </c>
      <c r="AT27" s="207">
        <f t="shared" si="30"/>
        <v>-2298.5104143762146</v>
      </c>
      <c r="AU27" s="209">
        <f t="shared" si="31"/>
        <v>1971.0081642598921</v>
      </c>
      <c r="AV27" s="197"/>
      <c r="AX27" s="901">
        <v>16</v>
      </c>
      <c r="AY27" s="207">
        <f t="shared" si="32"/>
        <v>10</v>
      </c>
      <c r="AZ27" s="207">
        <f>'Energy Inputs'!$F$58*$AZ$8</f>
        <v>21.875</v>
      </c>
      <c r="BA27" s="207">
        <f t="shared" si="33"/>
        <v>218.75</v>
      </c>
      <c r="BB27" s="207">
        <f>'Margins summary'!$U$14</f>
        <v>330</v>
      </c>
      <c r="BC27" s="207">
        <f t="shared" si="34"/>
        <v>548.75</v>
      </c>
      <c r="BD27" s="207"/>
      <c r="BE27" s="919">
        <f>'Energy NPV'!U80</f>
        <v>203.00314399999996</v>
      </c>
      <c r="BF27" s="207">
        <f>'Energy margins'!$X$67</f>
        <v>192.1</v>
      </c>
      <c r="BG27" s="207">
        <f t="shared" si="35"/>
        <v>395.10314399999993</v>
      </c>
      <c r="BH27" s="207">
        <f t="shared" si="4"/>
        <v>-176.35314399999993</v>
      </c>
      <c r="BI27" s="207">
        <f t="shared" si="5"/>
        <v>153.64685600000007</v>
      </c>
      <c r="BJ27" s="208">
        <f t="shared" si="36"/>
        <v>140.40730099303198</v>
      </c>
      <c r="BK27" s="207">
        <f t="shared" si="37"/>
        <v>211.81444264091684</v>
      </c>
      <c r="BL27" s="207">
        <f t="shared" si="38"/>
        <v>253.60167343040573</v>
      </c>
      <c r="BM27" s="207">
        <f t="shared" si="39"/>
        <v>-113.19437243737373</v>
      </c>
      <c r="BN27" s="209">
        <f t="shared" si="40"/>
        <v>98.620070203543108</v>
      </c>
      <c r="BO27" s="208">
        <f t="shared" si="74"/>
        <v>2576.5205905539628</v>
      </c>
      <c r="BP27" s="207">
        <f t="shared" si="41"/>
        <v>4269.5185786361071</v>
      </c>
      <c r="BQ27" s="207">
        <f t="shared" si="42"/>
        <v>10028.072186038104</v>
      </c>
      <c r="BR27" s="207">
        <f t="shared" si="43"/>
        <v>-7451.5515954841403</v>
      </c>
      <c r="BS27" s="209">
        <f t="shared" si="44"/>
        <v>-3182.0330168480336</v>
      </c>
      <c r="BV27" s="901">
        <v>16</v>
      </c>
      <c r="BW27" s="207">
        <f t="shared" si="45"/>
        <v>10</v>
      </c>
      <c r="BX27" s="207">
        <f>'Energy Inputs'!$F$58*$BX$8</f>
        <v>87.5</v>
      </c>
      <c r="BY27" s="207">
        <f t="shared" si="46"/>
        <v>875</v>
      </c>
      <c r="BZ27" s="207">
        <f>'Margins summary'!$U$14</f>
        <v>330</v>
      </c>
      <c r="CA27" s="207">
        <f t="shared" si="47"/>
        <v>1205</v>
      </c>
      <c r="CB27" s="207"/>
      <c r="CC27" s="919">
        <f>'Energy NPV'!U80</f>
        <v>203.00314399999996</v>
      </c>
      <c r="CD27" s="207">
        <f>'Energy margins'!$X$67</f>
        <v>192.1</v>
      </c>
      <c r="CE27" s="207">
        <f t="shared" si="48"/>
        <v>395.10314399999993</v>
      </c>
      <c r="CF27" s="207">
        <f t="shared" si="6"/>
        <v>479.89685600000007</v>
      </c>
      <c r="CG27" s="207">
        <f t="shared" si="7"/>
        <v>809.89685600000007</v>
      </c>
      <c r="CH27" s="208">
        <f t="shared" si="49"/>
        <v>561.62920397212793</v>
      </c>
      <c r="CI27" s="207">
        <f t="shared" si="50"/>
        <v>211.81444264091684</v>
      </c>
      <c r="CJ27" s="207">
        <f t="shared" si="51"/>
        <v>253.60167343040573</v>
      </c>
      <c r="CK27" s="207">
        <f t="shared" si="52"/>
        <v>308.02753054172223</v>
      </c>
      <c r="CL27" s="209">
        <f t="shared" si="53"/>
        <v>519.84197318263909</v>
      </c>
      <c r="CM27" s="208">
        <f t="shared" si="75"/>
        <v>10306.082362215851</v>
      </c>
      <c r="CN27" s="207">
        <f t="shared" si="54"/>
        <v>4269.5185786361071</v>
      </c>
      <c r="CO27" s="207">
        <f t="shared" si="55"/>
        <v>10028.072186038104</v>
      </c>
      <c r="CP27" s="207">
        <f t="shared" si="56"/>
        <v>278.01017617775062</v>
      </c>
      <c r="CQ27" s="209">
        <f t="shared" si="57"/>
        <v>4547.5287548138558</v>
      </c>
      <c r="CT27" s="206">
        <f t="shared" si="76"/>
        <v>16</v>
      </c>
      <c r="CU27" s="207">
        <f t="shared" si="58"/>
        <v>10</v>
      </c>
      <c r="CV27" s="207">
        <f>'Energy Inputs'!$F$58*$CV$8</f>
        <v>0</v>
      </c>
      <c r="CW27" s="207">
        <f t="shared" si="59"/>
        <v>0</v>
      </c>
      <c r="CX27" s="207">
        <f>'Margins summary'!$U$14</f>
        <v>330</v>
      </c>
      <c r="CY27" s="207">
        <f t="shared" si="60"/>
        <v>330</v>
      </c>
      <c r="CZ27" s="207"/>
      <c r="DA27" s="919">
        <f>'Energy NPV'!U80</f>
        <v>203.00314399999996</v>
      </c>
      <c r="DB27" s="207">
        <f>'Energy margins'!$X$67</f>
        <v>192.1</v>
      </c>
      <c r="DC27" s="207">
        <f t="shared" si="61"/>
        <v>395.10314399999993</v>
      </c>
      <c r="DD27" s="207">
        <f t="shared" si="8"/>
        <v>-395.10314399999993</v>
      </c>
      <c r="DE27" s="207">
        <f t="shared" si="9"/>
        <v>-65.103143999999929</v>
      </c>
      <c r="DF27" s="208">
        <f t="shared" si="62"/>
        <v>0</v>
      </c>
      <c r="DG27" s="207">
        <f t="shared" si="63"/>
        <v>211.81444264091684</v>
      </c>
      <c r="DH27" s="207">
        <f t="shared" si="64"/>
        <v>253.60167343040573</v>
      </c>
      <c r="DI27" s="207">
        <f t="shared" si="65"/>
        <v>-253.60167343040573</v>
      </c>
      <c r="DJ27" s="209">
        <f t="shared" si="66"/>
        <v>-41.787230789488888</v>
      </c>
      <c r="DK27" s="208">
        <f t="shared" si="77"/>
        <v>0</v>
      </c>
      <c r="DL27" s="207">
        <f t="shared" si="67"/>
        <v>4269.5185786361071</v>
      </c>
      <c r="DM27" s="207">
        <f t="shared" si="68"/>
        <v>10028.072186038104</v>
      </c>
      <c r="DN27" s="207">
        <f t="shared" si="69"/>
        <v>-10028.072186038104</v>
      </c>
      <c r="DO27" s="209">
        <f t="shared" si="70"/>
        <v>-5758.5536074019965</v>
      </c>
    </row>
    <row r="34" spans="2:119" x14ac:dyDescent="0.3">
      <c r="B34" s="228" t="s">
        <v>436</v>
      </c>
      <c r="C34" s="763" t="s">
        <v>384</v>
      </c>
      <c r="D34" s="269" t="s">
        <v>395</v>
      </c>
      <c r="E34" s="194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Z34" s="228" t="s">
        <v>436</v>
      </c>
      <c r="AA34" s="211" t="s">
        <v>304</v>
      </c>
      <c r="AB34" s="907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X34" s="228" t="s">
        <v>436</v>
      </c>
      <c r="AY34" s="211" t="s">
        <v>315</v>
      </c>
      <c r="AZ34" s="908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436</v>
      </c>
      <c r="BW34" s="211" t="s">
        <v>316</v>
      </c>
      <c r="BX34" s="908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436</v>
      </c>
      <c r="CU34" s="211" t="s">
        <v>317</v>
      </c>
      <c r="CV34" s="908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108"/>
      <c r="F35" s="1108"/>
      <c r="G35" s="1108"/>
      <c r="H35" s="148"/>
      <c r="I35" s="931"/>
      <c r="J35" s="1108"/>
      <c r="K35" s="1108"/>
      <c r="L35" s="148"/>
      <c r="M35" s="148"/>
      <c r="N35" s="1109" t="s">
        <v>270</v>
      </c>
      <c r="O35" s="1110"/>
      <c r="P35" s="1110"/>
      <c r="Q35" s="1110"/>
      <c r="R35" s="1111"/>
      <c r="S35" s="1109" t="s">
        <v>271</v>
      </c>
      <c r="T35" s="1110"/>
      <c r="U35" s="1110"/>
      <c r="V35" s="1110"/>
      <c r="W35" s="1111"/>
      <c r="X35" s="1001"/>
      <c r="Z35" s="203"/>
      <c r="AA35" s="148"/>
      <c r="AB35" s="148"/>
      <c r="AC35" s="1108"/>
      <c r="AD35" s="1108"/>
      <c r="AE35" s="1108"/>
      <c r="AF35" s="148"/>
      <c r="AG35" s="931"/>
      <c r="AH35" s="1108"/>
      <c r="AI35" s="1108"/>
      <c r="AJ35" s="148"/>
      <c r="AK35" s="148"/>
      <c r="AL35" s="1109" t="s">
        <v>270</v>
      </c>
      <c r="AM35" s="1110"/>
      <c r="AN35" s="1110"/>
      <c r="AO35" s="1110"/>
      <c r="AP35" s="1111"/>
      <c r="AQ35" s="1109" t="s">
        <v>271</v>
      </c>
      <c r="AR35" s="1110"/>
      <c r="AS35" s="1110"/>
      <c r="AT35" s="1110"/>
      <c r="AU35" s="1111"/>
      <c r="AV35" s="1001"/>
      <c r="AX35" s="203"/>
      <c r="AY35" s="148"/>
      <c r="AZ35" s="148"/>
      <c r="BA35" s="1108"/>
      <c r="BB35" s="1108"/>
      <c r="BC35" s="1108"/>
      <c r="BD35" s="148"/>
      <c r="BE35" s="931"/>
      <c r="BF35" s="1108"/>
      <c r="BG35" s="1108"/>
      <c r="BH35" s="148"/>
      <c r="BI35" s="148"/>
      <c r="BJ35" s="1109" t="s">
        <v>270</v>
      </c>
      <c r="BK35" s="1110"/>
      <c r="BL35" s="1110"/>
      <c r="BM35" s="1110"/>
      <c r="BN35" s="1111"/>
      <c r="BO35" s="1109" t="s">
        <v>271</v>
      </c>
      <c r="BP35" s="1110"/>
      <c r="BQ35" s="1110"/>
      <c r="BR35" s="1110"/>
      <c r="BS35" s="1111"/>
      <c r="BV35" s="203"/>
      <c r="BW35" s="148"/>
      <c r="BX35" s="148"/>
      <c r="BY35" s="992"/>
      <c r="BZ35" s="992"/>
      <c r="CA35" s="992"/>
      <c r="CB35" s="148"/>
      <c r="CC35" s="931"/>
      <c r="CD35" s="992"/>
      <c r="CE35" s="992"/>
      <c r="CF35" s="148"/>
      <c r="CG35" s="148"/>
      <c r="CH35" s="993" t="s">
        <v>270</v>
      </c>
      <c r="CI35" s="994"/>
      <c r="CJ35" s="994"/>
      <c r="CK35" s="994"/>
      <c r="CL35" s="995"/>
      <c r="CM35" s="993" t="s">
        <v>271</v>
      </c>
      <c r="CN35" s="994"/>
      <c r="CO35" s="994"/>
      <c r="CP35" s="994"/>
      <c r="CQ35" s="995"/>
      <c r="CT35" s="203"/>
      <c r="CU35" s="148"/>
      <c r="CV35" s="148"/>
      <c r="CW35" s="992"/>
      <c r="CX35" s="992"/>
      <c r="CY35" s="992"/>
      <c r="CZ35" s="148"/>
      <c r="DA35" s="931"/>
      <c r="DB35" s="992"/>
      <c r="DC35" s="992"/>
      <c r="DD35" s="148"/>
      <c r="DE35" s="148"/>
      <c r="DF35" s="993" t="s">
        <v>270</v>
      </c>
      <c r="DG35" s="994"/>
      <c r="DH35" s="994"/>
      <c r="DI35" s="994"/>
      <c r="DJ35" s="995"/>
      <c r="DK35" s="993" t="s">
        <v>271</v>
      </c>
      <c r="DL35" s="994"/>
      <c r="DM35" s="994"/>
      <c r="DN35" s="994"/>
      <c r="DO35" s="995"/>
    </row>
    <row r="36" spans="2:119" ht="51" x14ac:dyDescent="0.3">
      <c r="B36" s="204" t="s">
        <v>272</v>
      </c>
      <c r="C36" s="205" t="s">
        <v>289</v>
      </c>
      <c r="D36" s="205" t="s">
        <v>290</v>
      </c>
      <c r="E36" s="171" t="s">
        <v>676</v>
      </c>
      <c r="F36" s="171" t="s">
        <v>672</v>
      </c>
      <c r="G36" s="171" t="s">
        <v>677</v>
      </c>
      <c r="H36" s="205" t="s">
        <v>287</v>
      </c>
      <c r="I36" s="935" t="str">
        <f>'Energy NPV'!U89</f>
        <v>Total Recurring Costs</v>
      </c>
      <c r="J36" s="205" t="s">
        <v>291</v>
      </c>
      <c r="K36" s="171" t="s">
        <v>276</v>
      </c>
      <c r="L36" s="171" t="s">
        <v>678</v>
      </c>
      <c r="M36" s="171" t="s">
        <v>679</v>
      </c>
      <c r="N36" s="195" t="s">
        <v>277</v>
      </c>
      <c r="O36" s="171" t="s">
        <v>680</v>
      </c>
      <c r="P36" s="171" t="s">
        <v>278</v>
      </c>
      <c r="Q36" s="171" t="s">
        <v>681</v>
      </c>
      <c r="R36" s="198" t="s">
        <v>279</v>
      </c>
      <c r="S36" s="195" t="s">
        <v>280</v>
      </c>
      <c r="T36" s="171" t="s">
        <v>682</v>
      </c>
      <c r="U36" s="171" t="s">
        <v>281</v>
      </c>
      <c r="V36" s="171" t="s">
        <v>683</v>
      </c>
      <c r="W36" s="198" t="s">
        <v>282</v>
      </c>
      <c r="X36" s="171"/>
      <c r="Z36" s="204" t="s">
        <v>272</v>
      </c>
      <c r="AA36" s="205" t="s">
        <v>289</v>
      </c>
      <c r="AB36" s="205" t="s">
        <v>290</v>
      </c>
      <c r="AC36" s="171" t="s">
        <v>676</v>
      </c>
      <c r="AD36" s="171" t="s">
        <v>672</v>
      </c>
      <c r="AE36" s="171" t="s">
        <v>677</v>
      </c>
      <c r="AF36" s="205" t="s">
        <v>287</v>
      </c>
      <c r="AG36" s="935" t="str">
        <f>'Energy NPV'!U89</f>
        <v>Total Recurring Costs</v>
      </c>
      <c r="AH36" s="205" t="s">
        <v>291</v>
      </c>
      <c r="AI36" s="171" t="s">
        <v>276</v>
      </c>
      <c r="AJ36" s="171" t="s">
        <v>678</v>
      </c>
      <c r="AK36" s="171" t="s">
        <v>679</v>
      </c>
      <c r="AL36" s="195" t="s">
        <v>277</v>
      </c>
      <c r="AM36" s="171" t="s">
        <v>680</v>
      </c>
      <c r="AN36" s="171" t="s">
        <v>278</v>
      </c>
      <c r="AO36" s="171" t="s">
        <v>681</v>
      </c>
      <c r="AP36" s="198" t="s">
        <v>279</v>
      </c>
      <c r="AQ36" s="195" t="s">
        <v>280</v>
      </c>
      <c r="AR36" s="171" t="s">
        <v>682</v>
      </c>
      <c r="AS36" s="171" t="s">
        <v>281</v>
      </c>
      <c r="AT36" s="171" t="s">
        <v>683</v>
      </c>
      <c r="AU36" s="198" t="s">
        <v>282</v>
      </c>
      <c r="AV36" s="171"/>
      <c r="AX36" s="204" t="s">
        <v>272</v>
      </c>
      <c r="AY36" s="205" t="s">
        <v>289</v>
      </c>
      <c r="AZ36" s="205" t="s">
        <v>290</v>
      </c>
      <c r="BA36" s="171" t="s">
        <v>676</v>
      </c>
      <c r="BB36" s="171" t="s">
        <v>672</v>
      </c>
      <c r="BC36" s="171" t="s">
        <v>677</v>
      </c>
      <c r="BD36" s="205" t="s">
        <v>287</v>
      </c>
      <c r="BE36" s="935" t="str">
        <f>'Energy NPV'!U89</f>
        <v>Total Recurring Costs</v>
      </c>
      <c r="BF36" s="205" t="s">
        <v>291</v>
      </c>
      <c r="BG36" s="171" t="s">
        <v>276</v>
      </c>
      <c r="BH36" s="171" t="s">
        <v>678</v>
      </c>
      <c r="BI36" s="171" t="s">
        <v>679</v>
      </c>
      <c r="BJ36" s="195" t="s">
        <v>277</v>
      </c>
      <c r="BK36" s="171" t="s">
        <v>680</v>
      </c>
      <c r="BL36" s="171" t="s">
        <v>278</v>
      </c>
      <c r="BM36" s="171" t="s">
        <v>681</v>
      </c>
      <c r="BN36" s="198" t="s">
        <v>279</v>
      </c>
      <c r="BO36" s="195" t="s">
        <v>280</v>
      </c>
      <c r="BP36" s="171" t="s">
        <v>682</v>
      </c>
      <c r="BQ36" s="171" t="s">
        <v>281</v>
      </c>
      <c r="BR36" s="171" t="s">
        <v>683</v>
      </c>
      <c r="BS36" s="198" t="s">
        <v>282</v>
      </c>
      <c r="BV36" s="204" t="s">
        <v>272</v>
      </c>
      <c r="BW36" s="205" t="s">
        <v>289</v>
      </c>
      <c r="BX36" s="205" t="s">
        <v>290</v>
      </c>
      <c r="BY36" s="171" t="s">
        <v>676</v>
      </c>
      <c r="BZ36" s="171" t="s">
        <v>672</v>
      </c>
      <c r="CA36" s="171" t="s">
        <v>677</v>
      </c>
      <c r="CB36" s="205" t="s">
        <v>287</v>
      </c>
      <c r="CC36" s="935" t="str">
        <f>'Energy NPV'!U89</f>
        <v>Total Recurring Costs</v>
      </c>
      <c r="CD36" s="205" t="s">
        <v>291</v>
      </c>
      <c r="CE36" s="171" t="s">
        <v>276</v>
      </c>
      <c r="CF36" s="171" t="s">
        <v>678</v>
      </c>
      <c r="CG36" s="171" t="s">
        <v>679</v>
      </c>
      <c r="CH36" s="195" t="s">
        <v>277</v>
      </c>
      <c r="CI36" s="171" t="s">
        <v>680</v>
      </c>
      <c r="CJ36" s="171" t="s">
        <v>278</v>
      </c>
      <c r="CK36" s="171" t="s">
        <v>681</v>
      </c>
      <c r="CL36" s="198" t="s">
        <v>279</v>
      </c>
      <c r="CM36" s="195" t="s">
        <v>280</v>
      </c>
      <c r="CN36" s="171" t="s">
        <v>682</v>
      </c>
      <c r="CO36" s="171" t="s">
        <v>281</v>
      </c>
      <c r="CP36" s="171" t="s">
        <v>683</v>
      </c>
      <c r="CQ36" s="198" t="s">
        <v>282</v>
      </c>
      <c r="CT36" s="204" t="s">
        <v>272</v>
      </c>
      <c r="CU36" s="205" t="s">
        <v>289</v>
      </c>
      <c r="CV36" s="205" t="s">
        <v>290</v>
      </c>
      <c r="CW36" s="171" t="s">
        <v>676</v>
      </c>
      <c r="CX36" s="171" t="s">
        <v>672</v>
      </c>
      <c r="CY36" s="171" t="s">
        <v>677</v>
      </c>
      <c r="CZ36" s="205" t="s">
        <v>287</v>
      </c>
      <c r="DA36" s="935" t="str">
        <f>'Energy NPV'!U89</f>
        <v>Total Recurring Costs</v>
      </c>
      <c r="DB36" s="205" t="s">
        <v>291</v>
      </c>
      <c r="DC36" s="171" t="s">
        <v>276</v>
      </c>
      <c r="DD36" s="171" t="s">
        <v>678</v>
      </c>
      <c r="DE36" s="171" t="s">
        <v>679</v>
      </c>
      <c r="DF36" s="195" t="s">
        <v>277</v>
      </c>
      <c r="DG36" s="171" t="s">
        <v>680</v>
      </c>
      <c r="DH36" s="171" t="s">
        <v>278</v>
      </c>
      <c r="DI36" s="171" t="s">
        <v>681</v>
      </c>
      <c r="DJ36" s="198" t="s">
        <v>279</v>
      </c>
      <c r="DK36" s="195" t="s">
        <v>280</v>
      </c>
      <c r="DL36" s="171" t="s">
        <v>682</v>
      </c>
      <c r="DM36" s="171" t="s">
        <v>281</v>
      </c>
      <c r="DN36" s="171" t="s">
        <v>683</v>
      </c>
      <c r="DO36" s="198" t="s">
        <v>282</v>
      </c>
    </row>
    <row r="37" spans="2:119" x14ac:dyDescent="0.3">
      <c r="B37" s="173"/>
      <c r="C37" s="226" t="s">
        <v>332</v>
      </c>
      <c r="D37" s="226" t="s">
        <v>569</v>
      </c>
      <c r="E37" s="201" t="s">
        <v>567</v>
      </c>
      <c r="F37" s="201" t="s">
        <v>567</v>
      </c>
      <c r="G37" s="201" t="s">
        <v>567</v>
      </c>
      <c r="H37" s="201" t="s">
        <v>567</v>
      </c>
      <c r="I37" s="969" t="str">
        <f>'Energy NPV'!U90</f>
        <v>(€ ha-1)</v>
      </c>
      <c r="J37" s="201" t="s">
        <v>567</v>
      </c>
      <c r="K37" s="201" t="s">
        <v>567</v>
      </c>
      <c r="L37" s="201" t="s">
        <v>567</v>
      </c>
      <c r="M37" s="202" t="s">
        <v>567</v>
      </c>
      <c r="N37" s="201" t="s">
        <v>567</v>
      </c>
      <c r="O37" s="201" t="s">
        <v>567</v>
      </c>
      <c r="P37" s="201" t="s">
        <v>567</v>
      </c>
      <c r="Q37" s="201" t="s">
        <v>567</v>
      </c>
      <c r="R37" s="202" t="s">
        <v>567</v>
      </c>
      <c r="S37" s="201" t="s">
        <v>567</v>
      </c>
      <c r="T37" s="201" t="s">
        <v>567</v>
      </c>
      <c r="U37" s="201" t="s">
        <v>567</v>
      </c>
      <c r="V37" s="201" t="s">
        <v>567</v>
      </c>
      <c r="W37" s="202" t="s">
        <v>567</v>
      </c>
      <c r="X37" s="1002"/>
      <c r="Z37" s="173"/>
      <c r="AA37" s="226" t="s">
        <v>332</v>
      </c>
      <c r="AB37" s="226" t="s">
        <v>569</v>
      </c>
      <c r="AC37" s="201" t="s">
        <v>567</v>
      </c>
      <c r="AD37" s="201" t="s">
        <v>567</v>
      </c>
      <c r="AE37" s="201" t="s">
        <v>567</v>
      </c>
      <c r="AF37" s="201" t="s">
        <v>567</v>
      </c>
      <c r="AG37" s="969" t="str">
        <f>'Energy NPV'!U90</f>
        <v>(€ ha-1)</v>
      </c>
      <c r="AH37" s="201" t="s">
        <v>567</v>
      </c>
      <c r="AI37" s="201" t="s">
        <v>567</v>
      </c>
      <c r="AJ37" s="201" t="s">
        <v>567</v>
      </c>
      <c r="AK37" s="202" t="s">
        <v>567</v>
      </c>
      <c r="AL37" s="201" t="s">
        <v>567</v>
      </c>
      <c r="AM37" s="201" t="s">
        <v>567</v>
      </c>
      <c r="AN37" s="201" t="s">
        <v>567</v>
      </c>
      <c r="AO37" s="201" t="s">
        <v>567</v>
      </c>
      <c r="AP37" s="202" t="s">
        <v>567</v>
      </c>
      <c r="AQ37" s="201" t="s">
        <v>567</v>
      </c>
      <c r="AR37" s="201" t="s">
        <v>567</v>
      </c>
      <c r="AS37" s="201" t="s">
        <v>567</v>
      </c>
      <c r="AT37" s="201" t="s">
        <v>567</v>
      </c>
      <c r="AU37" s="202" t="s">
        <v>567</v>
      </c>
      <c r="AV37" s="1002"/>
      <c r="AX37" s="173"/>
      <c r="AY37" s="226" t="s">
        <v>332</v>
      </c>
      <c r="AZ37" s="226" t="s">
        <v>569</v>
      </c>
      <c r="BA37" s="201" t="s">
        <v>567</v>
      </c>
      <c r="BB37" s="201" t="s">
        <v>567</v>
      </c>
      <c r="BC37" s="201" t="s">
        <v>567</v>
      </c>
      <c r="BD37" s="201" t="s">
        <v>567</v>
      </c>
      <c r="BE37" s="969" t="str">
        <f>'Energy NPV'!U90</f>
        <v>(€ ha-1)</v>
      </c>
      <c r="BF37" s="201" t="s">
        <v>567</v>
      </c>
      <c r="BG37" s="201" t="s">
        <v>567</v>
      </c>
      <c r="BH37" s="201" t="s">
        <v>567</v>
      </c>
      <c r="BI37" s="202" t="s">
        <v>567</v>
      </c>
      <c r="BJ37" s="201" t="s">
        <v>567</v>
      </c>
      <c r="BK37" s="201" t="s">
        <v>567</v>
      </c>
      <c r="BL37" s="201" t="s">
        <v>567</v>
      </c>
      <c r="BM37" s="201" t="s">
        <v>567</v>
      </c>
      <c r="BN37" s="202" t="s">
        <v>567</v>
      </c>
      <c r="BO37" s="201" t="s">
        <v>567</v>
      </c>
      <c r="BP37" s="201" t="s">
        <v>567</v>
      </c>
      <c r="BQ37" s="201" t="s">
        <v>567</v>
      </c>
      <c r="BR37" s="201" t="s">
        <v>567</v>
      </c>
      <c r="BS37" s="202" t="s">
        <v>567</v>
      </c>
      <c r="BV37" s="173"/>
      <c r="BW37" s="226" t="s">
        <v>332</v>
      </c>
      <c r="BX37" s="226" t="s">
        <v>569</v>
      </c>
      <c r="BY37" s="201" t="s">
        <v>567</v>
      </c>
      <c r="BZ37" s="201" t="s">
        <v>567</v>
      </c>
      <c r="CA37" s="201" t="s">
        <v>567</v>
      </c>
      <c r="CB37" s="201" t="s">
        <v>567</v>
      </c>
      <c r="CC37" s="969" t="str">
        <f>'Energy NPV'!U90</f>
        <v>(€ ha-1)</v>
      </c>
      <c r="CD37" s="201" t="s">
        <v>567</v>
      </c>
      <c r="CE37" s="201" t="s">
        <v>567</v>
      </c>
      <c r="CF37" s="201" t="s">
        <v>567</v>
      </c>
      <c r="CG37" s="202" t="s">
        <v>567</v>
      </c>
      <c r="CH37" s="201" t="s">
        <v>567</v>
      </c>
      <c r="CI37" s="201" t="s">
        <v>567</v>
      </c>
      <c r="CJ37" s="201" t="s">
        <v>567</v>
      </c>
      <c r="CK37" s="201" t="s">
        <v>567</v>
      </c>
      <c r="CL37" s="202" t="s">
        <v>567</v>
      </c>
      <c r="CM37" s="201" t="s">
        <v>567</v>
      </c>
      <c r="CN37" s="201" t="s">
        <v>567</v>
      </c>
      <c r="CO37" s="201" t="s">
        <v>567</v>
      </c>
      <c r="CP37" s="201" t="s">
        <v>567</v>
      </c>
      <c r="CQ37" s="202" t="s">
        <v>567</v>
      </c>
      <c r="CT37" s="173"/>
      <c r="CU37" s="226" t="s">
        <v>332</v>
      </c>
      <c r="CV37" s="226" t="s">
        <v>569</v>
      </c>
      <c r="CW37" s="201" t="s">
        <v>567</v>
      </c>
      <c r="CX37" s="201" t="s">
        <v>567</v>
      </c>
      <c r="CY37" s="201" t="s">
        <v>567</v>
      </c>
      <c r="CZ37" s="201" t="s">
        <v>567</v>
      </c>
      <c r="DA37" s="969" t="str">
        <f>'Energy NPV'!U90</f>
        <v>(€ ha-1)</v>
      </c>
      <c r="DB37" s="201" t="s">
        <v>567</v>
      </c>
      <c r="DC37" s="201" t="s">
        <v>567</v>
      </c>
      <c r="DD37" s="201" t="s">
        <v>567</v>
      </c>
      <c r="DE37" s="202" t="s">
        <v>567</v>
      </c>
      <c r="DF37" s="201" t="s">
        <v>567</v>
      </c>
      <c r="DG37" s="201" t="s">
        <v>567</v>
      </c>
      <c r="DH37" s="201" t="s">
        <v>567</v>
      </c>
      <c r="DI37" s="201" t="s">
        <v>567</v>
      </c>
      <c r="DJ37" s="202" t="s">
        <v>567</v>
      </c>
      <c r="DK37" s="201" t="s">
        <v>567</v>
      </c>
      <c r="DL37" s="201" t="s">
        <v>567</v>
      </c>
      <c r="DM37" s="201" t="s">
        <v>567</v>
      </c>
      <c r="DN37" s="201" t="s">
        <v>567</v>
      </c>
      <c r="DO37" s="202" t="s">
        <v>567</v>
      </c>
    </row>
    <row r="38" spans="2:119" x14ac:dyDescent="0.3">
      <c r="B38" s="204">
        <v>1</v>
      </c>
      <c r="C38" s="197">
        <f>'Energy NPV'!$D91</f>
        <v>0</v>
      </c>
      <c r="D38" s="197">
        <f>'Energy Inputs'!$G$58*$E$34</f>
        <v>43.75</v>
      </c>
      <c r="E38" s="197">
        <f>C38*D38</f>
        <v>0</v>
      </c>
      <c r="F38" s="197">
        <f>'Margins summary'!$W$14</f>
        <v>330</v>
      </c>
      <c r="G38" s="197">
        <f>E38+F38</f>
        <v>330</v>
      </c>
      <c r="H38" s="197">
        <f>'Margins summary'!$V$20</f>
        <v>2769.6868439999998</v>
      </c>
      <c r="I38" s="918">
        <f>'Energy NPV'!U91</f>
        <v>0</v>
      </c>
      <c r="J38" s="197"/>
      <c r="K38" s="197">
        <f>H38+I38+J38</f>
        <v>2769.6868439999998</v>
      </c>
      <c r="L38" s="197">
        <f t="shared" ref="L38:L53" si="78">E38-K38</f>
        <v>-2769.6868439999998</v>
      </c>
      <c r="M38" s="197">
        <f t="shared" ref="M38:M53" si="79">G38-K38</f>
        <v>-2439.6868439999998</v>
      </c>
      <c r="N38" s="1033">
        <f>E38/(1+$B$4)^(B38-1)</f>
        <v>0</v>
      </c>
      <c r="O38" s="213">
        <f>F38/(1+$B$4)^(B38-1)</f>
        <v>330</v>
      </c>
      <c r="P38" s="213">
        <f>K38/(1+$B$4)^(B38-1)</f>
        <v>2769.6868439999998</v>
      </c>
      <c r="Q38" s="213">
        <f>L38/(1+$B$4)^(B38-1)</f>
        <v>-2769.6868439999998</v>
      </c>
      <c r="R38" s="929">
        <f>M38/(1+$B$4)^(B38-1)</f>
        <v>-2439.6868439999998</v>
      </c>
      <c r="S38" s="196">
        <f>N38</f>
        <v>0</v>
      </c>
      <c r="T38" s="197">
        <f>O38</f>
        <v>330</v>
      </c>
      <c r="U38" s="197">
        <f>P38</f>
        <v>2769.6868439999998</v>
      </c>
      <c r="V38" s="197">
        <f>Q38</f>
        <v>-2769.6868439999998</v>
      </c>
      <c r="W38" s="199">
        <f>R38</f>
        <v>-2439.6868439999998</v>
      </c>
      <c r="X38" s="197"/>
      <c r="Z38" s="899">
        <v>1</v>
      </c>
      <c r="AA38" s="197">
        <f>$C38</f>
        <v>0</v>
      </c>
      <c r="AB38" s="197">
        <f>'Energy Inputs'!$G$58*$AB$34</f>
        <v>65.625</v>
      </c>
      <c r="AC38" s="197">
        <f>AA38*AB38</f>
        <v>0</v>
      </c>
      <c r="AD38" s="197">
        <f>'Margins summary'!$W$14</f>
        <v>330</v>
      </c>
      <c r="AE38" s="197">
        <f>AC38+AD38</f>
        <v>330</v>
      </c>
      <c r="AF38" s="197">
        <f>'Margins summary'!$V$20</f>
        <v>2769.6868439999998</v>
      </c>
      <c r="AG38" s="918">
        <f>'Energy NPV'!U91</f>
        <v>0</v>
      </c>
      <c r="AH38" s="197"/>
      <c r="AI38" s="197">
        <f>AF38+AG38+AH38</f>
        <v>2769.6868439999998</v>
      </c>
      <c r="AJ38" s="197">
        <f t="shared" ref="AJ38:AJ53" si="80">AC38-AI38</f>
        <v>-2769.6868439999998</v>
      </c>
      <c r="AK38" s="197">
        <f t="shared" ref="AK38:AK53" si="81">AE38-AI38</f>
        <v>-2439.6868439999998</v>
      </c>
      <c r="AL38" s="1033">
        <f>AC38/(1+$B$4)^(Z38-1)</f>
        <v>0</v>
      </c>
      <c r="AM38" s="213">
        <f>AD38/(1+$B$4)^(Z38-1)</f>
        <v>330</v>
      </c>
      <c r="AN38" s="213">
        <f>AI38/(1+$B$4)^(Z38-1)</f>
        <v>2769.6868439999998</v>
      </c>
      <c r="AO38" s="213">
        <f>AJ38/(1+$B$4)^(Z38-1)</f>
        <v>-2769.6868439999998</v>
      </c>
      <c r="AP38" s="929">
        <f>AK38/(1+$B$4)^(Z38-1)</f>
        <v>-2439.6868439999998</v>
      </c>
      <c r="AQ38" s="196">
        <f>AL38</f>
        <v>0</v>
      </c>
      <c r="AR38" s="197">
        <f>AM38</f>
        <v>330</v>
      </c>
      <c r="AS38" s="197">
        <f>AN38</f>
        <v>2769.6868439999998</v>
      </c>
      <c r="AT38" s="197">
        <f>AO38</f>
        <v>-2769.6868439999998</v>
      </c>
      <c r="AU38" s="199">
        <f>AP38</f>
        <v>-2439.6868439999998</v>
      </c>
      <c r="AV38" s="197"/>
      <c r="AX38" s="899">
        <v>1</v>
      </c>
      <c r="AY38" s="197">
        <f>$C38</f>
        <v>0</v>
      </c>
      <c r="AZ38" s="197">
        <f>'Energy Inputs'!$G$58*$AZ$34</f>
        <v>21.875</v>
      </c>
      <c r="BA38" s="197">
        <f>AY38*AZ38</f>
        <v>0</v>
      </c>
      <c r="BB38" s="197">
        <f>'Margins summary'!$W$14</f>
        <v>330</v>
      </c>
      <c r="BC38" s="197">
        <f>BA38+BB38</f>
        <v>330</v>
      </c>
      <c r="BD38" s="197">
        <f>'Margins summary'!$V$20</f>
        <v>2769.6868439999998</v>
      </c>
      <c r="BE38" s="918">
        <f>'Energy NPV'!U91</f>
        <v>0</v>
      </c>
      <c r="BF38" s="197"/>
      <c r="BG38" s="197">
        <f>BD38+BE38+BF38</f>
        <v>2769.6868439999998</v>
      </c>
      <c r="BH38" s="197">
        <f t="shared" ref="BH38:BH53" si="82">BA38-BG38</f>
        <v>-2769.6868439999998</v>
      </c>
      <c r="BI38" s="197">
        <f t="shared" ref="BI38:BI53" si="83">BC38-BG38</f>
        <v>-2439.6868439999998</v>
      </c>
      <c r="BJ38" s="1033">
        <f>BA38/(1+$B$4)^(AX38-1)</f>
        <v>0</v>
      </c>
      <c r="BK38" s="213">
        <f>BB38/(1+$B$4)^(AX38-1)</f>
        <v>330</v>
      </c>
      <c r="BL38" s="213">
        <f>BG38/(1+$B$4)^(AX38-1)</f>
        <v>2769.6868439999998</v>
      </c>
      <c r="BM38" s="213">
        <f>BH38/(1+$B$4)^(AX38-1)</f>
        <v>-2769.6868439999998</v>
      </c>
      <c r="BN38" s="929">
        <f>BI38/(1+$B$4)^(AX38-1)</f>
        <v>-2439.6868439999998</v>
      </c>
      <c r="BO38" s="196">
        <f>BJ38</f>
        <v>0</v>
      </c>
      <c r="BP38" s="197">
        <f>BK38</f>
        <v>330</v>
      </c>
      <c r="BQ38" s="197">
        <f>BL38</f>
        <v>2769.6868439999998</v>
      </c>
      <c r="BR38" s="197">
        <f>BM38</f>
        <v>-2769.6868439999998</v>
      </c>
      <c r="BS38" s="199">
        <f>BN38</f>
        <v>-2439.6868439999998</v>
      </c>
      <c r="BV38" s="899">
        <v>1</v>
      </c>
      <c r="BW38" s="197">
        <f>$C38</f>
        <v>0</v>
      </c>
      <c r="BX38" s="197">
        <f>'Energy Inputs'!$G$58*$BX$34</f>
        <v>87.5</v>
      </c>
      <c r="BY38" s="197">
        <f>BW38*BX38</f>
        <v>0</v>
      </c>
      <c r="BZ38" s="197">
        <f>'Margins summary'!$W$14</f>
        <v>330</v>
      </c>
      <c r="CA38" s="197">
        <f>BY38+BZ38</f>
        <v>330</v>
      </c>
      <c r="CB38" s="197">
        <f>'Margins summary'!$V$20</f>
        <v>2769.6868439999998</v>
      </c>
      <c r="CC38" s="918">
        <f>'Energy NPV'!U91</f>
        <v>0</v>
      </c>
      <c r="CD38" s="197"/>
      <c r="CE38" s="197">
        <f>CB38+CC38+CD38</f>
        <v>2769.6868439999998</v>
      </c>
      <c r="CF38" s="197">
        <f t="shared" ref="CF38:CF53" si="84">BY38-CE38</f>
        <v>-2769.6868439999998</v>
      </c>
      <c r="CG38" s="197">
        <f t="shared" ref="CG38:CG53" si="85">CA38-CE38</f>
        <v>-2439.6868439999998</v>
      </c>
      <c r="CH38" s="1033">
        <f>BY38/(1+$B$4)^(BV38-1)</f>
        <v>0</v>
      </c>
      <c r="CI38" s="213">
        <f>BZ38/(1+$B$4)^(BV38-1)</f>
        <v>330</v>
      </c>
      <c r="CJ38" s="213">
        <f>CE38/(1+$B$4)^(BV38-1)</f>
        <v>2769.6868439999998</v>
      </c>
      <c r="CK38" s="213">
        <f>CF38/(1+$B$4)^(BV38-1)</f>
        <v>-2769.6868439999998</v>
      </c>
      <c r="CL38" s="929">
        <f>CG38/(1+$B$4)^(BV38-1)</f>
        <v>-2439.6868439999998</v>
      </c>
      <c r="CM38" s="196">
        <f>CH38</f>
        <v>0</v>
      </c>
      <c r="CN38" s="197">
        <f>CI38</f>
        <v>330</v>
      </c>
      <c r="CO38" s="197">
        <f>CJ38</f>
        <v>2769.6868439999998</v>
      </c>
      <c r="CP38" s="197">
        <f>CK38</f>
        <v>-2769.6868439999998</v>
      </c>
      <c r="CQ38" s="199">
        <f>CL38</f>
        <v>-2439.6868439999998</v>
      </c>
      <c r="CT38" s="204">
        <v>1</v>
      </c>
      <c r="CU38" s="197">
        <f>$C38</f>
        <v>0</v>
      </c>
      <c r="CV38" s="197">
        <f>'Energy Inputs'!$G$58*$CV$34</f>
        <v>0</v>
      </c>
      <c r="CW38" s="197">
        <f>CU38*CV38</f>
        <v>0</v>
      </c>
      <c r="CX38" s="197">
        <f>'Margins summary'!$W$14</f>
        <v>330</v>
      </c>
      <c r="CY38" s="197">
        <f>CW38+CX38</f>
        <v>330</v>
      </c>
      <c r="CZ38" s="197">
        <f>'Margins summary'!$V$20</f>
        <v>2769.6868439999998</v>
      </c>
      <c r="DA38" s="918">
        <f>'Energy NPV'!U91</f>
        <v>0</v>
      </c>
      <c r="DB38" s="197"/>
      <c r="DC38" s="197">
        <f>CZ38+DA38+DB38</f>
        <v>2769.6868439999998</v>
      </c>
      <c r="DD38" s="197">
        <f t="shared" ref="DD38:DD53" si="86">CW38-DC38</f>
        <v>-2769.6868439999998</v>
      </c>
      <c r="DE38" s="197">
        <f t="shared" ref="DE38:DE53" si="87">CY38-DC38</f>
        <v>-2439.6868439999998</v>
      </c>
      <c r="DF38" s="1033">
        <f>CW38/(1+$B$4)^(CT38-1)</f>
        <v>0</v>
      </c>
      <c r="DG38" s="213">
        <f>CX38/(1+$B$4)^(CT38-1)</f>
        <v>330</v>
      </c>
      <c r="DH38" s="213">
        <f>DC38/(1+$B$4)^(CT38-1)</f>
        <v>2769.6868439999998</v>
      </c>
      <c r="DI38" s="213">
        <f>DD38/(1+$B$4)^(CT38-1)</f>
        <v>-2769.6868439999998</v>
      </c>
      <c r="DJ38" s="929">
        <f>DE38/(1+$B$4)^(CT38-1)</f>
        <v>-2439.6868439999998</v>
      </c>
      <c r="DK38" s="196">
        <f>DF38</f>
        <v>0</v>
      </c>
      <c r="DL38" s="197">
        <f>DG38</f>
        <v>330</v>
      </c>
      <c r="DM38" s="197">
        <f>DH38</f>
        <v>2769.6868439999998</v>
      </c>
      <c r="DN38" s="197">
        <f>DI38</f>
        <v>-2769.6868439999998</v>
      </c>
      <c r="DO38" s="199">
        <f>DJ38</f>
        <v>-2439.6868439999998</v>
      </c>
    </row>
    <row r="39" spans="2:119" x14ac:dyDescent="0.3">
      <c r="B39" s="204">
        <f>B38+1</f>
        <v>2</v>
      </c>
      <c r="C39" s="197">
        <f>'Energy NPV'!$D92</f>
        <v>9.1411042944785272</v>
      </c>
      <c r="D39" s="197">
        <f>'Energy Inputs'!$G$58*$E$34</f>
        <v>43.75</v>
      </c>
      <c r="E39" s="197">
        <f>C39*D39</f>
        <v>399.92331288343559</v>
      </c>
      <c r="F39" s="197">
        <f>'Margins summary'!$W$14</f>
        <v>330</v>
      </c>
      <c r="G39" s="197">
        <f t="shared" ref="G39:G53" si="88">E39+F39</f>
        <v>729.92331288343553</v>
      </c>
      <c r="H39" s="197"/>
      <c r="I39" s="918">
        <f>'Energy NPV'!U92</f>
        <v>600.46934399999986</v>
      </c>
      <c r="J39" s="197"/>
      <c r="K39" s="197">
        <f t="shared" ref="K39:K53" si="89">H39+I39+J39</f>
        <v>600.46934399999986</v>
      </c>
      <c r="L39" s="197">
        <f t="shared" si="78"/>
        <v>-200.54603111656428</v>
      </c>
      <c r="M39" s="197">
        <f t="shared" si="79"/>
        <v>129.45396888343566</v>
      </c>
      <c r="N39" s="196">
        <f t="shared" ref="N39:N52" si="90">E39/(1+$B$4)^(B39-1)</f>
        <v>388.27506105187922</v>
      </c>
      <c r="O39" s="197">
        <f t="shared" ref="O39:O52" si="91">F39/(1+$B$4)^(B39-1)</f>
        <v>320.38834951456312</v>
      </c>
      <c r="P39" s="197">
        <f t="shared" ref="P39:P52" si="92">K39/(1+$B$4)^(B39-1)</f>
        <v>582.97994563106784</v>
      </c>
      <c r="Q39" s="197">
        <f t="shared" ref="Q39:Q52" si="93">L39/(1+$B$4)^(B39-1)</f>
        <v>-194.70488457918862</v>
      </c>
      <c r="R39" s="199">
        <f t="shared" ref="R39:R52" si="94">M39/(1+$B$4)^(B39-1)</f>
        <v>125.68346493537443</v>
      </c>
      <c r="S39" s="196">
        <f>S38+N39</f>
        <v>388.27506105187922</v>
      </c>
      <c r="T39" s="197">
        <f t="shared" ref="T39:W53" si="95">T38+O39</f>
        <v>650.38834951456306</v>
      </c>
      <c r="U39" s="197">
        <f t="shared" si="95"/>
        <v>3352.6667896310678</v>
      </c>
      <c r="V39" s="197">
        <f t="shared" si="95"/>
        <v>-2964.3917285791886</v>
      </c>
      <c r="W39" s="199">
        <f t="shared" si="95"/>
        <v>-2314.0033790646253</v>
      </c>
      <c r="X39" s="197"/>
      <c r="Z39" s="900">
        <v>2</v>
      </c>
      <c r="AA39" s="197">
        <f t="shared" ref="AA39:AA53" si="96">$C39</f>
        <v>9.1411042944785272</v>
      </c>
      <c r="AB39" s="197">
        <f>'Energy Inputs'!$G$58*$AB$34</f>
        <v>65.625</v>
      </c>
      <c r="AC39" s="197">
        <f>AA39*AB39</f>
        <v>599.88496932515341</v>
      </c>
      <c r="AD39" s="197">
        <f>'Margins summary'!$W$14</f>
        <v>330</v>
      </c>
      <c r="AE39" s="197">
        <f t="shared" ref="AE39:AE53" si="97">AC39+AD39</f>
        <v>929.88496932515341</v>
      </c>
      <c r="AF39" s="197"/>
      <c r="AG39" s="918">
        <f>'Energy NPV'!U92</f>
        <v>600.46934399999986</v>
      </c>
      <c r="AH39" s="197"/>
      <c r="AI39" s="197">
        <f t="shared" ref="AI39:AI53" si="98">AF39+AG39+AH39</f>
        <v>600.46934399999986</v>
      </c>
      <c r="AJ39" s="197">
        <f t="shared" si="80"/>
        <v>-0.58437467484645822</v>
      </c>
      <c r="AK39" s="197">
        <f t="shared" si="81"/>
        <v>329.41562532515354</v>
      </c>
      <c r="AL39" s="196">
        <f t="shared" ref="AL39:AL52" si="99">AC39/(1+$B$4)^(Z39-1)</f>
        <v>582.41259157781883</v>
      </c>
      <c r="AM39" s="197">
        <f t="shared" ref="AM39:AM52" si="100">AD39/(1+$B$4)^(Z39-1)</f>
        <v>320.38834951456312</v>
      </c>
      <c r="AN39" s="197">
        <f t="shared" ref="AN39:AN52" si="101">AI39/(1+$B$4)^(Z39-1)</f>
        <v>582.97994563106784</v>
      </c>
      <c r="AO39" s="197">
        <f t="shared" ref="AO39:AO52" si="102">AJ39/(1+$B$4)^(Z39-1)</f>
        <v>-0.56735405324898858</v>
      </c>
      <c r="AP39" s="199">
        <f t="shared" ref="AP39:AP52" si="103">AK39/(1+$B$4)^(Z39-1)</f>
        <v>319.82099546131411</v>
      </c>
      <c r="AQ39" s="196">
        <f>AQ38+AL39</f>
        <v>582.41259157781883</v>
      </c>
      <c r="AR39" s="197">
        <f t="shared" ref="AR39:AR53" si="104">AR38+AM39</f>
        <v>650.38834951456306</v>
      </c>
      <c r="AS39" s="197">
        <f t="shared" ref="AS39:AS53" si="105">AS38+AN39</f>
        <v>3352.6667896310678</v>
      </c>
      <c r="AT39" s="197">
        <f t="shared" ref="AT39:AT53" si="106">AT38+AO39</f>
        <v>-2770.2541980532487</v>
      </c>
      <c r="AU39" s="199">
        <f t="shared" ref="AU39:AU53" si="107">AU38+AP39</f>
        <v>-2119.8658485386859</v>
      </c>
      <c r="AV39" s="197"/>
      <c r="AX39" s="900">
        <v>2</v>
      </c>
      <c r="AY39" s="197">
        <f t="shared" ref="AY39:AY53" si="108">$C39</f>
        <v>9.1411042944785272</v>
      </c>
      <c r="AZ39" s="197">
        <f>'Energy Inputs'!$G$58*$AZ$34</f>
        <v>21.875</v>
      </c>
      <c r="BA39" s="197">
        <f>AY39*AZ39</f>
        <v>199.96165644171779</v>
      </c>
      <c r="BB39" s="197">
        <f>'Margins summary'!$W$14</f>
        <v>330</v>
      </c>
      <c r="BC39" s="197">
        <f t="shared" ref="BC39:BC53" si="109">BA39+BB39</f>
        <v>529.96165644171776</v>
      </c>
      <c r="BD39" s="197"/>
      <c r="BE39" s="918">
        <f>'Energy NPV'!U92</f>
        <v>600.46934399999986</v>
      </c>
      <c r="BF39" s="197"/>
      <c r="BG39" s="197">
        <f t="shared" ref="BG39:BG53" si="110">BD39+BE39+BF39</f>
        <v>600.46934399999986</v>
      </c>
      <c r="BH39" s="197">
        <f t="shared" si="82"/>
        <v>-400.5076875582821</v>
      </c>
      <c r="BI39" s="197">
        <f t="shared" si="83"/>
        <v>-70.5076875582821</v>
      </c>
      <c r="BJ39" s="196">
        <f t="shared" ref="BJ39:BJ52" si="111">BA39/(1+$B$4)^(AX39-1)</f>
        <v>194.13753052593961</v>
      </c>
      <c r="BK39" s="197">
        <f t="shared" ref="BK39:BK52" si="112">BB39/(1+$B$4)^(AX39-1)</f>
        <v>320.38834951456312</v>
      </c>
      <c r="BL39" s="197">
        <f t="shared" ref="BL39:BL52" si="113">BG39/(1+$B$4)^(AX39-1)</f>
        <v>582.97994563106784</v>
      </c>
      <c r="BM39" s="197">
        <f t="shared" ref="BM39:BM52" si="114">BH39/(1+$B$4)^(AX39-1)</f>
        <v>-388.84241510512823</v>
      </c>
      <c r="BN39" s="199">
        <f t="shared" ref="BN39:BN52" si="115">BI39/(1+$B$4)^(AX39-1)</f>
        <v>-68.454065590565151</v>
      </c>
      <c r="BO39" s="196">
        <f>BO38+BJ39</f>
        <v>194.13753052593961</v>
      </c>
      <c r="BP39" s="197">
        <f t="shared" ref="BP39:BP53" si="116">BP38+BK39</f>
        <v>650.38834951456306</v>
      </c>
      <c r="BQ39" s="197">
        <f t="shared" ref="BQ39:BQ53" si="117">BQ38+BL39</f>
        <v>3352.6667896310678</v>
      </c>
      <c r="BR39" s="197">
        <f t="shared" ref="BR39:BR53" si="118">BR38+BM39</f>
        <v>-3158.5292591051279</v>
      </c>
      <c r="BS39" s="199">
        <f t="shared" ref="BS39:BS53" si="119">BS38+BN39</f>
        <v>-2508.1409095905651</v>
      </c>
      <c r="BV39" s="900">
        <v>2</v>
      </c>
      <c r="BW39" s="197">
        <f t="shared" ref="BW39:BW53" si="120">$C39</f>
        <v>9.1411042944785272</v>
      </c>
      <c r="BX39" s="197">
        <f>'Energy Inputs'!$G$58*$BX$34</f>
        <v>87.5</v>
      </c>
      <c r="BY39" s="197">
        <f>BW39*BX39</f>
        <v>799.84662576687117</v>
      </c>
      <c r="BZ39" s="197">
        <f>'Margins summary'!$W$14</f>
        <v>330</v>
      </c>
      <c r="CA39" s="197">
        <f t="shared" ref="CA39:CA53" si="121">BY39+BZ39</f>
        <v>1129.8466257668711</v>
      </c>
      <c r="CB39" s="197"/>
      <c r="CC39" s="918">
        <f>'Energy NPV'!U92</f>
        <v>600.46934399999986</v>
      </c>
      <c r="CD39" s="197"/>
      <c r="CE39" s="197">
        <f t="shared" ref="CE39:CE53" si="122">CB39+CC39+CD39</f>
        <v>600.46934399999986</v>
      </c>
      <c r="CF39" s="197">
        <f t="shared" si="84"/>
        <v>199.37728176687131</v>
      </c>
      <c r="CG39" s="197">
        <f t="shared" si="85"/>
        <v>529.37728176687119</v>
      </c>
      <c r="CH39" s="196">
        <f t="shared" ref="CH39:CH52" si="123">BY39/(1+$B$4)^(BV39-1)</f>
        <v>776.55012210375844</v>
      </c>
      <c r="CI39" s="197">
        <f t="shared" ref="CI39:CI52" si="124">BZ39/(1+$B$4)^(BV39-1)</f>
        <v>320.38834951456312</v>
      </c>
      <c r="CJ39" s="197">
        <f t="shared" ref="CJ39:CJ52" si="125">CE39/(1+$B$4)^(BV39-1)</f>
        <v>582.97994563106784</v>
      </c>
      <c r="CK39" s="197">
        <f t="shared" ref="CK39:CK52" si="126">CF39/(1+$B$4)^(BV39-1)</f>
        <v>193.57017647269058</v>
      </c>
      <c r="CL39" s="199">
        <f t="shared" ref="CL39:CL52" si="127">CG39/(1+$B$4)^(BV39-1)</f>
        <v>513.95852598725355</v>
      </c>
      <c r="CM39" s="196">
        <f>CM38+CH39</f>
        <v>776.55012210375844</v>
      </c>
      <c r="CN39" s="197">
        <f t="shared" ref="CN39:CN53" si="128">CN38+CI39</f>
        <v>650.38834951456306</v>
      </c>
      <c r="CO39" s="197">
        <f t="shared" ref="CO39:CO53" si="129">CO38+CJ39</f>
        <v>3352.6667896310678</v>
      </c>
      <c r="CP39" s="197">
        <f t="shared" ref="CP39:CP53" si="130">CP38+CK39</f>
        <v>-2576.1166675273093</v>
      </c>
      <c r="CQ39" s="199">
        <f t="shared" ref="CQ39:CQ53" si="131">CQ38+CL39</f>
        <v>-1925.7283180127463</v>
      </c>
      <c r="CT39" s="204">
        <v>2</v>
      </c>
      <c r="CU39" s="197">
        <f t="shared" ref="CU39:CU53" si="132">$C39</f>
        <v>9.1411042944785272</v>
      </c>
      <c r="CV39" s="197">
        <f>'Energy Inputs'!$G$58*$CV$34</f>
        <v>0</v>
      </c>
      <c r="CW39" s="197">
        <f>CU39*CV39</f>
        <v>0</v>
      </c>
      <c r="CX39" s="197">
        <f>'Margins summary'!$W$14</f>
        <v>330</v>
      </c>
      <c r="CY39" s="197">
        <f t="shared" ref="CY39:CY53" si="133">CW39+CX39</f>
        <v>330</v>
      </c>
      <c r="CZ39" s="197"/>
      <c r="DA39" s="918">
        <f>'Energy NPV'!U92</f>
        <v>600.46934399999986</v>
      </c>
      <c r="DB39" s="197"/>
      <c r="DC39" s="197">
        <f t="shared" ref="DC39:DC53" si="134">CZ39+DA39+DB39</f>
        <v>600.46934399999986</v>
      </c>
      <c r="DD39" s="197">
        <f t="shared" si="86"/>
        <v>-600.46934399999986</v>
      </c>
      <c r="DE39" s="197">
        <f t="shared" si="87"/>
        <v>-270.46934399999986</v>
      </c>
      <c r="DF39" s="196">
        <f t="shared" ref="DF39:DF52" si="135">CW39/(1+$B$4)^(CT39-1)</f>
        <v>0</v>
      </c>
      <c r="DG39" s="197">
        <f t="shared" ref="DG39:DG52" si="136">CX39/(1+$B$4)^(CT39-1)</f>
        <v>320.38834951456312</v>
      </c>
      <c r="DH39" s="197">
        <f t="shared" ref="DH39:DH52" si="137">DC39/(1+$B$4)^(CT39-1)</f>
        <v>582.97994563106784</v>
      </c>
      <c r="DI39" s="197">
        <f t="shared" ref="DI39:DI52" si="138">DD39/(1+$B$4)^(CT39-1)</f>
        <v>-582.97994563106784</v>
      </c>
      <c r="DJ39" s="199">
        <f t="shared" ref="DJ39:DJ52" si="139">DE39/(1+$B$4)^(CT39-1)</f>
        <v>-262.59159611650472</v>
      </c>
      <c r="DK39" s="196">
        <f>DK38+DF39</f>
        <v>0</v>
      </c>
      <c r="DL39" s="197">
        <f t="shared" ref="DL39:DL53" si="140">DL38+DG39</f>
        <v>650.38834951456306</v>
      </c>
      <c r="DM39" s="197">
        <f t="shared" ref="DM39:DM53" si="141">DM38+DH39</f>
        <v>3352.6667896310678</v>
      </c>
      <c r="DN39" s="197">
        <f t="shared" ref="DN39:DN53" si="142">DN38+DI39</f>
        <v>-3352.6667896310678</v>
      </c>
      <c r="DO39" s="199">
        <f t="shared" ref="DO39:DO53" si="143">DO38+DJ39</f>
        <v>-2702.2784401165045</v>
      </c>
    </row>
    <row r="40" spans="2:119" x14ac:dyDescent="0.3">
      <c r="B40" s="204">
        <f t="shared" ref="B40:B53" si="144">B39+1</f>
        <v>3</v>
      </c>
      <c r="C40" s="197">
        <f>'Energy NPV'!$D93</f>
        <v>13.52760736196319</v>
      </c>
      <c r="D40" s="197">
        <f>'Energy Inputs'!$G$58*$E$34</f>
        <v>43.75</v>
      </c>
      <c r="E40" s="197">
        <f t="shared" ref="E40:E53" si="145">C40*D40</f>
        <v>591.83282208588957</v>
      </c>
      <c r="F40" s="197">
        <f>'Margins summary'!$W$14</f>
        <v>330</v>
      </c>
      <c r="G40" s="197">
        <f t="shared" si="88"/>
        <v>921.83282208588957</v>
      </c>
      <c r="H40" s="197"/>
      <c r="I40" s="918">
        <f>'Energy NPV'!U93</f>
        <v>600.46934399999986</v>
      </c>
      <c r="J40" s="197"/>
      <c r="K40" s="197">
        <f t="shared" si="89"/>
        <v>600.46934399999986</v>
      </c>
      <c r="L40" s="197">
        <f t="shared" si="78"/>
        <v>-8.6365219141102898</v>
      </c>
      <c r="M40" s="197">
        <f t="shared" si="79"/>
        <v>321.36347808588971</v>
      </c>
      <c r="N40" s="196">
        <f t="shared" si="90"/>
        <v>557.85919698924465</v>
      </c>
      <c r="O40" s="197">
        <f t="shared" si="91"/>
        <v>311.05665001413894</v>
      </c>
      <c r="P40" s="197">
        <f t="shared" si="92"/>
        <v>565.99994721462895</v>
      </c>
      <c r="Q40" s="197">
        <f t="shared" si="93"/>
        <v>-8.140750225384382</v>
      </c>
      <c r="R40" s="199">
        <f t="shared" si="94"/>
        <v>302.91589978875459</v>
      </c>
      <c r="S40" s="196">
        <f t="shared" ref="S40:S53" si="146">S39+N40</f>
        <v>946.13425804112387</v>
      </c>
      <c r="T40" s="197">
        <f t="shared" si="95"/>
        <v>961.44499952870206</v>
      </c>
      <c r="U40" s="197">
        <f t="shared" si="95"/>
        <v>3918.6667368456965</v>
      </c>
      <c r="V40" s="197">
        <f t="shared" si="95"/>
        <v>-2972.5324788045727</v>
      </c>
      <c r="W40" s="199">
        <f t="shared" si="95"/>
        <v>-2011.0874792758707</v>
      </c>
      <c r="X40" s="197"/>
      <c r="Z40" s="900">
        <v>3</v>
      </c>
      <c r="AA40" s="197">
        <f t="shared" si="96"/>
        <v>13.52760736196319</v>
      </c>
      <c r="AB40" s="197">
        <f>'Energy Inputs'!$G$58*$AB$34</f>
        <v>65.625</v>
      </c>
      <c r="AC40" s="197">
        <f t="shared" ref="AC40:AC53" si="147">AA40*AB40</f>
        <v>887.74923312883436</v>
      </c>
      <c r="AD40" s="197">
        <f>'Margins summary'!$W$14</f>
        <v>330</v>
      </c>
      <c r="AE40" s="197">
        <f t="shared" si="97"/>
        <v>1217.7492331288345</v>
      </c>
      <c r="AF40" s="197"/>
      <c r="AG40" s="918">
        <f>'Energy NPV'!U93</f>
        <v>600.46934399999986</v>
      </c>
      <c r="AH40" s="197"/>
      <c r="AI40" s="197">
        <f t="shared" si="98"/>
        <v>600.46934399999986</v>
      </c>
      <c r="AJ40" s="197">
        <f t="shared" si="80"/>
        <v>287.2798891288345</v>
      </c>
      <c r="AK40" s="197">
        <f t="shared" si="81"/>
        <v>617.27988912883461</v>
      </c>
      <c r="AL40" s="196">
        <f t="shared" si="99"/>
        <v>836.78879548386692</v>
      </c>
      <c r="AM40" s="197">
        <f t="shared" si="100"/>
        <v>311.05665001413894</v>
      </c>
      <c r="AN40" s="197">
        <f t="shared" si="101"/>
        <v>565.99994721462895</v>
      </c>
      <c r="AO40" s="197">
        <f t="shared" si="102"/>
        <v>270.78884826923792</v>
      </c>
      <c r="AP40" s="199">
        <f t="shared" si="103"/>
        <v>581.84549828337697</v>
      </c>
      <c r="AQ40" s="196">
        <f t="shared" ref="AQ40:AQ52" si="148">AQ39+AL40</f>
        <v>1419.2013870616856</v>
      </c>
      <c r="AR40" s="197">
        <f t="shared" si="104"/>
        <v>961.44499952870206</v>
      </c>
      <c r="AS40" s="197">
        <f t="shared" si="105"/>
        <v>3918.6667368456965</v>
      </c>
      <c r="AT40" s="197">
        <f t="shared" si="106"/>
        <v>-2499.4653497840109</v>
      </c>
      <c r="AU40" s="199">
        <f t="shared" si="107"/>
        <v>-1538.020350255309</v>
      </c>
      <c r="AV40" s="197"/>
      <c r="AX40" s="900">
        <v>3</v>
      </c>
      <c r="AY40" s="197">
        <f t="shared" si="108"/>
        <v>13.52760736196319</v>
      </c>
      <c r="AZ40" s="197">
        <f>'Energy Inputs'!$G$58*$AZ$34</f>
        <v>21.875</v>
      </c>
      <c r="BA40" s="197">
        <f t="shared" ref="BA40:BA53" si="149">AY40*AZ40</f>
        <v>295.91641104294479</v>
      </c>
      <c r="BB40" s="197">
        <f>'Margins summary'!$W$14</f>
        <v>330</v>
      </c>
      <c r="BC40" s="197">
        <f t="shared" si="109"/>
        <v>625.91641104294479</v>
      </c>
      <c r="BD40" s="197"/>
      <c r="BE40" s="918">
        <f>'Energy NPV'!U93</f>
        <v>600.46934399999986</v>
      </c>
      <c r="BF40" s="197"/>
      <c r="BG40" s="197">
        <f t="shared" si="110"/>
        <v>600.46934399999986</v>
      </c>
      <c r="BH40" s="197">
        <f t="shared" si="82"/>
        <v>-304.55293295705508</v>
      </c>
      <c r="BI40" s="197">
        <f t="shared" si="83"/>
        <v>25.447067042944923</v>
      </c>
      <c r="BJ40" s="196">
        <f t="shared" si="111"/>
        <v>278.92959849462233</v>
      </c>
      <c r="BK40" s="197">
        <f t="shared" si="112"/>
        <v>311.05665001413894</v>
      </c>
      <c r="BL40" s="197">
        <f t="shared" si="113"/>
        <v>565.99994721462895</v>
      </c>
      <c r="BM40" s="197">
        <f t="shared" si="114"/>
        <v>-287.07034872000668</v>
      </c>
      <c r="BN40" s="199">
        <f t="shared" si="115"/>
        <v>23.986301294132268</v>
      </c>
      <c r="BO40" s="196">
        <f t="shared" ref="BO40:BO53" si="150">BO39+BJ40</f>
        <v>473.06712902056194</v>
      </c>
      <c r="BP40" s="197">
        <f t="shared" si="116"/>
        <v>961.44499952870206</v>
      </c>
      <c r="BQ40" s="197">
        <f t="shared" si="117"/>
        <v>3918.6667368456965</v>
      </c>
      <c r="BR40" s="197">
        <f t="shared" si="118"/>
        <v>-3445.5996078251346</v>
      </c>
      <c r="BS40" s="199">
        <f t="shared" si="119"/>
        <v>-2484.1546082964328</v>
      </c>
      <c r="BV40" s="900">
        <v>3</v>
      </c>
      <c r="BW40" s="197">
        <f t="shared" si="120"/>
        <v>13.52760736196319</v>
      </c>
      <c r="BX40" s="197">
        <f>'Energy Inputs'!$G$58*$BX$34</f>
        <v>87.5</v>
      </c>
      <c r="BY40" s="197">
        <f t="shared" ref="BY40:BY53" si="151">BW40*BX40</f>
        <v>1183.6656441717791</v>
      </c>
      <c r="BZ40" s="197">
        <f>'Margins summary'!$W$14</f>
        <v>330</v>
      </c>
      <c r="CA40" s="197">
        <f t="shared" si="121"/>
        <v>1513.6656441717791</v>
      </c>
      <c r="CB40" s="197"/>
      <c r="CC40" s="918">
        <f>'Energy NPV'!U93</f>
        <v>600.46934399999986</v>
      </c>
      <c r="CD40" s="197"/>
      <c r="CE40" s="197">
        <f t="shared" si="122"/>
        <v>600.46934399999986</v>
      </c>
      <c r="CF40" s="197">
        <f t="shared" si="84"/>
        <v>583.19630017177928</v>
      </c>
      <c r="CG40" s="197">
        <f t="shared" si="85"/>
        <v>913.19630017177928</v>
      </c>
      <c r="CH40" s="196">
        <f t="shared" si="123"/>
        <v>1115.7183939784893</v>
      </c>
      <c r="CI40" s="197">
        <f t="shared" si="124"/>
        <v>311.05665001413894</v>
      </c>
      <c r="CJ40" s="197">
        <f t="shared" si="125"/>
        <v>565.99994721462895</v>
      </c>
      <c r="CK40" s="197">
        <f t="shared" si="126"/>
        <v>549.71844676386024</v>
      </c>
      <c r="CL40" s="199">
        <f t="shared" si="127"/>
        <v>860.77509677799912</v>
      </c>
      <c r="CM40" s="196">
        <f t="shared" ref="CM40:CM53" si="152">CM39+CH40</f>
        <v>1892.2685160822477</v>
      </c>
      <c r="CN40" s="197">
        <f t="shared" si="128"/>
        <v>961.44499952870206</v>
      </c>
      <c r="CO40" s="197">
        <f t="shared" si="129"/>
        <v>3918.6667368456965</v>
      </c>
      <c r="CP40" s="197">
        <f t="shared" si="130"/>
        <v>-2026.398220763449</v>
      </c>
      <c r="CQ40" s="199">
        <f t="shared" si="131"/>
        <v>-1064.9532212347472</v>
      </c>
      <c r="CT40" s="204">
        <f t="shared" ref="CT40:CT53" si="153">CT39+1</f>
        <v>3</v>
      </c>
      <c r="CU40" s="197">
        <f t="shared" si="132"/>
        <v>13.52760736196319</v>
      </c>
      <c r="CV40" s="197">
        <f>'Energy Inputs'!$G$58*$CV$34</f>
        <v>0</v>
      </c>
      <c r="CW40" s="197">
        <f t="shared" ref="CW40:CW53" si="154">CU40*CV40</f>
        <v>0</v>
      </c>
      <c r="CX40" s="197">
        <f>'Margins summary'!$W$14</f>
        <v>330</v>
      </c>
      <c r="CY40" s="197">
        <f t="shared" si="133"/>
        <v>330</v>
      </c>
      <c r="CZ40" s="197"/>
      <c r="DA40" s="918">
        <f>'Energy NPV'!U93</f>
        <v>600.46934399999986</v>
      </c>
      <c r="DB40" s="197"/>
      <c r="DC40" s="197">
        <f t="shared" si="134"/>
        <v>600.46934399999986</v>
      </c>
      <c r="DD40" s="197">
        <f t="shared" si="86"/>
        <v>-600.46934399999986</v>
      </c>
      <c r="DE40" s="197">
        <f t="shared" si="87"/>
        <v>-270.46934399999986</v>
      </c>
      <c r="DF40" s="196">
        <f t="shared" si="135"/>
        <v>0</v>
      </c>
      <c r="DG40" s="197">
        <f t="shared" si="136"/>
        <v>311.05665001413894</v>
      </c>
      <c r="DH40" s="197">
        <f t="shared" si="137"/>
        <v>565.99994721462895</v>
      </c>
      <c r="DI40" s="197">
        <f t="shared" si="138"/>
        <v>-565.99994721462895</v>
      </c>
      <c r="DJ40" s="199">
        <f t="shared" si="139"/>
        <v>-254.94329720049004</v>
      </c>
      <c r="DK40" s="196">
        <f t="shared" ref="DK40:DK53" si="155">DK39+DF40</f>
        <v>0</v>
      </c>
      <c r="DL40" s="197">
        <f t="shared" si="140"/>
        <v>961.44499952870206</v>
      </c>
      <c r="DM40" s="197">
        <f t="shared" si="141"/>
        <v>3918.6667368456965</v>
      </c>
      <c r="DN40" s="197">
        <f t="shared" si="142"/>
        <v>-3918.6667368456965</v>
      </c>
      <c r="DO40" s="199">
        <f t="shared" si="143"/>
        <v>-2957.2217373169947</v>
      </c>
    </row>
    <row r="41" spans="2:119" x14ac:dyDescent="0.3">
      <c r="B41" s="204">
        <f t="shared" si="144"/>
        <v>4</v>
      </c>
      <c r="C41" s="197">
        <f>'Energy NPV'!$D94</f>
        <v>14.478527607361965</v>
      </c>
      <c r="D41" s="197">
        <f>'Energy Inputs'!$G$58*$E$34</f>
        <v>43.75</v>
      </c>
      <c r="E41" s="197">
        <f t="shared" si="145"/>
        <v>633.43558282208596</v>
      </c>
      <c r="F41" s="197">
        <f>'Margins summary'!$W$14</f>
        <v>330</v>
      </c>
      <c r="G41" s="197">
        <f t="shared" si="88"/>
        <v>963.43558282208596</v>
      </c>
      <c r="H41" s="197"/>
      <c r="I41" s="918">
        <f>'Energy NPV'!U94</f>
        <v>418.53934399999991</v>
      </c>
      <c r="J41" s="197"/>
      <c r="K41" s="197">
        <f t="shared" si="89"/>
        <v>418.53934399999991</v>
      </c>
      <c r="L41" s="197">
        <f t="shared" si="78"/>
        <v>214.89623882208605</v>
      </c>
      <c r="M41" s="197">
        <f t="shared" si="79"/>
        <v>544.89623882208605</v>
      </c>
      <c r="N41" s="196">
        <f t="shared" si="90"/>
        <v>579.68329035713953</v>
      </c>
      <c r="O41" s="197">
        <f t="shared" si="91"/>
        <v>301.99674758654265</v>
      </c>
      <c r="P41" s="197">
        <f t="shared" si="92"/>
        <v>383.02278977274278</v>
      </c>
      <c r="Q41" s="197">
        <f t="shared" si="93"/>
        <v>196.66050058439669</v>
      </c>
      <c r="R41" s="199">
        <f t="shared" si="94"/>
        <v>498.65724817093934</v>
      </c>
      <c r="S41" s="196">
        <f t="shared" si="146"/>
        <v>1525.8175483982634</v>
      </c>
      <c r="T41" s="197">
        <f t="shared" si="95"/>
        <v>1263.4417471152447</v>
      </c>
      <c r="U41" s="197">
        <f t="shared" si="95"/>
        <v>4301.6895266184392</v>
      </c>
      <c r="V41" s="197">
        <f t="shared" si="95"/>
        <v>-2775.8719782201761</v>
      </c>
      <c r="W41" s="199">
        <f t="shared" si="95"/>
        <v>-1512.4302311049314</v>
      </c>
      <c r="X41" s="197"/>
      <c r="Z41" s="900">
        <v>4</v>
      </c>
      <c r="AA41" s="197">
        <f t="shared" si="96"/>
        <v>14.478527607361965</v>
      </c>
      <c r="AB41" s="197">
        <f>'Energy Inputs'!$G$58*$AB$34</f>
        <v>65.625</v>
      </c>
      <c r="AC41" s="197">
        <f t="shared" si="147"/>
        <v>950.15337423312894</v>
      </c>
      <c r="AD41" s="197">
        <f>'Margins summary'!$W$14</f>
        <v>330</v>
      </c>
      <c r="AE41" s="197">
        <f t="shared" si="97"/>
        <v>1280.1533742331289</v>
      </c>
      <c r="AF41" s="197"/>
      <c r="AG41" s="918">
        <f>'Energy NPV'!U94</f>
        <v>418.53934399999991</v>
      </c>
      <c r="AH41" s="197"/>
      <c r="AI41" s="197">
        <f t="shared" si="98"/>
        <v>418.53934399999991</v>
      </c>
      <c r="AJ41" s="197">
        <f t="shared" si="80"/>
        <v>531.61403023312903</v>
      </c>
      <c r="AK41" s="197">
        <f t="shared" si="81"/>
        <v>861.61403023312903</v>
      </c>
      <c r="AL41" s="196">
        <f t="shared" si="99"/>
        <v>869.52493553570923</v>
      </c>
      <c r="AM41" s="197">
        <f t="shared" si="100"/>
        <v>301.99674758654265</v>
      </c>
      <c r="AN41" s="197">
        <f t="shared" si="101"/>
        <v>383.02278977274278</v>
      </c>
      <c r="AO41" s="197">
        <f t="shared" si="102"/>
        <v>486.50214576296645</v>
      </c>
      <c r="AP41" s="199">
        <f t="shared" si="103"/>
        <v>788.4988933495091</v>
      </c>
      <c r="AQ41" s="196">
        <f t="shared" si="148"/>
        <v>2288.7263225973948</v>
      </c>
      <c r="AR41" s="197">
        <f t="shared" si="104"/>
        <v>1263.4417471152447</v>
      </c>
      <c r="AS41" s="197">
        <f t="shared" si="105"/>
        <v>4301.6895266184392</v>
      </c>
      <c r="AT41" s="197">
        <f t="shared" si="106"/>
        <v>-2012.9632040210445</v>
      </c>
      <c r="AU41" s="199">
        <f t="shared" si="107"/>
        <v>-749.52145690579994</v>
      </c>
      <c r="AV41" s="197"/>
      <c r="AX41" s="900">
        <v>4</v>
      </c>
      <c r="AY41" s="197">
        <f t="shared" si="108"/>
        <v>14.478527607361965</v>
      </c>
      <c r="AZ41" s="197">
        <f>'Energy Inputs'!$G$58*$AZ$34</f>
        <v>21.875</v>
      </c>
      <c r="BA41" s="197">
        <f t="shared" si="149"/>
        <v>316.71779141104298</v>
      </c>
      <c r="BB41" s="197">
        <f>'Margins summary'!$W$14</f>
        <v>330</v>
      </c>
      <c r="BC41" s="197">
        <f t="shared" si="109"/>
        <v>646.71779141104298</v>
      </c>
      <c r="BD41" s="197"/>
      <c r="BE41" s="918">
        <f>'Energy NPV'!U94</f>
        <v>418.53934399999991</v>
      </c>
      <c r="BF41" s="197"/>
      <c r="BG41" s="197">
        <f t="shared" si="110"/>
        <v>418.53934399999991</v>
      </c>
      <c r="BH41" s="197">
        <f t="shared" si="82"/>
        <v>-101.82155258895693</v>
      </c>
      <c r="BI41" s="197">
        <f t="shared" si="83"/>
        <v>228.17844741104307</v>
      </c>
      <c r="BJ41" s="196">
        <f t="shared" si="111"/>
        <v>289.84164517856976</v>
      </c>
      <c r="BK41" s="197">
        <f t="shared" si="112"/>
        <v>301.99674758654265</v>
      </c>
      <c r="BL41" s="197">
        <f t="shared" si="113"/>
        <v>383.02278977274278</v>
      </c>
      <c r="BM41" s="197">
        <f t="shared" si="114"/>
        <v>-93.181144594173048</v>
      </c>
      <c r="BN41" s="199">
        <f t="shared" si="115"/>
        <v>208.81560299236961</v>
      </c>
      <c r="BO41" s="196">
        <f t="shared" si="150"/>
        <v>762.9087741991317</v>
      </c>
      <c r="BP41" s="197">
        <f t="shared" si="116"/>
        <v>1263.4417471152447</v>
      </c>
      <c r="BQ41" s="197">
        <f t="shared" si="117"/>
        <v>4301.6895266184392</v>
      </c>
      <c r="BR41" s="197">
        <f t="shared" si="118"/>
        <v>-3538.7807524193076</v>
      </c>
      <c r="BS41" s="199">
        <f t="shared" si="119"/>
        <v>-2275.339005304063</v>
      </c>
      <c r="BV41" s="900">
        <v>4</v>
      </c>
      <c r="BW41" s="197">
        <f t="shared" si="120"/>
        <v>14.478527607361965</v>
      </c>
      <c r="BX41" s="197">
        <f>'Energy Inputs'!$G$58*$BX$34</f>
        <v>87.5</v>
      </c>
      <c r="BY41" s="197">
        <f t="shared" si="151"/>
        <v>1266.8711656441719</v>
      </c>
      <c r="BZ41" s="197">
        <f>'Margins summary'!$W$14</f>
        <v>330</v>
      </c>
      <c r="CA41" s="197">
        <f t="shared" si="121"/>
        <v>1596.8711656441719</v>
      </c>
      <c r="CB41" s="197"/>
      <c r="CC41" s="918">
        <f>'Energy NPV'!U94</f>
        <v>418.53934399999991</v>
      </c>
      <c r="CD41" s="197"/>
      <c r="CE41" s="197">
        <f t="shared" si="122"/>
        <v>418.53934399999991</v>
      </c>
      <c r="CF41" s="197">
        <f t="shared" si="84"/>
        <v>848.33182164417201</v>
      </c>
      <c r="CG41" s="197">
        <f t="shared" si="85"/>
        <v>1178.3318216441721</v>
      </c>
      <c r="CH41" s="196">
        <f t="shared" si="123"/>
        <v>1159.3665807142791</v>
      </c>
      <c r="CI41" s="197">
        <f t="shared" si="124"/>
        <v>301.99674758654265</v>
      </c>
      <c r="CJ41" s="197">
        <f t="shared" si="125"/>
        <v>383.02278977274278</v>
      </c>
      <c r="CK41" s="197">
        <f t="shared" si="126"/>
        <v>776.34379094153621</v>
      </c>
      <c r="CL41" s="199">
        <f t="shared" si="127"/>
        <v>1078.3405385280789</v>
      </c>
      <c r="CM41" s="196">
        <f t="shared" si="152"/>
        <v>3051.6350967965268</v>
      </c>
      <c r="CN41" s="197">
        <f t="shared" si="128"/>
        <v>1263.4417471152447</v>
      </c>
      <c r="CO41" s="197">
        <f t="shared" si="129"/>
        <v>4301.6895266184392</v>
      </c>
      <c r="CP41" s="197">
        <f t="shared" si="130"/>
        <v>-1250.0544298219129</v>
      </c>
      <c r="CQ41" s="199">
        <f t="shared" si="131"/>
        <v>13.387317293331762</v>
      </c>
      <c r="CT41" s="204">
        <f t="shared" si="153"/>
        <v>4</v>
      </c>
      <c r="CU41" s="197">
        <f t="shared" si="132"/>
        <v>14.478527607361965</v>
      </c>
      <c r="CV41" s="197">
        <f>'Energy Inputs'!$G$58*$CV$34</f>
        <v>0</v>
      </c>
      <c r="CW41" s="197">
        <f t="shared" si="154"/>
        <v>0</v>
      </c>
      <c r="CX41" s="197">
        <f>'Margins summary'!$W$14</f>
        <v>330</v>
      </c>
      <c r="CY41" s="197">
        <f t="shared" si="133"/>
        <v>330</v>
      </c>
      <c r="CZ41" s="197"/>
      <c r="DA41" s="918">
        <f>'Energy NPV'!U94</f>
        <v>418.53934399999991</v>
      </c>
      <c r="DB41" s="197"/>
      <c r="DC41" s="197">
        <f t="shared" si="134"/>
        <v>418.53934399999991</v>
      </c>
      <c r="DD41" s="197">
        <f t="shared" si="86"/>
        <v>-418.53934399999991</v>
      </c>
      <c r="DE41" s="197">
        <f t="shared" si="87"/>
        <v>-88.539343999999915</v>
      </c>
      <c r="DF41" s="196">
        <f t="shared" si="135"/>
        <v>0</v>
      </c>
      <c r="DG41" s="197">
        <f t="shared" si="136"/>
        <v>301.99674758654265</v>
      </c>
      <c r="DH41" s="197">
        <f t="shared" si="137"/>
        <v>383.02278977274278</v>
      </c>
      <c r="DI41" s="197">
        <f t="shared" si="138"/>
        <v>-383.02278977274278</v>
      </c>
      <c r="DJ41" s="199">
        <f t="shared" si="139"/>
        <v>-81.026042186200129</v>
      </c>
      <c r="DK41" s="196">
        <f t="shared" si="155"/>
        <v>0</v>
      </c>
      <c r="DL41" s="197">
        <f t="shared" si="140"/>
        <v>1263.4417471152447</v>
      </c>
      <c r="DM41" s="197">
        <f t="shared" si="141"/>
        <v>4301.6895266184392</v>
      </c>
      <c r="DN41" s="197">
        <f t="shared" si="142"/>
        <v>-4301.6895266184392</v>
      </c>
      <c r="DO41" s="199">
        <f t="shared" si="143"/>
        <v>-3038.2477795031946</v>
      </c>
    </row>
    <row r="42" spans="2:119" x14ac:dyDescent="0.3">
      <c r="B42" s="204">
        <f t="shared" si="144"/>
        <v>5</v>
      </c>
      <c r="C42" s="197">
        <f>'Energy NPV'!$D95</f>
        <v>15</v>
      </c>
      <c r="D42" s="197">
        <f>'Energy Inputs'!$G$58*$E$34</f>
        <v>43.75</v>
      </c>
      <c r="E42" s="197">
        <f t="shared" si="145"/>
        <v>656.25</v>
      </c>
      <c r="F42" s="197">
        <f>'Margins summary'!$W$14</f>
        <v>330</v>
      </c>
      <c r="G42" s="197">
        <f t="shared" si="88"/>
        <v>986.25</v>
      </c>
      <c r="H42" s="197"/>
      <c r="I42" s="918">
        <f>'Energy NPV'!U95</f>
        <v>418.53934399999991</v>
      </c>
      <c r="J42" s="197"/>
      <c r="K42" s="197">
        <f t="shared" si="89"/>
        <v>418.53934399999991</v>
      </c>
      <c r="L42" s="197">
        <f t="shared" si="78"/>
        <v>237.71065600000009</v>
      </c>
      <c r="M42" s="197">
        <f t="shared" si="79"/>
        <v>567.71065600000009</v>
      </c>
      <c r="N42" s="196">
        <f t="shared" si="90"/>
        <v>583.06962519467083</v>
      </c>
      <c r="O42" s="197">
        <f t="shared" si="91"/>
        <v>293.20072581217738</v>
      </c>
      <c r="P42" s="197">
        <f t="shared" si="92"/>
        <v>371.86678618712898</v>
      </c>
      <c r="Q42" s="197">
        <f t="shared" si="93"/>
        <v>211.20283900754194</v>
      </c>
      <c r="R42" s="199">
        <f t="shared" si="94"/>
        <v>504.40356481971929</v>
      </c>
      <c r="S42" s="196">
        <f t="shared" si="146"/>
        <v>2108.8871735929342</v>
      </c>
      <c r="T42" s="197">
        <f t="shared" si="95"/>
        <v>1556.642472927422</v>
      </c>
      <c r="U42" s="197">
        <f t="shared" si="95"/>
        <v>4673.5563128055683</v>
      </c>
      <c r="V42" s="197">
        <f t="shared" si="95"/>
        <v>-2564.669139212634</v>
      </c>
      <c r="W42" s="199">
        <f t="shared" si="95"/>
        <v>-1008.0266662852121</v>
      </c>
      <c r="X42" s="197"/>
      <c r="Z42" s="900">
        <v>5</v>
      </c>
      <c r="AA42" s="197">
        <f t="shared" si="96"/>
        <v>15</v>
      </c>
      <c r="AB42" s="197">
        <f>'Energy Inputs'!$G$58*$AB$34</f>
        <v>65.625</v>
      </c>
      <c r="AC42" s="197">
        <f t="shared" si="147"/>
        <v>984.375</v>
      </c>
      <c r="AD42" s="197">
        <f>'Margins summary'!$W$14</f>
        <v>330</v>
      </c>
      <c r="AE42" s="197">
        <f t="shared" si="97"/>
        <v>1314.375</v>
      </c>
      <c r="AF42" s="197"/>
      <c r="AG42" s="918">
        <f>'Energy NPV'!U95</f>
        <v>418.53934399999991</v>
      </c>
      <c r="AH42" s="197"/>
      <c r="AI42" s="197">
        <f t="shared" si="98"/>
        <v>418.53934399999991</v>
      </c>
      <c r="AJ42" s="197">
        <f t="shared" si="80"/>
        <v>565.83565600000009</v>
      </c>
      <c r="AK42" s="197">
        <f t="shared" si="81"/>
        <v>895.83565600000009</v>
      </c>
      <c r="AL42" s="196">
        <f t="shared" si="99"/>
        <v>874.60443779200637</v>
      </c>
      <c r="AM42" s="197">
        <f t="shared" si="100"/>
        <v>293.20072581217738</v>
      </c>
      <c r="AN42" s="197">
        <f t="shared" si="101"/>
        <v>371.86678618712898</v>
      </c>
      <c r="AO42" s="197">
        <f t="shared" si="102"/>
        <v>502.73765160487739</v>
      </c>
      <c r="AP42" s="199">
        <f t="shared" si="103"/>
        <v>795.93837741705477</v>
      </c>
      <c r="AQ42" s="196">
        <f t="shared" si="148"/>
        <v>3163.3307603894009</v>
      </c>
      <c r="AR42" s="197">
        <f t="shared" si="104"/>
        <v>1556.642472927422</v>
      </c>
      <c r="AS42" s="197">
        <f t="shared" si="105"/>
        <v>4673.5563128055683</v>
      </c>
      <c r="AT42" s="197">
        <f t="shared" si="106"/>
        <v>-1510.2255524161671</v>
      </c>
      <c r="AU42" s="199">
        <f t="shared" si="107"/>
        <v>46.41692051125483</v>
      </c>
      <c r="AV42" s="197"/>
      <c r="AX42" s="900">
        <v>5</v>
      </c>
      <c r="AY42" s="197">
        <f t="shared" si="108"/>
        <v>15</v>
      </c>
      <c r="AZ42" s="197">
        <f>'Energy Inputs'!$G$58*$AZ$34</f>
        <v>21.875</v>
      </c>
      <c r="BA42" s="197">
        <f t="shared" si="149"/>
        <v>328.125</v>
      </c>
      <c r="BB42" s="197">
        <f>'Margins summary'!$W$14</f>
        <v>330</v>
      </c>
      <c r="BC42" s="197">
        <f t="shared" si="109"/>
        <v>658.125</v>
      </c>
      <c r="BD42" s="197"/>
      <c r="BE42" s="918">
        <f>'Energy NPV'!U95</f>
        <v>418.53934399999991</v>
      </c>
      <c r="BF42" s="197"/>
      <c r="BG42" s="197">
        <f t="shared" si="110"/>
        <v>418.53934399999991</v>
      </c>
      <c r="BH42" s="197">
        <f t="shared" si="82"/>
        <v>-90.414343999999915</v>
      </c>
      <c r="BI42" s="197">
        <f t="shared" si="83"/>
        <v>239.58565600000009</v>
      </c>
      <c r="BJ42" s="196">
        <f t="shared" si="111"/>
        <v>291.53481259733542</v>
      </c>
      <c r="BK42" s="197">
        <f t="shared" si="112"/>
        <v>293.20072581217738</v>
      </c>
      <c r="BL42" s="197">
        <f t="shared" si="113"/>
        <v>371.86678618712898</v>
      </c>
      <c r="BM42" s="197">
        <f t="shared" si="114"/>
        <v>-80.331973589793506</v>
      </c>
      <c r="BN42" s="199">
        <f t="shared" si="115"/>
        <v>212.86875222238385</v>
      </c>
      <c r="BO42" s="196">
        <f t="shared" si="150"/>
        <v>1054.4435867964671</v>
      </c>
      <c r="BP42" s="197">
        <f t="shared" si="116"/>
        <v>1556.642472927422</v>
      </c>
      <c r="BQ42" s="197">
        <f t="shared" si="117"/>
        <v>4673.5563128055683</v>
      </c>
      <c r="BR42" s="197">
        <f t="shared" si="118"/>
        <v>-3619.1127260091012</v>
      </c>
      <c r="BS42" s="199">
        <f t="shared" si="119"/>
        <v>-2062.4702530816789</v>
      </c>
      <c r="BV42" s="900">
        <v>5</v>
      </c>
      <c r="BW42" s="197">
        <f t="shared" si="120"/>
        <v>15</v>
      </c>
      <c r="BX42" s="197">
        <f>'Energy Inputs'!$G$58*$BX$34</f>
        <v>87.5</v>
      </c>
      <c r="BY42" s="197">
        <f t="shared" si="151"/>
        <v>1312.5</v>
      </c>
      <c r="BZ42" s="197">
        <f>'Margins summary'!$W$14</f>
        <v>330</v>
      </c>
      <c r="CA42" s="197">
        <f t="shared" si="121"/>
        <v>1642.5</v>
      </c>
      <c r="CB42" s="197"/>
      <c r="CC42" s="918">
        <f>'Energy NPV'!U95</f>
        <v>418.53934399999991</v>
      </c>
      <c r="CD42" s="197"/>
      <c r="CE42" s="197">
        <f t="shared" si="122"/>
        <v>418.53934399999991</v>
      </c>
      <c r="CF42" s="197">
        <f t="shared" si="84"/>
        <v>893.96065600000009</v>
      </c>
      <c r="CG42" s="197">
        <f t="shared" si="85"/>
        <v>1223.9606560000002</v>
      </c>
      <c r="CH42" s="196">
        <f t="shared" si="123"/>
        <v>1166.1392503893417</v>
      </c>
      <c r="CI42" s="197">
        <f t="shared" si="124"/>
        <v>293.20072581217738</v>
      </c>
      <c r="CJ42" s="197">
        <f t="shared" si="125"/>
        <v>371.86678618712898</v>
      </c>
      <c r="CK42" s="197">
        <f t="shared" si="126"/>
        <v>794.27246420221286</v>
      </c>
      <c r="CL42" s="199">
        <f t="shared" si="127"/>
        <v>1087.4731900143902</v>
      </c>
      <c r="CM42" s="196">
        <f t="shared" si="152"/>
        <v>4217.7743471858685</v>
      </c>
      <c r="CN42" s="197">
        <f t="shared" si="128"/>
        <v>1556.642472927422</v>
      </c>
      <c r="CO42" s="197">
        <f t="shared" si="129"/>
        <v>4673.5563128055683</v>
      </c>
      <c r="CP42" s="197">
        <f t="shared" si="130"/>
        <v>-455.78196561970003</v>
      </c>
      <c r="CQ42" s="199">
        <f t="shared" si="131"/>
        <v>1100.8605073077219</v>
      </c>
      <c r="CT42" s="204">
        <f t="shared" si="153"/>
        <v>5</v>
      </c>
      <c r="CU42" s="197">
        <f t="shared" si="132"/>
        <v>15</v>
      </c>
      <c r="CV42" s="197">
        <f>'Energy Inputs'!$G$58*$CV$34</f>
        <v>0</v>
      </c>
      <c r="CW42" s="197">
        <f t="shared" si="154"/>
        <v>0</v>
      </c>
      <c r="CX42" s="197">
        <f>'Margins summary'!$W$14</f>
        <v>330</v>
      </c>
      <c r="CY42" s="197">
        <f t="shared" si="133"/>
        <v>330</v>
      </c>
      <c r="CZ42" s="197"/>
      <c r="DA42" s="918">
        <f>'Energy NPV'!U95</f>
        <v>418.53934399999991</v>
      </c>
      <c r="DB42" s="197"/>
      <c r="DC42" s="197">
        <f t="shared" si="134"/>
        <v>418.53934399999991</v>
      </c>
      <c r="DD42" s="197">
        <f t="shared" si="86"/>
        <v>-418.53934399999991</v>
      </c>
      <c r="DE42" s="197">
        <f t="shared" si="87"/>
        <v>-88.539343999999915</v>
      </c>
      <c r="DF42" s="196">
        <f t="shared" si="135"/>
        <v>0</v>
      </c>
      <c r="DG42" s="197">
        <f t="shared" si="136"/>
        <v>293.20072581217738</v>
      </c>
      <c r="DH42" s="197">
        <f t="shared" si="137"/>
        <v>371.86678618712898</v>
      </c>
      <c r="DI42" s="197">
        <f t="shared" si="138"/>
        <v>-371.86678618712898</v>
      </c>
      <c r="DJ42" s="199">
        <f t="shared" si="139"/>
        <v>-78.666060374951599</v>
      </c>
      <c r="DK42" s="196">
        <f t="shared" si="155"/>
        <v>0</v>
      </c>
      <c r="DL42" s="197">
        <f t="shared" si="140"/>
        <v>1556.642472927422</v>
      </c>
      <c r="DM42" s="197">
        <f t="shared" si="141"/>
        <v>4673.5563128055683</v>
      </c>
      <c r="DN42" s="197">
        <f t="shared" si="142"/>
        <v>-4673.5563128055683</v>
      </c>
      <c r="DO42" s="199">
        <f t="shared" si="143"/>
        <v>-3116.9138398781461</v>
      </c>
    </row>
    <row r="43" spans="2:119" x14ac:dyDescent="0.3">
      <c r="B43" s="204">
        <f t="shared" si="144"/>
        <v>6</v>
      </c>
      <c r="C43" s="197">
        <f>'Energy NPV'!$D96</f>
        <v>15</v>
      </c>
      <c r="D43" s="197">
        <f>'Energy Inputs'!$G$58*$E$34</f>
        <v>43.75</v>
      </c>
      <c r="E43" s="197">
        <f t="shared" si="145"/>
        <v>656.25</v>
      </c>
      <c r="F43" s="197">
        <f>'Margins summary'!$W$14</f>
        <v>330</v>
      </c>
      <c r="G43" s="197">
        <f t="shared" si="88"/>
        <v>986.25</v>
      </c>
      <c r="H43" s="197"/>
      <c r="I43" s="918">
        <f>'Energy NPV'!U96</f>
        <v>418.53934399999991</v>
      </c>
      <c r="J43" s="197"/>
      <c r="K43" s="197">
        <f t="shared" si="89"/>
        <v>418.53934399999991</v>
      </c>
      <c r="L43" s="197">
        <f t="shared" si="78"/>
        <v>237.71065600000009</v>
      </c>
      <c r="M43" s="197">
        <f t="shared" si="79"/>
        <v>567.71065600000009</v>
      </c>
      <c r="N43" s="196">
        <f t="shared" si="90"/>
        <v>566.08701475210773</v>
      </c>
      <c r="O43" s="197">
        <f t="shared" si="91"/>
        <v>284.66089884677416</v>
      </c>
      <c r="P43" s="197">
        <f t="shared" si="92"/>
        <v>361.03571474478542</v>
      </c>
      <c r="Q43" s="197">
        <f t="shared" si="93"/>
        <v>205.05130000732228</v>
      </c>
      <c r="R43" s="199">
        <f t="shared" si="94"/>
        <v>489.71219885409641</v>
      </c>
      <c r="S43" s="196">
        <f t="shared" si="146"/>
        <v>2674.974188345042</v>
      </c>
      <c r="T43" s="197">
        <f t="shared" si="95"/>
        <v>1841.3033717741962</v>
      </c>
      <c r="U43" s="197">
        <f t="shared" si="95"/>
        <v>5034.592027550354</v>
      </c>
      <c r="V43" s="197">
        <f t="shared" si="95"/>
        <v>-2359.6178392053116</v>
      </c>
      <c r="W43" s="199">
        <f t="shared" si="95"/>
        <v>-518.31446743111565</v>
      </c>
      <c r="X43" s="197"/>
      <c r="Z43" s="900">
        <v>6</v>
      </c>
      <c r="AA43" s="197">
        <f t="shared" si="96"/>
        <v>15</v>
      </c>
      <c r="AB43" s="197">
        <f>'Energy Inputs'!$G$58*$AB$34</f>
        <v>65.625</v>
      </c>
      <c r="AC43" s="197">
        <f t="shared" si="147"/>
        <v>984.375</v>
      </c>
      <c r="AD43" s="197">
        <f>'Margins summary'!$W$14</f>
        <v>330</v>
      </c>
      <c r="AE43" s="197">
        <f t="shared" si="97"/>
        <v>1314.375</v>
      </c>
      <c r="AF43" s="197"/>
      <c r="AG43" s="918">
        <f>'Energy NPV'!U96</f>
        <v>418.53934399999991</v>
      </c>
      <c r="AH43" s="197"/>
      <c r="AI43" s="197">
        <f t="shared" si="98"/>
        <v>418.53934399999991</v>
      </c>
      <c r="AJ43" s="197">
        <f t="shared" si="80"/>
        <v>565.83565600000009</v>
      </c>
      <c r="AK43" s="197">
        <f t="shared" si="81"/>
        <v>895.83565600000009</v>
      </c>
      <c r="AL43" s="196">
        <f t="shared" si="99"/>
        <v>849.13052212816149</v>
      </c>
      <c r="AM43" s="197">
        <f t="shared" si="100"/>
        <v>284.66089884677416</v>
      </c>
      <c r="AN43" s="197">
        <f t="shared" si="101"/>
        <v>361.03571474478542</v>
      </c>
      <c r="AO43" s="197">
        <f t="shared" si="102"/>
        <v>488.09480738337612</v>
      </c>
      <c r="AP43" s="199">
        <f t="shared" si="103"/>
        <v>772.75570623015028</v>
      </c>
      <c r="AQ43" s="196">
        <f t="shared" si="148"/>
        <v>4012.4612825175623</v>
      </c>
      <c r="AR43" s="197">
        <f t="shared" si="104"/>
        <v>1841.3033717741962</v>
      </c>
      <c r="AS43" s="197">
        <f t="shared" si="105"/>
        <v>5034.592027550354</v>
      </c>
      <c r="AT43" s="197">
        <f t="shared" si="106"/>
        <v>-1022.1307450327911</v>
      </c>
      <c r="AU43" s="199">
        <f t="shared" si="107"/>
        <v>819.17262674140511</v>
      </c>
      <c r="AV43" s="197"/>
      <c r="AX43" s="900">
        <v>6</v>
      </c>
      <c r="AY43" s="197">
        <f t="shared" si="108"/>
        <v>15</v>
      </c>
      <c r="AZ43" s="197">
        <f>'Energy Inputs'!$G$58*$AZ$34</f>
        <v>21.875</v>
      </c>
      <c r="BA43" s="197">
        <f t="shared" si="149"/>
        <v>328.125</v>
      </c>
      <c r="BB43" s="197">
        <f>'Margins summary'!$W$14</f>
        <v>330</v>
      </c>
      <c r="BC43" s="197">
        <f t="shared" si="109"/>
        <v>658.125</v>
      </c>
      <c r="BD43" s="197"/>
      <c r="BE43" s="918">
        <f>'Energy NPV'!U96</f>
        <v>418.53934399999991</v>
      </c>
      <c r="BF43" s="197"/>
      <c r="BG43" s="197">
        <f t="shared" si="110"/>
        <v>418.53934399999991</v>
      </c>
      <c r="BH43" s="197">
        <f t="shared" si="82"/>
        <v>-90.414343999999915</v>
      </c>
      <c r="BI43" s="197">
        <f t="shared" si="83"/>
        <v>239.58565600000009</v>
      </c>
      <c r="BJ43" s="196">
        <f t="shared" si="111"/>
        <v>283.04350737605387</v>
      </c>
      <c r="BK43" s="197">
        <f t="shared" si="112"/>
        <v>284.66089884677416</v>
      </c>
      <c r="BL43" s="197">
        <f t="shared" si="113"/>
        <v>361.03571474478542</v>
      </c>
      <c r="BM43" s="197">
        <f t="shared" si="114"/>
        <v>-77.99220736873157</v>
      </c>
      <c r="BN43" s="199">
        <f t="shared" si="115"/>
        <v>206.66869147804258</v>
      </c>
      <c r="BO43" s="196">
        <f t="shared" si="150"/>
        <v>1337.487094172521</v>
      </c>
      <c r="BP43" s="197">
        <f t="shared" si="116"/>
        <v>1841.3033717741962</v>
      </c>
      <c r="BQ43" s="197">
        <f t="shared" si="117"/>
        <v>5034.592027550354</v>
      </c>
      <c r="BR43" s="197">
        <f t="shared" si="118"/>
        <v>-3697.1049333778328</v>
      </c>
      <c r="BS43" s="199">
        <f t="shared" si="119"/>
        <v>-1855.8015616036364</v>
      </c>
      <c r="BV43" s="900">
        <v>6</v>
      </c>
      <c r="BW43" s="197">
        <f t="shared" si="120"/>
        <v>15</v>
      </c>
      <c r="BX43" s="197">
        <f>'Energy Inputs'!$G$58*$BX$34</f>
        <v>87.5</v>
      </c>
      <c r="BY43" s="197">
        <f t="shared" si="151"/>
        <v>1312.5</v>
      </c>
      <c r="BZ43" s="197">
        <f>'Margins summary'!$W$14</f>
        <v>330</v>
      </c>
      <c r="CA43" s="197">
        <f t="shared" si="121"/>
        <v>1642.5</v>
      </c>
      <c r="CB43" s="197"/>
      <c r="CC43" s="918">
        <f>'Energy NPV'!U96</f>
        <v>418.53934399999991</v>
      </c>
      <c r="CD43" s="197"/>
      <c r="CE43" s="197">
        <f t="shared" si="122"/>
        <v>418.53934399999991</v>
      </c>
      <c r="CF43" s="197">
        <f t="shared" si="84"/>
        <v>893.96065600000009</v>
      </c>
      <c r="CG43" s="197">
        <f t="shared" si="85"/>
        <v>1223.9606560000002</v>
      </c>
      <c r="CH43" s="196">
        <f t="shared" si="123"/>
        <v>1132.1740295042155</v>
      </c>
      <c r="CI43" s="197">
        <f t="shared" si="124"/>
        <v>284.66089884677416</v>
      </c>
      <c r="CJ43" s="197">
        <f t="shared" si="125"/>
        <v>361.03571474478542</v>
      </c>
      <c r="CK43" s="197">
        <f t="shared" si="126"/>
        <v>771.13831475942993</v>
      </c>
      <c r="CL43" s="199">
        <f t="shared" si="127"/>
        <v>1055.7992136062041</v>
      </c>
      <c r="CM43" s="196">
        <f t="shared" si="152"/>
        <v>5349.9483766900839</v>
      </c>
      <c r="CN43" s="197">
        <f t="shared" si="128"/>
        <v>1841.3033717741962</v>
      </c>
      <c r="CO43" s="197">
        <f t="shared" si="129"/>
        <v>5034.592027550354</v>
      </c>
      <c r="CP43" s="197">
        <f t="shared" si="130"/>
        <v>315.3563491397299</v>
      </c>
      <c r="CQ43" s="199">
        <f t="shared" si="131"/>
        <v>2156.6597209139263</v>
      </c>
      <c r="CT43" s="204">
        <f t="shared" si="153"/>
        <v>6</v>
      </c>
      <c r="CU43" s="197">
        <f t="shared" si="132"/>
        <v>15</v>
      </c>
      <c r="CV43" s="197">
        <f>'Energy Inputs'!$G$58*$CV$34</f>
        <v>0</v>
      </c>
      <c r="CW43" s="197">
        <f t="shared" si="154"/>
        <v>0</v>
      </c>
      <c r="CX43" s="197">
        <f>'Margins summary'!$W$14</f>
        <v>330</v>
      </c>
      <c r="CY43" s="197">
        <f t="shared" si="133"/>
        <v>330</v>
      </c>
      <c r="CZ43" s="197"/>
      <c r="DA43" s="918">
        <f>'Energy NPV'!U96</f>
        <v>418.53934399999991</v>
      </c>
      <c r="DB43" s="197"/>
      <c r="DC43" s="197">
        <f t="shared" si="134"/>
        <v>418.53934399999991</v>
      </c>
      <c r="DD43" s="197">
        <f t="shared" si="86"/>
        <v>-418.53934399999991</v>
      </c>
      <c r="DE43" s="197">
        <f t="shared" si="87"/>
        <v>-88.539343999999915</v>
      </c>
      <c r="DF43" s="196">
        <f t="shared" si="135"/>
        <v>0</v>
      </c>
      <c r="DG43" s="197">
        <f t="shared" si="136"/>
        <v>284.66089884677416</v>
      </c>
      <c r="DH43" s="197">
        <f t="shared" si="137"/>
        <v>361.03571474478542</v>
      </c>
      <c r="DI43" s="197">
        <f t="shared" si="138"/>
        <v>-361.03571474478542</v>
      </c>
      <c r="DJ43" s="199">
        <f t="shared" si="139"/>
        <v>-76.374815898011263</v>
      </c>
      <c r="DK43" s="196">
        <f t="shared" si="155"/>
        <v>0</v>
      </c>
      <c r="DL43" s="197">
        <f t="shared" si="140"/>
        <v>1841.3033717741962</v>
      </c>
      <c r="DM43" s="197">
        <f t="shared" si="141"/>
        <v>5034.592027550354</v>
      </c>
      <c r="DN43" s="197">
        <f t="shared" si="142"/>
        <v>-5034.592027550354</v>
      </c>
      <c r="DO43" s="199">
        <f t="shared" si="143"/>
        <v>-3193.2886557761572</v>
      </c>
    </row>
    <row r="44" spans="2:119" x14ac:dyDescent="0.3">
      <c r="B44" s="204">
        <f t="shared" si="144"/>
        <v>7</v>
      </c>
      <c r="C44" s="197">
        <f>'Energy NPV'!$D97</f>
        <v>15</v>
      </c>
      <c r="D44" s="197">
        <f>'Energy Inputs'!$G$58*$E$34</f>
        <v>43.75</v>
      </c>
      <c r="E44" s="197">
        <f t="shared" si="145"/>
        <v>656.25</v>
      </c>
      <c r="F44" s="197">
        <f>'Margins summary'!$W$14</f>
        <v>330</v>
      </c>
      <c r="G44" s="197">
        <f t="shared" si="88"/>
        <v>986.25</v>
      </c>
      <c r="H44" s="197"/>
      <c r="I44" s="918">
        <f>'Energy NPV'!U97</f>
        <v>418.53934399999991</v>
      </c>
      <c r="J44" s="197"/>
      <c r="K44" s="197">
        <f t="shared" si="89"/>
        <v>418.53934399999991</v>
      </c>
      <c r="L44" s="197">
        <f t="shared" si="78"/>
        <v>237.71065600000009</v>
      </c>
      <c r="M44" s="197">
        <f t="shared" si="79"/>
        <v>567.71065600000009</v>
      </c>
      <c r="N44" s="196">
        <f t="shared" si="90"/>
        <v>549.59904344864822</v>
      </c>
      <c r="O44" s="197">
        <f t="shared" si="91"/>
        <v>276.36980470560593</v>
      </c>
      <c r="P44" s="197">
        <f t="shared" si="92"/>
        <v>350.52011140270429</v>
      </c>
      <c r="Q44" s="197">
        <f t="shared" si="93"/>
        <v>199.07893204594396</v>
      </c>
      <c r="R44" s="199">
        <f t="shared" si="94"/>
        <v>475.44873675154992</v>
      </c>
      <c r="S44" s="196">
        <f t="shared" si="146"/>
        <v>3224.57323179369</v>
      </c>
      <c r="T44" s="197">
        <f t="shared" si="95"/>
        <v>2117.6731764798024</v>
      </c>
      <c r="U44" s="197">
        <f t="shared" si="95"/>
        <v>5385.1121389530581</v>
      </c>
      <c r="V44" s="197">
        <f t="shared" si="95"/>
        <v>-2160.5389071593677</v>
      </c>
      <c r="W44" s="199">
        <f t="shared" si="95"/>
        <v>-42.865730679565729</v>
      </c>
      <c r="X44" s="197"/>
      <c r="Z44" s="900">
        <v>7</v>
      </c>
      <c r="AA44" s="197">
        <f t="shared" si="96"/>
        <v>15</v>
      </c>
      <c r="AB44" s="197">
        <f>'Energy Inputs'!$G$58*$AB$34</f>
        <v>65.625</v>
      </c>
      <c r="AC44" s="197">
        <f t="shared" si="147"/>
        <v>984.375</v>
      </c>
      <c r="AD44" s="197">
        <f>'Margins summary'!$W$14</f>
        <v>330</v>
      </c>
      <c r="AE44" s="197">
        <f t="shared" si="97"/>
        <v>1314.375</v>
      </c>
      <c r="AF44" s="197"/>
      <c r="AG44" s="918">
        <f>'Energy NPV'!U97</f>
        <v>418.53934399999991</v>
      </c>
      <c r="AH44" s="197"/>
      <c r="AI44" s="197">
        <f t="shared" si="98"/>
        <v>418.53934399999991</v>
      </c>
      <c r="AJ44" s="197">
        <f t="shared" si="80"/>
        <v>565.83565600000009</v>
      </c>
      <c r="AK44" s="197">
        <f t="shared" si="81"/>
        <v>895.83565600000009</v>
      </c>
      <c r="AL44" s="196">
        <f t="shared" si="99"/>
        <v>824.39856517297233</v>
      </c>
      <c r="AM44" s="197">
        <f t="shared" si="100"/>
        <v>276.36980470560593</v>
      </c>
      <c r="AN44" s="197">
        <f t="shared" si="101"/>
        <v>350.52011140270429</v>
      </c>
      <c r="AO44" s="197">
        <f t="shared" si="102"/>
        <v>473.87845377026804</v>
      </c>
      <c r="AP44" s="199">
        <f t="shared" si="103"/>
        <v>750.24825847587397</v>
      </c>
      <c r="AQ44" s="196">
        <f t="shared" si="148"/>
        <v>4836.8598476905345</v>
      </c>
      <c r="AR44" s="197">
        <f t="shared" si="104"/>
        <v>2117.6731764798024</v>
      </c>
      <c r="AS44" s="197">
        <f t="shared" si="105"/>
        <v>5385.1121389530581</v>
      </c>
      <c r="AT44" s="197">
        <f t="shared" si="106"/>
        <v>-548.25229126252304</v>
      </c>
      <c r="AU44" s="199">
        <f t="shared" si="107"/>
        <v>1569.4208852172792</v>
      </c>
      <c r="AV44" s="197"/>
      <c r="AX44" s="900">
        <v>7</v>
      </c>
      <c r="AY44" s="197">
        <f t="shared" si="108"/>
        <v>15</v>
      </c>
      <c r="AZ44" s="197">
        <f>'Energy Inputs'!$G$58*$AZ$34</f>
        <v>21.875</v>
      </c>
      <c r="BA44" s="197">
        <f t="shared" si="149"/>
        <v>328.125</v>
      </c>
      <c r="BB44" s="197">
        <f>'Margins summary'!$W$14</f>
        <v>330</v>
      </c>
      <c r="BC44" s="197">
        <f t="shared" si="109"/>
        <v>658.125</v>
      </c>
      <c r="BD44" s="197"/>
      <c r="BE44" s="918">
        <f>'Energy NPV'!U97</f>
        <v>418.53934399999991</v>
      </c>
      <c r="BF44" s="197"/>
      <c r="BG44" s="197">
        <f t="shared" si="110"/>
        <v>418.53934399999991</v>
      </c>
      <c r="BH44" s="197">
        <f t="shared" si="82"/>
        <v>-90.414343999999915</v>
      </c>
      <c r="BI44" s="197">
        <f t="shared" si="83"/>
        <v>239.58565600000009</v>
      </c>
      <c r="BJ44" s="196">
        <f t="shared" si="111"/>
        <v>274.79952172432411</v>
      </c>
      <c r="BK44" s="197">
        <f t="shared" si="112"/>
        <v>276.36980470560593</v>
      </c>
      <c r="BL44" s="197">
        <f t="shared" si="113"/>
        <v>350.52011140270429</v>
      </c>
      <c r="BM44" s="197">
        <f t="shared" si="114"/>
        <v>-75.720589678380165</v>
      </c>
      <c r="BN44" s="199">
        <f t="shared" si="115"/>
        <v>200.64921502722581</v>
      </c>
      <c r="BO44" s="196">
        <f t="shared" si="150"/>
        <v>1612.286615896845</v>
      </c>
      <c r="BP44" s="197">
        <f t="shared" si="116"/>
        <v>2117.6731764798024</v>
      </c>
      <c r="BQ44" s="197">
        <f t="shared" si="117"/>
        <v>5385.1121389530581</v>
      </c>
      <c r="BR44" s="197">
        <f t="shared" si="118"/>
        <v>-3772.8255230562131</v>
      </c>
      <c r="BS44" s="199">
        <f t="shared" si="119"/>
        <v>-1655.1523465764105</v>
      </c>
      <c r="BV44" s="900">
        <v>7</v>
      </c>
      <c r="BW44" s="197">
        <f t="shared" si="120"/>
        <v>15</v>
      </c>
      <c r="BX44" s="197">
        <f>'Energy Inputs'!$G$58*$BX$34</f>
        <v>87.5</v>
      </c>
      <c r="BY44" s="197">
        <f t="shared" si="151"/>
        <v>1312.5</v>
      </c>
      <c r="BZ44" s="197">
        <f>'Margins summary'!$W$14</f>
        <v>330</v>
      </c>
      <c r="CA44" s="197">
        <f t="shared" si="121"/>
        <v>1642.5</v>
      </c>
      <c r="CB44" s="197"/>
      <c r="CC44" s="918">
        <f>'Energy NPV'!U97</f>
        <v>418.53934399999991</v>
      </c>
      <c r="CD44" s="197"/>
      <c r="CE44" s="197">
        <f t="shared" si="122"/>
        <v>418.53934399999991</v>
      </c>
      <c r="CF44" s="197">
        <f t="shared" si="84"/>
        <v>893.96065600000009</v>
      </c>
      <c r="CG44" s="197">
        <f t="shared" si="85"/>
        <v>1223.9606560000002</v>
      </c>
      <c r="CH44" s="196">
        <f t="shared" si="123"/>
        <v>1099.1980868972964</v>
      </c>
      <c r="CI44" s="197">
        <f t="shared" si="124"/>
        <v>276.36980470560593</v>
      </c>
      <c r="CJ44" s="197">
        <f t="shared" si="125"/>
        <v>350.52011140270429</v>
      </c>
      <c r="CK44" s="197">
        <f t="shared" si="126"/>
        <v>748.67797549459215</v>
      </c>
      <c r="CL44" s="199">
        <f t="shared" si="127"/>
        <v>1025.0477802001983</v>
      </c>
      <c r="CM44" s="196">
        <f t="shared" si="152"/>
        <v>6449.1464635873799</v>
      </c>
      <c r="CN44" s="197">
        <f t="shared" si="128"/>
        <v>2117.6731764798024</v>
      </c>
      <c r="CO44" s="197">
        <f t="shared" si="129"/>
        <v>5385.1121389530581</v>
      </c>
      <c r="CP44" s="197">
        <f t="shared" si="130"/>
        <v>1064.034324634322</v>
      </c>
      <c r="CQ44" s="199">
        <f t="shared" si="131"/>
        <v>3181.7075011141246</v>
      </c>
      <c r="CT44" s="204">
        <f t="shared" si="153"/>
        <v>7</v>
      </c>
      <c r="CU44" s="197">
        <f t="shared" si="132"/>
        <v>15</v>
      </c>
      <c r="CV44" s="197">
        <f>'Energy Inputs'!$G$58*$CV$34</f>
        <v>0</v>
      </c>
      <c r="CW44" s="197">
        <f t="shared" si="154"/>
        <v>0</v>
      </c>
      <c r="CX44" s="197">
        <f>'Margins summary'!$W$14</f>
        <v>330</v>
      </c>
      <c r="CY44" s="197">
        <f t="shared" si="133"/>
        <v>330</v>
      </c>
      <c r="CZ44" s="197"/>
      <c r="DA44" s="918">
        <f>'Energy NPV'!U97</f>
        <v>418.53934399999991</v>
      </c>
      <c r="DB44" s="197"/>
      <c r="DC44" s="197">
        <f t="shared" si="134"/>
        <v>418.53934399999991</v>
      </c>
      <c r="DD44" s="197">
        <f t="shared" si="86"/>
        <v>-418.53934399999991</v>
      </c>
      <c r="DE44" s="197">
        <f t="shared" si="87"/>
        <v>-88.539343999999915</v>
      </c>
      <c r="DF44" s="196">
        <f t="shared" si="135"/>
        <v>0</v>
      </c>
      <c r="DG44" s="197">
        <f t="shared" si="136"/>
        <v>276.36980470560593</v>
      </c>
      <c r="DH44" s="197">
        <f t="shared" si="137"/>
        <v>350.52011140270429</v>
      </c>
      <c r="DI44" s="197">
        <f t="shared" si="138"/>
        <v>-350.52011140270429</v>
      </c>
      <c r="DJ44" s="199">
        <f t="shared" si="139"/>
        <v>-74.150306697098301</v>
      </c>
      <c r="DK44" s="196">
        <f t="shared" si="155"/>
        <v>0</v>
      </c>
      <c r="DL44" s="197">
        <f t="shared" si="140"/>
        <v>2117.6731764798024</v>
      </c>
      <c r="DM44" s="197">
        <f t="shared" si="141"/>
        <v>5385.1121389530581</v>
      </c>
      <c r="DN44" s="197">
        <f t="shared" si="142"/>
        <v>-5385.1121389530581</v>
      </c>
      <c r="DO44" s="199">
        <f t="shared" si="143"/>
        <v>-3267.4389624732553</v>
      </c>
    </row>
    <row r="45" spans="2:119" x14ac:dyDescent="0.3">
      <c r="B45" s="204">
        <f t="shared" si="144"/>
        <v>8</v>
      </c>
      <c r="C45" s="197">
        <f>'Energy NPV'!$D98</f>
        <v>15</v>
      </c>
      <c r="D45" s="197">
        <f>'Energy Inputs'!$G$58*$E$34</f>
        <v>43.75</v>
      </c>
      <c r="E45" s="197">
        <f t="shared" si="145"/>
        <v>656.25</v>
      </c>
      <c r="F45" s="197">
        <f>'Margins summary'!$W$14</f>
        <v>330</v>
      </c>
      <c r="G45" s="197">
        <f t="shared" si="88"/>
        <v>986.25</v>
      </c>
      <c r="H45" s="197"/>
      <c r="I45" s="918">
        <f>'Energy NPV'!U98</f>
        <v>418.53934399999991</v>
      </c>
      <c r="J45" s="197"/>
      <c r="K45" s="197">
        <f t="shared" si="89"/>
        <v>418.53934399999991</v>
      </c>
      <c r="L45" s="197">
        <f t="shared" si="78"/>
        <v>237.71065600000009</v>
      </c>
      <c r="M45" s="197">
        <f t="shared" si="79"/>
        <v>567.71065600000009</v>
      </c>
      <c r="N45" s="196">
        <f t="shared" si="90"/>
        <v>533.5913043190759</v>
      </c>
      <c r="O45" s="197">
        <f t="shared" si="91"/>
        <v>268.32019874330672</v>
      </c>
      <c r="P45" s="197">
        <f t="shared" si="92"/>
        <v>340.31078776961579</v>
      </c>
      <c r="Q45" s="197">
        <f t="shared" si="93"/>
        <v>193.28051654946015</v>
      </c>
      <c r="R45" s="199">
        <f t="shared" si="94"/>
        <v>461.60071529276689</v>
      </c>
      <c r="S45" s="196">
        <f t="shared" si="146"/>
        <v>3758.1645361127657</v>
      </c>
      <c r="T45" s="197">
        <f t="shared" si="95"/>
        <v>2385.9933752231091</v>
      </c>
      <c r="U45" s="197">
        <f t="shared" si="95"/>
        <v>5725.4229267226738</v>
      </c>
      <c r="V45" s="197">
        <f t="shared" si="95"/>
        <v>-1967.2583906099076</v>
      </c>
      <c r="W45" s="199">
        <f t="shared" si="95"/>
        <v>418.73498461320116</v>
      </c>
      <c r="X45" s="197"/>
      <c r="Z45" s="900">
        <v>8</v>
      </c>
      <c r="AA45" s="197">
        <f t="shared" si="96"/>
        <v>15</v>
      </c>
      <c r="AB45" s="197">
        <f>'Energy Inputs'!$G$58*$AB$34</f>
        <v>65.625</v>
      </c>
      <c r="AC45" s="197">
        <f t="shared" si="147"/>
        <v>984.375</v>
      </c>
      <c r="AD45" s="197">
        <f>'Margins summary'!$W$14</f>
        <v>330</v>
      </c>
      <c r="AE45" s="197">
        <f t="shared" si="97"/>
        <v>1314.375</v>
      </c>
      <c r="AF45" s="197"/>
      <c r="AG45" s="918">
        <f>'Energy NPV'!U98</f>
        <v>418.53934399999991</v>
      </c>
      <c r="AH45" s="197"/>
      <c r="AI45" s="197">
        <f t="shared" si="98"/>
        <v>418.53934399999991</v>
      </c>
      <c r="AJ45" s="197">
        <f t="shared" si="80"/>
        <v>565.83565600000009</v>
      </c>
      <c r="AK45" s="197">
        <f t="shared" si="81"/>
        <v>895.83565600000009</v>
      </c>
      <c r="AL45" s="196">
        <f t="shared" si="99"/>
        <v>800.3869564786138</v>
      </c>
      <c r="AM45" s="197">
        <f t="shared" si="100"/>
        <v>268.32019874330672</v>
      </c>
      <c r="AN45" s="197">
        <f t="shared" si="101"/>
        <v>340.31078776961579</v>
      </c>
      <c r="AO45" s="197">
        <f t="shared" si="102"/>
        <v>460.07616870899807</v>
      </c>
      <c r="AP45" s="199">
        <f t="shared" si="103"/>
        <v>728.39636745230484</v>
      </c>
      <c r="AQ45" s="196">
        <f t="shared" si="148"/>
        <v>5637.2468041691482</v>
      </c>
      <c r="AR45" s="197">
        <f t="shared" si="104"/>
        <v>2385.9933752231091</v>
      </c>
      <c r="AS45" s="197">
        <f t="shared" si="105"/>
        <v>5725.4229267226738</v>
      </c>
      <c r="AT45" s="197">
        <f t="shared" si="106"/>
        <v>-88.176122553524976</v>
      </c>
      <c r="AU45" s="199">
        <f t="shared" si="107"/>
        <v>2297.8172526695839</v>
      </c>
      <c r="AV45" s="197"/>
      <c r="AX45" s="900">
        <v>8</v>
      </c>
      <c r="AY45" s="197">
        <f t="shared" si="108"/>
        <v>15</v>
      </c>
      <c r="AZ45" s="197">
        <f>'Energy Inputs'!$G$58*$AZ$34</f>
        <v>21.875</v>
      </c>
      <c r="BA45" s="197">
        <f t="shared" si="149"/>
        <v>328.125</v>
      </c>
      <c r="BB45" s="197">
        <f>'Margins summary'!$W$14</f>
        <v>330</v>
      </c>
      <c r="BC45" s="197">
        <f t="shared" si="109"/>
        <v>658.125</v>
      </c>
      <c r="BD45" s="197"/>
      <c r="BE45" s="918">
        <f>'Energy NPV'!U98</f>
        <v>418.53934399999991</v>
      </c>
      <c r="BF45" s="197"/>
      <c r="BG45" s="197">
        <f t="shared" si="110"/>
        <v>418.53934399999991</v>
      </c>
      <c r="BH45" s="197">
        <f t="shared" si="82"/>
        <v>-90.414343999999915</v>
      </c>
      <c r="BI45" s="197">
        <f t="shared" si="83"/>
        <v>239.58565600000009</v>
      </c>
      <c r="BJ45" s="196">
        <f t="shared" si="111"/>
        <v>266.79565215953795</v>
      </c>
      <c r="BK45" s="197">
        <f t="shared" si="112"/>
        <v>268.32019874330672</v>
      </c>
      <c r="BL45" s="197">
        <f t="shared" si="113"/>
        <v>340.31078776961579</v>
      </c>
      <c r="BM45" s="197">
        <f t="shared" si="114"/>
        <v>-73.51513561007782</v>
      </c>
      <c r="BN45" s="199">
        <f t="shared" si="115"/>
        <v>194.80506313322891</v>
      </c>
      <c r="BO45" s="196">
        <f t="shared" si="150"/>
        <v>1879.0822680563829</v>
      </c>
      <c r="BP45" s="197">
        <f t="shared" si="116"/>
        <v>2385.9933752231091</v>
      </c>
      <c r="BQ45" s="197">
        <f t="shared" si="117"/>
        <v>5725.4229267226738</v>
      </c>
      <c r="BR45" s="197">
        <f t="shared" si="118"/>
        <v>-3846.3406586662909</v>
      </c>
      <c r="BS45" s="199">
        <f t="shared" si="119"/>
        <v>-1460.3472834431816</v>
      </c>
      <c r="BV45" s="900">
        <v>8</v>
      </c>
      <c r="BW45" s="197">
        <f t="shared" si="120"/>
        <v>15</v>
      </c>
      <c r="BX45" s="197">
        <f>'Energy Inputs'!$G$58*$BX$34</f>
        <v>87.5</v>
      </c>
      <c r="BY45" s="197">
        <f t="shared" si="151"/>
        <v>1312.5</v>
      </c>
      <c r="BZ45" s="197">
        <f>'Margins summary'!$W$14</f>
        <v>330</v>
      </c>
      <c r="CA45" s="197">
        <f t="shared" si="121"/>
        <v>1642.5</v>
      </c>
      <c r="CB45" s="197"/>
      <c r="CC45" s="918">
        <f>'Energy NPV'!U98</f>
        <v>418.53934399999991</v>
      </c>
      <c r="CD45" s="197"/>
      <c r="CE45" s="197">
        <f t="shared" si="122"/>
        <v>418.53934399999991</v>
      </c>
      <c r="CF45" s="197">
        <f t="shared" si="84"/>
        <v>893.96065600000009</v>
      </c>
      <c r="CG45" s="197">
        <f t="shared" si="85"/>
        <v>1223.9606560000002</v>
      </c>
      <c r="CH45" s="196">
        <f t="shared" si="123"/>
        <v>1067.1826086381518</v>
      </c>
      <c r="CI45" s="197">
        <f t="shared" si="124"/>
        <v>268.32019874330672</v>
      </c>
      <c r="CJ45" s="197">
        <f t="shared" si="125"/>
        <v>340.31078776961579</v>
      </c>
      <c r="CK45" s="197">
        <f t="shared" si="126"/>
        <v>726.87182086853602</v>
      </c>
      <c r="CL45" s="199">
        <f t="shared" si="127"/>
        <v>995.19201961184285</v>
      </c>
      <c r="CM45" s="196">
        <f t="shared" si="152"/>
        <v>7516.3290722255315</v>
      </c>
      <c r="CN45" s="197">
        <f t="shared" si="128"/>
        <v>2385.9933752231091</v>
      </c>
      <c r="CO45" s="197">
        <f t="shared" si="129"/>
        <v>5725.4229267226738</v>
      </c>
      <c r="CP45" s="197">
        <f t="shared" si="130"/>
        <v>1790.9061455028582</v>
      </c>
      <c r="CQ45" s="199">
        <f t="shared" si="131"/>
        <v>4176.8995207259677</v>
      </c>
      <c r="CT45" s="204">
        <f t="shared" si="153"/>
        <v>8</v>
      </c>
      <c r="CU45" s="197">
        <f t="shared" si="132"/>
        <v>15</v>
      </c>
      <c r="CV45" s="197">
        <f>'Energy Inputs'!$G$58*$CV$34</f>
        <v>0</v>
      </c>
      <c r="CW45" s="197">
        <f t="shared" si="154"/>
        <v>0</v>
      </c>
      <c r="CX45" s="197">
        <f>'Margins summary'!$W$14</f>
        <v>330</v>
      </c>
      <c r="CY45" s="197">
        <f t="shared" si="133"/>
        <v>330</v>
      </c>
      <c r="CZ45" s="197"/>
      <c r="DA45" s="918">
        <f>'Energy NPV'!U98</f>
        <v>418.53934399999991</v>
      </c>
      <c r="DB45" s="197"/>
      <c r="DC45" s="197">
        <f t="shared" si="134"/>
        <v>418.53934399999991</v>
      </c>
      <c r="DD45" s="197">
        <f t="shared" si="86"/>
        <v>-418.53934399999991</v>
      </c>
      <c r="DE45" s="197">
        <f t="shared" si="87"/>
        <v>-88.539343999999915</v>
      </c>
      <c r="DF45" s="196">
        <f t="shared" si="135"/>
        <v>0</v>
      </c>
      <c r="DG45" s="197">
        <f t="shared" si="136"/>
        <v>268.32019874330672</v>
      </c>
      <c r="DH45" s="197">
        <f t="shared" si="137"/>
        <v>340.31078776961579</v>
      </c>
      <c r="DI45" s="197">
        <f t="shared" si="138"/>
        <v>-340.31078776961579</v>
      </c>
      <c r="DJ45" s="199">
        <f t="shared" si="139"/>
        <v>-71.990589026309024</v>
      </c>
      <c r="DK45" s="196">
        <f t="shared" si="155"/>
        <v>0</v>
      </c>
      <c r="DL45" s="197">
        <f t="shared" si="140"/>
        <v>2385.9933752231091</v>
      </c>
      <c r="DM45" s="197">
        <f t="shared" si="141"/>
        <v>5725.4229267226738</v>
      </c>
      <c r="DN45" s="197">
        <f t="shared" si="142"/>
        <v>-5725.4229267226738</v>
      </c>
      <c r="DO45" s="199">
        <f t="shared" si="143"/>
        <v>-3339.4295514995642</v>
      </c>
    </row>
    <row r="46" spans="2:119" x14ac:dyDescent="0.3">
      <c r="B46" s="204">
        <f t="shared" si="144"/>
        <v>9</v>
      </c>
      <c r="C46" s="197">
        <f>'Energy NPV'!$D99</f>
        <v>15</v>
      </c>
      <c r="D46" s="197">
        <f>'Energy Inputs'!$G$58*$E$34</f>
        <v>43.75</v>
      </c>
      <c r="E46" s="197">
        <f t="shared" si="145"/>
        <v>656.25</v>
      </c>
      <c r="F46" s="197">
        <f>'Margins summary'!$W$14</f>
        <v>330</v>
      </c>
      <c r="G46" s="197">
        <f t="shared" si="88"/>
        <v>986.25</v>
      </c>
      <c r="H46" s="197"/>
      <c r="I46" s="918">
        <f>'Energy NPV'!U99</f>
        <v>418.53934399999991</v>
      </c>
      <c r="J46" s="197"/>
      <c r="K46" s="197">
        <f t="shared" si="89"/>
        <v>418.53934399999991</v>
      </c>
      <c r="L46" s="197">
        <f t="shared" si="78"/>
        <v>237.71065600000009</v>
      </c>
      <c r="M46" s="197">
        <f t="shared" si="79"/>
        <v>567.71065600000009</v>
      </c>
      <c r="N46" s="196">
        <f t="shared" si="90"/>
        <v>518.04981001852036</v>
      </c>
      <c r="O46" s="197">
        <f t="shared" si="91"/>
        <v>260.50504732359883</v>
      </c>
      <c r="P46" s="197">
        <f t="shared" si="92"/>
        <v>330.39882307729692</v>
      </c>
      <c r="Q46" s="197">
        <f t="shared" si="93"/>
        <v>187.65098694122347</v>
      </c>
      <c r="R46" s="199">
        <f t="shared" si="94"/>
        <v>448.15603426482227</v>
      </c>
      <c r="S46" s="196">
        <f t="shared" si="146"/>
        <v>4276.2143461312862</v>
      </c>
      <c r="T46" s="197">
        <f t="shared" si="95"/>
        <v>2646.4984225467078</v>
      </c>
      <c r="U46" s="197">
        <f t="shared" si="95"/>
        <v>6055.8217497999703</v>
      </c>
      <c r="V46" s="197">
        <f t="shared" si="95"/>
        <v>-1779.6074036686841</v>
      </c>
      <c r="W46" s="199">
        <f t="shared" si="95"/>
        <v>866.89101887802349</v>
      </c>
      <c r="X46" s="197"/>
      <c r="Z46" s="900">
        <v>9</v>
      </c>
      <c r="AA46" s="197">
        <f t="shared" si="96"/>
        <v>15</v>
      </c>
      <c r="AB46" s="197">
        <f>'Energy Inputs'!$G$58*$AB$34</f>
        <v>65.625</v>
      </c>
      <c r="AC46" s="197">
        <f t="shared" si="147"/>
        <v>984.375</v>
      </c>
      <c r="AD46" s="197">
        <f>'Margins summary'!$W$14</f>
        <v>330</v>
      </c>
      <c r="AE46" s="197">
        <f t="shared" si="97"/>
        <v>1314.375</v>
      </c>
      <c r="AF46" s="197"/>
      <c r="AG46" s="918">
        <f>'Energy NPV'!U99</f>
        <v>418.53934399999991</v>
      </c>
      <c r="AH46" s="197"/>
      <c r="AI46" s="197">
        <f t="shared" si="98"/>
        <v>418.53934399999991</v>
      </c>
      <c r="AJ46" s="197">
        <f t="shared" si="80"/>
        <v>565.83565600000009</v>
      </c>
      <c r="AK46" s="197">
        <f t="shared" si="81"/>
        <v>895.83565600000009</v>
      </c>
      <c r="AL46" s="196">
        <f t="shared" si="99"/>
        <v>777.07471502778048</v>
      </c>
      <c r="AM46" s="197">
        <f t="shared" si="100"/>
        <v>260.50504732359883</v>
      </c>
      <c r="AN46" s="197">
        <f t="shared" si="101"/>
        <v>330.39882307729692</v>
      </c>
      <c r="AO46" s="197">
        <f t="shared" si="102"/>
        <v>446.67589195048362</v>
      </c>
      <c r="AP46" s="199">
        <f t="shared" si="103"/>
        <v>707.18093927408245</v>
      </c>
      <c r="AQ46" s="196">
        <f t="shared" si="148"/>
        <v>6414.3215191969284</v>
      </c>
      <c r="AR46" s="197">
        <f t="shared" si="104"/>
        <v>2646.4984225467078</v>
      </c>
      <c r="AS46" s="197">
        <f t="shared" si="105"/>
        <v>6055.8217497999703</v>
      </c>
      <c r="AT46" s="197">
        <f t="shared" si="106"/>
        <v>358.49976939695864</v>
      </c>
      <c r="AU46" s="199">
        <f t="shared" si="107"/>
        <v>3004.9981919436664</v>
      </c>
      <c r="AV46" s="197"/>
      <c r="AX46" s="900">
        <v>9</v>
      </c>
      <c r="AY46" s="197">
        <f t="shared" si="108"/>
        <v>15</v>
      </c>
      <c r="AZ46" s="197">
        <f>'Energy Inputs'!$G$58*$AZ$34</f>
        <v>21.875</v>
      </c>
      <c r="BA46" s="197">
        <f t="shared" si="149"/>
        <v>328.125</v>
      </c>
      <c r="BB46" s="197">
        <f>'Margins summary'!$W$14</f>
        <v>330</v>
      </c>
      <c r="BC46" s="197">
        <f t="shared" si="109"/>
        <v>658.125</v>
      </c>
      <c r="BD46" s="197"/>
      <c r="BE46" s="918">
        <f>'Energy NPV'!U99</f>
        <v>418.53934399999991</v>
      </c>
      <c r="BF46" s="197"/>
      <c r="BG46" s="197">
        <f t="shared" si="110"/>
        <v>418.53934399999991</v>
      </c>
      <c r="BH46" s="197">
        <f t="shared" si="82"/>
        <v>-90.414343999999915</v>
      </c>
      <c r="BI46" s="197">
        <f t="shared" si="83"/>
        <v>239.58565600000009</v>
      </c>
      <c r="BJ46" s="196">
        <f t="shared" si="111"/>
        <v>259.02490500926018</v>
      </c>
      <c r="BK46" s="197">
        <f t="shared" si="112"/>
        <v>260.50504732359883</v>
      </c>
      <c r="BL46" s="197">
        <f t="shared" si="113"/>
        <v>330.39882307729692</v>
      </c>
      <c r="BM46" s="197">
        <f t="shared" si="114"/>
        <v>-71.37391806803673</v>
      </c>
      <c r="BN46" s="199">
        <f t="shared" si="115"/>
        <v>189.13112925556209</v>
      </c>
      <c r="BO46" s="196">
        <f t="shared" si="150"/>
        <v>2138.1071730656431</v>
      </c>
      <c r="BP46" s="197">
        <f t="shared" si="116"/>
        <v>2646.4984225467078</v>
      </c>
      <c r="BQ46" s="197">
        <f t="shared" si="117"/>
        <v>6055.8217497999703</v>
      </c>
      <c r="BR46" s="197">
        <f t="shared" si="118"/>
        <v>-3917.7145767343277</v>
      </c>
      <c r="BS46" s="199">
        <f t="shared" si="119"/>
        <v>-1271.2161541876194</v>
      </c>
      <c r="BV46" s="900">
        <v>9</v>
      </c>
      <c r="BW46" s="197">
        <f t="shared" si="120"/>
        <v>15</v>
      </c>
      <c r="BX46" s="197">
        <f>'Energy Inputs'!$G$58*$BX$34</f>
        <v>87.5</v>
      </c>
      <c r="BY46" s="197">
        <f t="shared" si="151"/>
        <v>1312.5</v>
      </c>
      <c r="BZ46" s="197">
        <f>'Margins summary'!$W$14</f>
        <v>330</v>
      </c>
      <c r="CA46" s="197">
        <f t="shared" si="121"/>
        <v>1642.5</v>
      </c>
      <c r="CB46" s="197"/>
      <c r="CC46" s="918">
        <f>'Energy NPV'!U99</f>
        <v>418.53934399999991</v>
      </c>
      <c r="CD46" s="197"/>
      <c r="CE46" s="197">
        <f t="shared" si="122"/>
        <v>418.53934399999991</v>
      </c>
      <c r="CF46" s="197">
        <f t="shared" si="84"/>
        <v>893.96065600000009</v>
      </c>
      <c r="CG46" s="197">
        <f t="shared" si="85"/>
        <v>1223.9606560000002</v>
      </c>
      <c r="CH46" s="196">
        <f t="shared" si="123"/>
        <v>1036.0996200370407</v>
      </c>
      <c r="CI46" s="197">
        <f t="shared" si="124"/>
        <v>260.50504732359883</v>
      </c>
      <c r="CJ46" s="197">
        <f t="shared" si="125"/>
        <v>330.39882307729692</v>
      </c>
      <c r="CK46" s="197">
        <f t="shared" si="126"/>
        <v>705.7007969597438</v>
      </c>
      <c r="CL46" s="199">
        <f t="shared" si="127"/>
        <v>966.20584428334269</v>
      </c>
      <c r="CM46" s="196">
        <f t="shared" si="152"/>
        <v>8552.4286922625724</v>
      </c>
      <c r="CN46" s="197">
        <f t="shared" si="128"/>
        <v>2646.4984225467078</v>
      </c>
      <c r="CO46" s="197">
        <f t="shared" si="129"/>
        <v>6055.8217497999703</v>
      </c>
      <c r="CP46" s="197">
        <f t="shared" si="130"/>
        <v>2496.6069424626021</v>
      </c>
      <c r="CQ46" s="199">
        <f t="shared" si="131"/>
        <v>5143.1053650093108</v>
      </c>
      <c r="CT46" s="204">
        <f t="shared" si="153"/>
        <v>9</v>
      </c>
      <c r="CU46" s="197">
        <f t="shared" si="132"/>
        <v>15</v>
      </c>
      <c r="CV46" s="197">
        <f>'Energy Inputs'!$G$58*$CV$34</f>
        <v>0</v>
      </c>
      <c r="CW46" s="197">
        <f t="shared" si="154"/>
        <v>0</v>
      </c>
      <c r="CX46" s="197">
        <f>'Margins summary'!$W$14</f>
        <v>330</v>
      </c>
      <c r="CY46" s="197">
        <f t="shared" si="133"/>
        <v>330</v>
      </c>
      <c r="CZ46" s="197"/>
      <c r="DA46" s="918">
        <f>'Energy NPV'!U99</f>
        <v>418.53934399999991</v>
      </c>
      <c r="DB46" s="197"/>
      <c r="DC46" s="197">
        <f t="shared" si="134"/>
        <v>418.53934399999991</v>
      </c>
      <c r="DD46" s="197">
        <f t="shared" si="86"/>
        <v>-418.53934399999991</v>
      </c>
      <c r="DE46" s="197">
        <f t="shared" si="87"/>
        <v>-88.539343999999915</v>
      </c>
      <c r="DF46" s="196">
        <f t="shared" si="135"/>
        <v>0</v>
      </c>
      <c r="DG46" s="197">
        <f t="shared" si="136"/>
        <v>260.50504732359883</v>
      </c>
      <c r="DH46" s="197">
        <f t="shared" si="137"/>
        <v>330.39882307729692</v>
      </c>
      <c r="DI46" s="197">
        <f t="shared" si="138"/>
        <v>-330.39882307729692</v>
      </c>
      <c r="DJ46" s="199">
        <f t="shared" si="139"/>
        <v>-69.893775753698094</v>
      </c>
      <c r="DK46" s="196">
        <f t="shared" si="155"/>
        <v>0</v>
      </c>
      <c r="DL46" s="197">
        <f t="shared" si="140"/>
        <v>2646.4984225467078</v>
      </c>
      <c r="DM46" s="197">
        <f t="shared" si="141"/>
        <v>6055.8217497999703</v>
      </c>
      <c r="DN46" s="197">
        <f t="shared" si="142"/>
        <v>-6055.8217497999703</v>
      </c>
      <c r="DO46" s="199">
        <f t="shared" si="143"/>
        <v>-3409.3233272532625</v>
      </c>
    </row>
    <row r="47" spans="2:119" x14ac:dyDescent="0.3">
      <c r="B47" s="204">
        <f t="shared" si="144"/>
        <v>10</v>
      </c>
      <c r="C47" s="197">
        <f>'Energy NPV'!$D100</f>
        <v>15</v>
      </c>
      <c r="D47" s="197">
        <f>'Energy Inputs'!$G$58*$E$34</f>
        <v>43.75</v>
      </c>
      <c r="E47" s="197">
        <f t="shared" si="145"/>
        <v>656.25</v>
      </c>
      <c r="F47" s="197">
        <f>'Margins summary'!$W$14</f>
        <v>330</v>
      </c>
      <c r="G47" s="197">
        <f t="shared" si="88"/>
        <v>986.25</v>
      </c>
      <c r="H47" s="197"/>
      <c r="I47" s="918">
        <f>'Energy NPV'!U100</f>
        <v>418.53934399999991</v>
      </c>
      <c r="J47" s="197"/>
      <c r="K47" s="197">
        <f t="shared" si="89"/>
        <v>418.53934399999991</v>
      </c>
      <c r="L47" s="197">
        <f t="shared" si="78"/>
        <v>237.71065600000009</v>
      </c>
      <c r="M47" s="197">
        <f t="shared" si="79"/>
        <v>567.71065600000009</v>
      </c>
      <c r="N47" s="196">
        <f t="shared" si="90"/>
        <v>502.9609806005052</v>
      </c>
      <c r="O47" s="197">
        <f t="shared" si="91"/>
        <v>252.91752167339689</v>
      </c>
      <c r="P47" s="197">
        <f t="shared" si="92"/>
        <v>320.77555638572511</v>
      </c>
      <c r="Q47" s="197">
        <f t="shared" si="93"/>
        <v>182.18542421478006</v>
      </c>
      <c r="R47" s="199">
        <f t="shared" si="94"/>
        <v>435.10294588817692</v>
      </c>
      <c r="S47" s="196">
        <f t="shared" si="146"/>
        <v>4779.1753267317918</v>
      </c>
      <c r="T47" s="197">
        <f t="shared" si="95"/>
        <v>2899.4159442201048</v>
      </c>
      <c r="U47" s="197">
        <f t="shared" si="95"/>
        <v>6376.5973061856957</v>
      </c>
      <c r="V47" s="197">
        <f t="shared" si="95"/>
        <v>-1597.421979453904</v>
      </c>
      <c r="W47" s="199">
        <f t="shared" si="95"/>
        <v>1301.9939647662004</v>
      </c>
      <c r="X47" s="197"/>
      <c r="Z47" s="900">
        <v>10</v>
      </c>
      <c r="AA47" s="197">
        <f t="shared" si="96"/>
        <v>15</v>
      </c>
      <c r="AB47" s="197">
        <f>'Energy Inputs'!$G$58*$AB$34</f>
        <v>65.625</v>
      </c>
      <c r="AC47" s="197">
        <f t="shared" si="147"/>
        <v>984.375</v>
      </c>
      <c r="AD47" s="197">
        <f>'Margins summary'!$W$14</f>
        <v>330</v>
      </c>
      <c r="AE47" s="197">
        <f t="shared" si="97"/>
        <v>1314.375</v>
      </c>
      <c r="AF47" s="197"/>
      <c r="AG47" s="918">
        <f>'Energy NPV'!U100</f>
        <v>418.53934399999991</v>
      </c>
      <c r="AH47" s="197"/>
      <c r="AI47" s="197">
        <f t="shared" si="98"/>
        <v>418.53934399999991</v>
      </c>
      <c r="AJ47" s="197">
        <f t="shared" si="80"/>
        <v>565.83565600000009</v>
      </c>
      <c r="AK47" s="197">
        <f t="shared" si="81"/>
        <v>895.83565600000009</v>
      </c>
      <c r="AL47" s="196">
        <f t="shared" si="99"/>
        <v>754.44147090075774</v>
      </c>
      <c r="AM47" s="197">
        <f t="shared" si="100"/>
        <v>252.91752167339689</v>
      </c>
      <c r="AN47" s="197">
        <f t="shared" si="101"/>
        <v>320.77555638572511</v>
      </c>
      <c r="AO47" s="197">
        <f t="shared" si="102"/>
        <v>433.66591451503263</v>
      </c>
      <c r="AP47" s="199">
        <f t="shared" si="103"/>
        <v>686.58343618842957</v>
      </c>
      <c r="AQ47" s="196">
        <f t="shared" si="148"/>
        <v>7168.7629900976863</v>
      </c>
      <c r="AR47" s="197">
        <f t="shared" si="104"/>
        <v>2899.4159442201048</v>
      </c>
      <c r="AS47" s="197">
        <f t="shared" si="105"/>
        <v>6376.5973061856957</v>
      </c>
      <c r="AT47" s="197">
        <f t="shared" si="106"/>
        <v>792.16568391199121</v>
      </c>
      <c r="AU47" s="199">
        <f t="shared" si="107"/>
        <v>3691.5816281320958</v>
      </c>
      <c r="AV47" s="197"/>
      <c r="AX47" s="900">
        <v>10</v>
      </c>
      <c r="AY47" s="197">
        <f t="shared" si="108"/>
        <v>15</v>
      </c>
      <c r="AZ47" s="197">
        <f>'Energy Inputs'!$G$58*$AZ$34</f>
        <v>21.875</v>
      </c>
      <c r="BA47" s="197">
        <f t="shared" si="149"/>
        <v>328.125</v>
      </c>
      <c r="BB47" s="197">
        <f>'Margins summary'!$W$14</f>
        <v>330</v>
      </c>
      <c r="BC47" s="197">
        <f t="shared" si="109"/>
        <v>658.125</v>
      </c>
      <c r="BD47" s="197"/>
      <c r="BE47" s="918">
        <f>'Energy NPV'!U100</f>
        <v>418.53934399999991</v>
      </c>
      <c r="BF47" s="197"/>
      <c r="BG47" s="197">
        <f t="shared" si="110"/>
        <v>418.53934399999991</v>
      </c>
      <c r="BH47" s="197">
        <f t="shared" si="82"/>
        <v>-90.414343999999915</v>
      </c>
      <c r="BI47" s="197">
        <f t="shared" si="83"/>
        <v>239.58565600000009</v>
      </c>
      <c r="BJ47" s="196">
        <f t="shared" si="111"/>
        <v>251.4804903002526</v>
      </c>
      <c r="BK47" s="197">
        <f t="shared" si="112"/>
        <v>252.91752167339689</v>
      </c>
      <c r="BL47" s="197">
        <f t="shared" si="113"/>
        <v>320.77555638572511</v>
      </c>
      <c r="BM47" s="197">
        <f t="shared" si="114"/>
        <v>-69.295066085472541</v>
      </c>
      <c r="BN47" s="199">
        <f t="shared" si="115"/>
        <v>183.62245558792435</v>
      </c>
      <c r="BO47" s="196">
        <f t="shared" si="150"/>
        <v>2389.5876633658959</v>
      </c>
      <c r="BP47" s="197">
        <f t="shared" si="116"/>
        <v>2899.4159442201048</v>
      </c>
      <c r="BQ47" s="197">
        <f t="shared" si="117"/>
        <v>6376.5973061856957</v>
      </c>
      <c r="BR47" s="197">
        <f t="shared" si="118"/>
        <v>-3987.0096428198003</v>
      </c>
      <c r="BS47" s="199">
        <f t="shared" si="119"/>
        <v>-1087.593698599695</v>
      </c>
      <c r="BV47" s="900">
        <v>10</v>
      </c>
      <c r="BW47" s="197">
        <f t="shared" si="120"/>
        <v>15</v>
      </c>
      <c r="BX47" s="197">
        <f>'Energy Inputs'!$G$58*$BX$34</f>
        <v>87.5</v>
      </c>
      <c r="BY47" s="197">
        <f t="shared" si="151"/>
        <v>1312.5</v>
      </c>
      <c r="BZ47" s="197">
        <f>'Margins summary'!$W$14</f>
        <v>330</v>
      </c>
      <c r="CA47" s="197">
        <f t="shared" si="121"/>
        <v>1642.5</v>
      </c>
      <c r="CB47" s="197"/>
      <c r="CC47" s="918">
        <f>'Energy NPV'!U100</f>
        <v>418.53934399999991</v>
      </c>
      <c r="CD47" s="197"/>
      <c r="CE47" s="197">
        <f t="shared" si="122"/>
        <v>418.53934399999991</v>
      </c>
      <c r="CF47" s="197">
        <f t="shared" si="84"/>
        <v>893.96065600000009</v>
      </c>
      <c r="CG47" s="197">
        <f t="shared" si="85"/>
        <v>1223.9606560000002</v>
      </c>
      <c r="CH47" s="196">
        <f t="shared" si="123"/>
        <v>1005.9219612010104</v>
      </c>
      <c r="CI47" s="197">
        <f t="shared" si="124"/>
        <v>252.91752167339689</v>
      </c>
      <c r="CJ47" s="197">
        <f t="shared" si="125"/>
        <v>320.77555638572511</v>
      </c>
      <c r="CK47" s="197">
        <f t="shared" si="126"/>
        <v>685.14640481528522</v>
      </c>
      <c r="CL47" s="199">
        <f t="shared" si="127"/>
        <v>938.06392648868223</v>
      </c>
      <c r="CM47" s="196">
        <f t="shared" si="152"/>
        <v>9558.3506534635835</v>
      </c>
      <c r="CN47" s="197">
        <f t="shared" si="128"/>
        <v>2899.4159442201048</v>
      </c>
      <c r="CO47" s="197">
        <f t="shared" si="129"/>
        <v>6376.5973061856957</v>
      </c>
      <c r="CP47" s="197">
        <f t="shared" si="130"/>
        <v>3181.7533472778873</v>
      </c>
      <c r="CQ47" s="199">
        <f t="shared" si="131"/>
        <v>6081.1692914979931</v>
      </c>
      <c r="CT47" s="204">
        <f t="shared" si="153"/>
        <v>10</v>
      </c>
      <c r="CU47" s="197">
        <f t="shared" si="132"/>
        <v>15</v>
      </c>
      <c r="CV47" s="197">
        <f>'Energy Inputs'!$G$58*$CV$34</f>
        <v>0</v>
      </c>
      <c r="CW47" s="197">
        <f t="shared" si="154"/>
        <v>0</v>
      </c>
      <c r="CX47" s="197">
        <f>'Margins summary'!$W$14</f>
        <v>330</v>
      </c>
      <c r="CY47" s="197">
        <f t="shared" si="133"/>
        <v>330</v>
      </c>
      <c r="CZ47" s="197"/>
      <c r="DA47" s="918">
        <f>'Energy NPV'!U100</f>
        <v>418.53934399999991</v>
      </c>
      <c r="DB47" s="197"/>
      <c r="DC47" s="197">
        <f t="shared" si="134"/>
        <v>418.53934399999991</v>
      </c>
      <c r="DD47" s="197">
        <f t="shared" si="86"/>
        <v>-418.53934399999991</v>
      </c>
      <c r="DE47" s="197">
        <f t="shared" si="87"/>
        <v>-88.539343999999915</v>
      </c>
      <c r="DF47" s="196">
        <f t="shared" si="135"/>
        <v>0</v>
      </c>
      <c r="DG47" s="197">
        <f t="shared" si="136"/>
        <v>252.91752167339689</v>
      </c>
      <c r="DH47" s="197">
        <f t="shared" si="137"/>
        <v>320.77555638572511</v>
      </c>
      <c r="DI47" s="197">
        <f t="shared" si="138"/>
        <v>-320.77555638572511</v>
      </c>
      <c r="DJ47" s="199">
        <f t="shared" si="139"/>
        <v>-67.858034712328248</v>
      </c>
      <c r="DK47" s="196">
        <f t="shared" si="155"/>
        <v>0</v>
      </c>
      <c r="DL47" s="197">
        <f t="shared" si="140"/>
        <v>2899.4159442201048</v>
      </c>
      <c r="DM47" s="197">
        <f t="shared" si="141"/>
        <v>6376.5973061856957</v>
      </c>
      <c r="DN47" s="197">
        <f t="shared" si="142"/>
        <v>-6376.5973061856957</v>
      </c>
      <c r="DO47" s="199">
        <f t="shared" si="143"/>
        <v>-3477.1813619655909</v>
      </c>
    </row>
    <row r="48" spans="2:119" x14ac:dyDescent="0.3">
      <c r="B48" s="204">
        <f t="shared" si="144"/>
        <v>11</v>
      </c>
      <c r="C48" s="197">
        <f>'Energy NPV'!$D101</f>
        <v>15</v>
      </c>
      <c r="D48" s="197">
        <f>'Energy Inputs'!$G$58*$E$34</f>
        <v>43.75</v>
      </c>
      <c r="E48" s="197">
        <f t="shared" si="145"/>
        <v>656.25</v>
      </c>
      <c r="F48" s="197">
        <f>'Margins summary'!$W$14</f>
        <v>330</v>
      </c>
      <c r="G48" s="197">
        <f t="shared" si="88"/>
        <v>986.25</v>
      </c>
      <c r="H48" s="197"/>
      <c r="I48" s="918">
        <f>'Energy NPV'!U101</f>
        <v>418.53934399999991</v>
      </c>
      <c r="J48" s="197"/>
      <c r="K48" s="197">
        <f t="shared" si="89"/>
        <v>418.53934399999991</v>
      </c>
      <c r="L48" s="197">
        <f t="shared" si="78"/>
        <v>237.71065600000009</v>
      </c>
      <c r="M48" s="197">
        <f t="shared" si="79"/>
        <v>567.71065600000009</v>
      </c>
      <c r="N48" s="196">
        <f t="shared" si="90"/>
        <v>488.31163165097593</v>
      </c>
      <c r="O48" s="197">
        <f t="shared" si="91"/>
        <v>245.55099191591933</v>
      </c>
      <c r="P48" s="197">
        <f t="shared" si="92"/>
        <v>311.43257901526715</v>
      </c>
      <c r="Q48" s="197">
        <f t="shared" si="93"/>
        <v>176.87905263570877</v>
      </c>
      <c r="R48" s="199">
        <f t="shared" si="94"/>
        <v>422.4300445516281</v>
      </c>
      <c r="S48" s="196">
        <f t="shared" si="146"/>
        <v>5267.4869583827676</v>
      </c>
      <c r="T48" s="197">
        <f t="shared" si="95"/>
        <v>3144.9669361360243</v>
      </c>
      <c r="U48" s="197">
        <f t="shared" si="95"/>
        <v>6688.0298852009628</v>
      </c>
      <c r="V48" s="197">
        <f t="shared" si="95"/>
        <v>-1420.5429268181952</v>
      </c>
      <c r="W48" s="199">
        <f t="shared" si="95"/>
        <v>1724.4240093178284</v>
      </c>
      <c r="X48" s="197"/>
      <c r="Z48" s="900">
        <v>11</v>
      </c>
      <c r="AA48" s="197">
        <f t="shared" si="96"/>
        <v>15</v>
      </c>
      <c r="AB48" s="197">
        <f>'Energy Inputs'!$G$58*$AB$34</f>
        <v>65.625</v>
      </c>
      <c r="AC48" s="197">
        <f t="shared" si="147"/>
        <v>984.375</v>
      </c>
      <c r="AD48" s="197">
        <f>'Margins summary'!$W$14</f>
        <v>330</v>
      </c>
      <c r="AE48" s="197">
        <f t="shared" si="97"/>
        <v>1314.375</v>
      </c>
      <c r="AF48" s="197"/>
      <c r="AG48" s="918">
        <f>'Energy NPV'!U101</f>
        <v>418.53934399999991</v>
      </c>
      <c r="AH48" s="197"/>
      <c r="AI48" s="197">
        <f t="shared" si="98"/>
        <v>418.53934399999991</v>
      </c>
      <c r="AJ48" s="197">
        <f t="shared" si="80"/>
        <v>565.83565600000009</v>
      </c>
      <c r="AK48" s="197">
        <f t="shared" si="81"/>
        <v>895.83565600000009</v>
      </c>
      <c r="AL48" s="196">
        <f t="shared" si="99"/>
        <v>732.4674474764638</v>
      </c>
      <c r="AM48" s="197">
        <f t="shared" si="100"/>
        <v>245.55099191591933</v>
      </c>
      <c r="AN48" s="197">
        <f t="shared" si="101"/>
        <v>311.43257901526715</v>
      </c>
      <c r="AO48" s="197">
        <f t="shared" si="102"/>
        <v>421.03486846119671</v>
      </c>
      <c r="AP48" s="199">
        <f t="shared" si="103"/>
        <v>666.58586037711609</v>
      </c>
      <c r="AQ48" s="196">
        <f t="shared" si="148"/>
        <v>7901.2304375741496</v>
      </c>
      <c r="AR48" s="197">
        <f t="shared" si="104"/>
        <v>3144.9669361360243</v>
      </c>
      <c r="AS48" s="197">
        <f t="shared" si="105"/>
        <v>6688.0298852009628</v>
      </c>
      <c r="AT48" s="197">
        <f t="shared" si="106"/>
        <v>1213.200552373188</v>
      </c>
      <c r="AU48" s="199">
        <f t="shared" si="107"/>
        <v>4358.1674885092116</v>
      </c>
      <c r="AV48" s="197"/>
      <c r="AX48" s="900">
        <v>11</v>
      </c>
      <c r="AY48" s="197">
        <f t="shared" si="108"/>
        <v>15</v>
      </c>
      <c r="AZ48" s="197">
        <f>'Energy Inputs'!$G$58*$AZ$34</f>
        <v>21.875</v>
      </c>
      <c r="BA48" s="197">
        <f t="shared" si="149"/>
        <v>328.125</v>
      </c>
      <c r="BB48" s="197">
        <f>'Margins summary'!$W$14</f>
        <v>330</v>
      </c>
      <c r="BC48" s="197">
        <f t="shared" si="109"/>
        <v>658.125</v>
      </c>
      <c r="BD48" s="197"/>
      <c r="BE48" s="918">
        <f>'Energy NPV'!U101</f>
        <v>418.53934399999991</v>
      </c>
      <c r="BF48" s="197"/>
      <c r="BG48" s="197">
        <f t="shared" si="110"/>
        <v>418.53934399999991</v>
      </c>
      <c r="BH48" s="197">
        <f t="shared" si="82"/>
        <v>-90.414343999999915</v>
      </c>
      <c r="BI48" s="197">
        <f t="shared" si="83"/>
        <v>239.58565600000009</v>
      </c>
      <c r="BJ48" s="196">
        <f t="shared" si="111"/>
        <v>244.15581582548796</v>
      </c>
      <c r="BK48" s="197">
        <f t="shared" si="112"/>
        <v>245.55099191591933</v>
      </c>
      <c r="BL48" s="197">
        <f t="shared" si="113"/>
        <v>311.43257901526715</v>
      </c>
      <c r="BM48" s="197">
        <f t="shared" si="114"/>
        <v>-67.276763189779174</v>
      </c>
      <c r="BN48" s="199">
        <f t="shared" si="115"/>
        <v>178.27422872614014</v>
      </c>
      <c r="BO48" s="196">
        <f t="shared" si="150"/>
        <v>2633.7434791913838</v>
      </c>
      <c r="BP48" s="197">
        <f t="shared" si="116"/>
        <v>3144.9669361360243</v>
      </c>
      <c r="BQ48" s="197">
        <f t="shared" si="117"/>
        <v>6688.0298852009628</v>
      </c>
      <c r="BR48" s="197">
        <f t="shared" si="118"/>
        <v>-4054.2864060095794</v>
      </c>
      <c r="BS48" s="199">
        <f t="shared" si="119"/>
        <v>-909.31946987355491</v>
      </c>
      <c r="BV48" s="900">
        <v>11</v>
      </c>
      <c r="BW48" s="197">
        <f t="shared" si="120"/>
        <v>15</v>
      </c>
      <c r="BX48" s="197">
        <f>'Energy Inputs'!$G$58*$BX$34</f>
        <v>87.5</v>
      </c>
      <c r="BY48" s="197">
        <f t="shared" si="151"/>
        <v>1312.5</v>
      </c>
      <c r="BZ48" s="197">
        <f>'Margins summary'!$W$14</f>
        <v>330</v>
      </c>
      <c r="CA48" s="197">
        <f t="shared" si="121"/>
        <v>1642.5</v>
      </c>
      <c r="CB48" s="197"/>
      <c r="CC48" s="918">
        <f>'Energy NPV'!U101</f>
        <v>418.53934399999991</v>
      </c>
      <c r="CD48" s="197"/>
      <c r="CE48" s="197">
        <f t="shared" si="122"/>
        <v>418.53934399999991</v>
      </c>
      <c r="CF48" s="197">
        <f t="shared" si="84"/>
        <v>893.96065600000009</v>
      </c>
      <c r="CG48" s="197">
        <f t="shared" si="85"/>
        <v>1223.9606560000002</v>
      </c>
      <c r="CH48" s="196">
        <f t="shared" si="123"/>
        <v>976.62326330195185</v>
      </c>
      <c r="CI48" s="197">
        <f t="shared" si="124"/>
        <v>245.55099191591933</v>
      </c>
      <c r="CJ48" s="197">
        <f t="shared" si="125"/>
        <v>311.43257901526715</v>
      </c>
      <c r="CK48" s="197">
        <f t="shared" si="126"/>
        <v>665.1906842866847</v>
      </c>
      <c r="CL48" s="199">
        <f t="shared" si="127"/>
        <v>910.74167620260414</v>
      </c>
      <c r="CM48" s="196">
        <f t="shared" si="152"/>
        <v>10534.973916765535</v>
      </c>
      <c r="CN48" s="197">
        <f t="shared" si="128"/>
        <v>3144.9669361360243</v>
      </c>
      <c r="CO48" s="197">
        <f t="shared" si="129"/>
        <v>6688.0298852009628</v>
      </c>
      <c r="CP48" s="197">
        <f t="shared" si="130"/>
        <v>3846.944031564572</v>
      </c>
      <c r="CQ48" s="199">
        <f t="shared" si="131"/>
        <v>6991.9109677005972</v>
      </c>
      <c r="CT48" s="204">
        <f t="shared" si="153"/>
        <v>11</v>
      </c>
      <c r="CU48" s="197">
        <f t="shared" si="132"/>
        <v>15</v>
      </c>
      <c r="CV48" s="197">
        <f>'Energy Inputs'!$G$58*$CV$34</f>
        <v>0</v>
      </c>
      <c r="CW48" s="197">
        <f t="shared" si="154"/>
        <v>0</v>
      </c>
      <c r="CX48" s="197">
        <f>'Margins summary'!$W$14</f>
        <v>330</v>
      </c>
      <c r="CY48" s="197">
        <f t="shared" si="133"/>
        <v>330</v>
      </c>
      <c r="CZ48" s="197"/>
      <c r="DA48" s="918">
        <f>'Energy NPV'!U101</f>
        <v>418.53934399999991</v>
      </c>
      <c r="DB48" s="197"/>
      <c r="DC48" s="197">
        <f t="shared" si="134"/>
        <v>418.53934399999991</v>
      </c>
      <c r="DD48" s="197">
        <f t="shared" si="86"/>
        <v>-418.53934399999991</v>
      </c>
      <c r="DE48" s="197">
        <f t="shared" si="87"/>
        <v>-88.539343999999915</v>
      </c>
      <c r="DF48" s="196">
        <f t="shared" si="135"/>
        <v>0</v>
      </c>
      <c r="DG48" s="197">
        <f t="shared" si="136"/>
        <v>245.55099191591933</v>
      </c>
      <c r="DH48" s="197">
        <f t="shared" si="137"/>
        <v>311.43257901526715</v>
      </c>
      <c r="DI48" s="197">
        <f t="shared" si="138"/>
        <v>-311.43257901526715</v>
      </c>
      <c r="DJ48" s="199">
        <f t="shared" si="139"/>
        <v>-65.881587099347811</v>
      </c>
      <c r="DK48" s="196">
        <f t="shared" si="155"/>
        <v>0</v>
      </c>
      <c r="DL48" s="197">
        <f t="shared" si="140"/>
        <v>3144.9669361360243</v>
      </c>
      <c r="DM48" s="197">
        <f t="shared" si="141"/>
        <v>6688.0298852009628</v>
      </c>
      <c r="DN48" s="197">
        <f t="shared" si="142"/>
        <v>-6688.0298852009628</v>
      </c>
      <c r="DO48" s="199">
        <f t="shared" si="143"/>
        <v>-3543.0629490649385</v>
      </c>
    </row>
    <row r="49" spans="2:129" x14ac:dyDescent="0.3">
      <c r="B49" s="204">
        <f t="shared" si="144"/>
        <v>12</v>
      </c>
      <c r="C49" s="197">
        <f>'Energy NPV'!$D102</f>
        <v>15</v>
      </c>
      <c r="D49" s="197">
        <f>'Energy Inputs'!$G$58*$E$34</f>
        <v>43.75</v>
      </c>
      <c r="E49" s="197">
        <f t="shared" si="145"/>
        <v>656.25</v>
      </c>
      <c r="F49" s="197">
        <f>'Margins summary'!$W$14</f>
        <v>330</v>
      </c>
      <c r="G49" s="197">
        <f t="shared" si="88"/>
        <v>986.25</v>
      </c>
      <c r="H49" s="197"/>
      <c r="I49" s="918">
        <f>'Energy NPV'!U102</f>
        <v>418.53934399999991</v>
      </c>
      <c r="J49" s="197"/>
      <c r="K49" s="197">
        <f t="shared" si="89"/>
        <v>418.53934399999991</v>
      </c>
      <c r="L49" s="197">
        <f t="shared" si="78"/>
        <v>237.71065600000009</v>
      </c>
      <c r="M49" s="197">
        <f t="shared" si="79"/>
        <v>567.71065600000009</v>
      </c>
      <c r="N49" s="196">
        <f t="shared" si="90"/>
        <v>474.08896276793774</v>
      </c>
      <c r="O49" s="197">
        <f t="shared" si="91"/>
        <v>238.39902127759154</v>
      </c>
      <c r="P49" s="197">
        <f t="shared" si="92"/>
        <v>302.36172719928845</v>
      </c>
      <c r="Q49" s="197">
        <f t="shared" si="93"/>
        <v>171.72723556864929</v>
      </c>
      <c r="R49" s="199">
        <f t="shared" si="94"/>
        <v>410.12625684624084</v>
      </c>
      <c r="S49" s="196">
        <f t="shared" si="146"/>
        <v>5741.5759211507057</v>
      </c>
      <c r="T49" s="197">
        <f t="shared" si="95"/>
        <v>3383.3659574136159</v>
      </c>
      <c r="U49" s="197">
        <f t="shared" si="95"/>
        <v>6990.3916124002517</v>
      </c>
      <c r="V49" s="197">
        <f t="shared" si="95"/>
        <v>-1248.8156912495458</v>
      </c>
      <c r="W49" s="199">
        <f t="shared" si="95"/>
        <v>2134.5502661640694</v>
      </c>
      <c r="X49" s="197"/>
      <c r="Z49" s="900">
        <v>12</v>
      </c>
      <c r="AA49" s="197">
        <f t="shared" si="96"/>
        <v>15</v>
      </c>
      <c r="AB49" s="197">
        <f>'Energy Inputs'!$G$58*$AB$34</f>
        <v>65.625</v>
      </c>
      <c r="AC49" s="197">
        <f t="shared" si="147"/>
        <v>984.375</v>
      </c>
      <c r="AD49" s="197">
        <f>'Margins summary'!$W$14</f>
        <v>330</v>
      </c>
      <c r="AE49" s="197">
        <f t="shared" si="97"/>
        <v>1314.375</v>
      </c>
      <c r="AF49" s="197"/>
      <c r="AG49" s="918">
        <f>'Energy NPV'!U102</f>
        <v>418.53934399999991</v>
      </c>
      <c r="AH49" s="197"/>
      <c r="AI49" s="197">
        <f t="shared" si="98"/>
        <v>418.53934399999991</v>
      </c>
      <c r="AJ49" s="197">
        <f t="shared" si="80"/>
        <v>565.83565600000009</v>
      </c>
      <c r="AK49" s="197">
        <f t="shared" si="81"/>
        <v>895.83565600000009</v>
      </c>
      <c r="AL49" s="196">
        <f t="shared" si="99"/>
        <v>711.13344415190659</v>
      </c>
      <c r="AM49" s="197">
        <f t="shared" si="100"/>
        <v>238.39902127759154</v>
      </c>
      <c r="AN49" s="197">
        <f t="shared" si="101"/>
        <v>302.36172719928845</v>
      </c>
      <c r="AO49" s="197">
        <f t="shared" si="102"/>
        <v>408.77171695261819</v>
      </c>
      <c r="AP49" s="199">
        <f t="shared" si="103"/>
        <v>647.17073823020974</v>
      </c>
      <c r="AQ49" s="196">
        <f t="shared" si="148"/>
        <v>8612.3638817260562</v>
      </c>
      <c r="AR49" s="197">
        <f t="shared" si="104"/>
        <v>3383.3659574136159</v>
      </c>
      <c r="AS49" s="197">
        <f t="shared" si="105"/>
        <v>6990.3916124002517</v>
      </c>
      <c r="AT49" s="197">
        <f t="shared" si="106"/>
        <v>1621.9722693258061</v>
      </c>
      <c r="AU49" s="199">
        <f t="shared" si="107"/>
        <v>5005.3382267394209</v>
      </c>
      <c r="AV49" s="197"/>
      <c r="AX49" s="900">
        <v>12</v>
      </c>
      <c r="AY49" s="197">
        <f t="shared" si="108"/>
        <v>15</v>
      </c>
      <c r="AZ49" s="197">
        <f>'Energy Inputs'!$G$58*$AZ$34</f>
        <v>21.875</v>
      </c>
      <c r="BA49" s="197">
        <f t="shared" si="149"/>
        <v>328.125</v>
      </c>
      <c r="BB49" s="197">
        <f>'Margins summary'!$W$14</f>
        <v>330</v>
      </c>
      <c r="BC49" s="197">
        <f t="shared" si="109"/>
        <v>658.125</v>
      </c>
      <c r="BD49" s="197"/>
      <c r="BE49" s="918">
        <f>'Energy NPV'!U102</f>
        <v>418.53934399999991</v>
      </c>
      <c r="BF49" s="197"/>
      <c r="BG49" s="197">
        <f t="shared" si="110"/>
        <v>418.53934399999991</v>
      </c>
      <c r="BH49" s="197">
        <f t="shared" si="82"/>
        <v>-90.414343999999915</v>
      </c>
      <c r="BI49" s="197">
        <f t="shared" si="83"/>
        <v>239.58565600000009</v>
      </c>
      <c r="BJ49" s="196">
        <f t="shared" si="111"/>
        <v>237.04448138396887</v>
      </c>
      <c r="BK49" s="197">
        <f t="shared" si="112"/>
        <v>238.39902127759154</v>
      </c>
      <c r="BL49" s="197">
        <f t="shared" si="113"/>
        <v>302.36172719928845</v>
      </c>
      <c r="BM49" s="197">
        <f t="shared" si="114"/>
        <v>-65.317245815319581</v>
      </c>
      <c r="BN49" s="199">
        <f t="shared" si="115"/>
        <v>173.08177546227196</v>
      </c>
      <c r="BO49" s="196">
        <f t="shared" si="150"/>
        <v>2870.7879605753528</v>
      </c>
      <c r="BP49" s="197">
        <f t="shared" si="116"/>
        <v>3383.3659574136159</v>
      </c>
      <c r="BQ49" s="197">
        <f t="shared" si="117"/>
        <v>6990.3916124002517</v>
      </c>
      <c r="BR49" s="197">
        <f t="shared" si="118"/>
        <v>-4119.6036518248993</v>
      </c>
      <c r="BS49" s="199">
        <f t="shared" si="119"/>
        <v>-736.23769441128297</v>
      </c>
      <c r="BV49" s="900">
        <v>12</v>
      </c>
      <c r="BW49" s="197">
        <f t="shared" si="120"/>
        <v>15</v>
      </c>
      <c r="BX49" s="197">
        <f>'Energy Inputs'!$G$58*$BX$34</f>
        <v>87.5</v>
      </c>
      <c r="BY49" s="197">
        <f t="shared" si="151"/>
        <v>1312.5</v>
      </c>
      <c r="BZ49" s="197">
        <f>'Margins summary'!$W$14</f>
        <v>330</v>
      </c>
      <c r="CA49" s="197">
        <f t="shared" si="121"/>
        <v>1642.5</v>
      </c>
      <c r="CB49" s="197"/>
      <c r="CC49" s="918">
        <f>'Energy NPV'!U102</f>
        <v>418.53934399999991</v>
      </c>
      <c r="CD49" s="197"/>
      <c r="CE49" s="197">
        <f t="shared" si="122"/>
        <v>418.53934399999991</v>
      </c>
      <c r="CF49" s="197">
        <f t="shared" si="84"/>
        <v>893.96065600000009</v>
      </c>
      <c r="CG49" s="197">
        <f t="shared" si="85"/>
        <v>1223.9606560000002</v>
      </c>
      <c r="CH49" s="196">
        <f t="shared" si="123"/>
        <v>948.17792553587549</v>
      </c>
      <c r="CI49" s="197">
        <f t="shared" si="124"/>
        <v>238.39902127759154</v>
      </c>
      <c r="CJ49" s="197">
        <f t="shared" si="125"/>
        <v>302.36172719928845</v>
      </c>
      <c r="CK49" s="197">
        <f t="shared" si="126"/>
        <v>645.81619833658704</v>
      </c>
      <c r="CL49" s="199">
        <f t="shared" si="127"/>
        <v>884.21521961417864</v>
      </c>
      <c r="CM49" s="196">
        <f t="shared" si="152"/>
        <v>11483.151842301411</v>
      </c>
      <c r="CN49" s="197">
        <f t="shared" si="128"/>
        <v>3383.3659574136159</v>
      </c>
      <c r="CO49" s="197">
        <f t="shared" si="129"/>
        <v>6990.3916124002517</v>
      </c>
      <c r="CP49" s="197">
        <f t="shared" si="130"/>
        <v>4492.7602299011587</v>
      </c>
      <c r="CQ49" s="199">
        <f t="shared" si="131"/>
        <v>7876.126187314776</v>
      </c>
      <c r="CT49" s="204">
        <f t="shared" si="153"/>
        <v>12</v>
      </c>
      <c r="CU49" s="197">
        <f t="shared" si="132"/>
        <v>15</v>
      </c>
      <c r="CV49" s="197">
        <f>'Energy Inputs'!$G$58*$CV$34</f>
        <v>0</v>
      </c>
      <c r="CW49" s="197">
        <f t="shared" si="154"/>
        <v>0</v>
      </c>
      <c r="CX49" s="197">
        <f>'Margins summary'!$W$14</f>
        <v>330</v>
      </c>
      <c r="CY49" s="197">
        <f t="shared" si="133"/>
        <v>330</v>
      </c>
      <c r="CZ49" s="197"/>
      <c r="DA49" s="918">
        <f>'Energy NPV'!U102</f>
        <v>418.53934399999991</v>
      </c>
      <c r="DB49" s="197"/>
      <c r="DC49" s="197">
        <f t="shared" si="134"/>
        <v>418.53934399999991</v>
      </c>
      <c r="DD49" s="197">
        <f t="shared" si="86"/>
        <v>-418.53934399999991</v>
      </c>
      <c r="DE49" s="197">
        <f t="shared" si="87"/>
        <v>-88.539343999999915</v>
      </c>
      <c r="DF49" s="196">
        <f t="shared" si="135"/>
        <v>0</v>
      </c>
      <c r="DG49" s="197">
        <f t="shared" si="136"/>
        <v>238.39902127759154</v>
      </c>
      <c r="DH49" s="197">
        <f t="shared" si="137"/>
        <v>302.36172719928845</v>
      </c>
      <c r="DI49" s="197">
        <f t="shared" si="138"/>
        <v>-302.36172719928845</v>
      </c>
      <c r="DJ49" s="199">
        <f t="shared" si="139"/>
        <v>-63.962705921696902</v>
      </c>
      <c r="DK49" s="196">
        <f t="shared" si="155"/>
        <v>0</v>
      </c>
      <c r="DL49" s="197">
        <f t="shared" si="140"/>
        <v>3383.3659574136159</v>
      </c>
      <c r="DM49" s="197">
        <f t="shared" si="141"/>
        <v>6990.3916124002517</v>
      </c>
      <c r="DN49" s="197">
        <f t="shared" si="142"/>
        <v>-6990.3916124002517</v>
      </c>
      <c r="DO49" s="199">
        <f t="shared" si="143"/>
        <v>-3607.0256549866353</v>
      </c>
    </row>
    <row r="50" spans="2:129" x14ac:dyDescent="0.3">
      <c r="B50" s="204">
        <f t="shared" si="144"/>
        <v>13</v>
      </c>
      <c r="C50" s="197">
        <f>'Energy NPV'!$D103</f>
        <v>15</v>
      </c>
      <c r="D50" s="197">
        <f>'Energy Inputs'!$G$58*$E$34</f>
        <v>43.75</v>
      </c>
      <c r="E50" s="197">
        <f t="shared" si="145"/>
        <v>656.25</v>
      </c>
      <c r="F50" s="197">
        <f>'Margins summary'!$W$14</f>
        <v>330</v>
      </c>
      <c r="G50" s="197">
        <f t="shared" si="88"/>
        <v>986.25</v>
      </c>
      <c r="H50" s="197"/>
      <c r="I50" s="918">
        <f>'Energy NPV'!U103</f>
        <v>418.53934399999991</v>
      </c>
      <c r="J50" s="197"/>
      <c r="K50" s="197">
        <f t="shared" si="89"/>
        <v>418.53934399999991</v>
      </c>
      <c r="L50" s="197">
        <f t="shared" si="78"/>
        <v>237.71065600000009</v>
      </c>
      <c r="M50" s="197">
        <f t="shared" si="79"/>
        <v>567.71065600000009</v>
      </c>
      <c r="N50" s="196">
        <f t="shared" si="90"/>
        <v>460.28054637663865</v>
      </c>
      <c r="O50" s="197">
        <f t="shared" si="91"/>
        <v>231.45536046368116</v>
      </c>
      <c r="P50" s="197">
        <f t="shared" si="92"/>
        <v>293.55507495076552</v>
      </c>
      <c r="Q50" s="197">
        <f t="shared" si="93"/>
        <v>166.72547142587314</v>
      </c>
      <c r="R50" s="199">
        <f t="shared" si="94"/>
        <v>398.18083188955427</v>
      </c>
      <c r="S50" s="196">
        <f t="shared" si="146"/>
        <v>6201.8564675273446</v>
      </c>
      <c r="T50" s="197">
        <f t="shared" si="95"/>
        <v>3614.8213178772971</v>
      </c>
      <c r="U50" s="197">
        <f t="shared" si="95"/>
        <v>7283.9466873510173</v>
      </c>
      <c r="V50" s="197">
        <f t="shared" si="95"/>
        <v>-1082.0902198236727</v>
      </c>
      <c r="W50" s="199">
        <f t="shared" si="95"/>
        <v>2532.7310980536236</v>
      </c>
      <c r="X50" s="197"/>
      <c r="Z50" s="900">
        <v>13</v>
      </c>
      <c r="AA50" s="197">
        <f t="shared" si="96"/>
        <v>15</v>
      </c>
      <c r="AB50" s="197">
        <f>'Energy Inputs'!$G$58*$AB$34</f>
        <v>65.625</v>
      </c>
      <c r="AC50" s="197">
        <f t="shared" si="147"/>
        <v>984.375</v>
      </c>
      <c r="AD50" s="197">
        <f>'Margins summary'!$W$14</f>
        <v>330</v>
      </c>
      <c r="AE50" s="197">
        <f t="shared" si="97"/>
        <v>1314.375</v>
      </c>
      <c r="AF50" s="197"/>
      <c r="AG50" s="918">
        <f>'Energy NPV'!U103</f>
        <v>418.53934399999991</v>
      </c>
      <c r="AH50" s="197"/>
      <c r="AI50" s="197">
        <f t="shared" si="98"/>
        <v>418.53934399999991</v>
      </c>
      <c r="AJ50" s="197">
        <f t="shared" si="80"/>
        <v>565.83565600000009</v>
      </c>
      <c r="AK50" s="197">
        <f t="shared" si="81"/>
        <v>895.83565600000009</v>
      </c>
      <c r="AL50" s="196">
        <f t="shared" si="99"/>
        <v>690.42081956495804</v>
      </c>
      <c r="AM50" s="197">
        <f t="shared" si="100"/>
        <v>231.45536046368116</v>
      </c>
      <c r="AN50" s="197">
        <f t="shared" si="101"/>
        <v>293.55507495076552</v>
      </c>
      <c r="AO50" s="197">
        <f t="shared" si="102"/>
        <v>396.86574461419247</v>
      </c>
      <c r="AP50" s="199">
        <f t="shared" si="103"/>
        <v>628.32110507787365</v>
      </c>
      <c r="AQ50" s="196">
        <f t="shared" si="148"/>
        <v>9302.7847012910133</v>
      </c>
      <c r="AR50" s="197">
        <f t="shared" si="104"/>
        <v>3614.8213178772971</v>
      </c>
      <c r="AS50" s="197">
        <f t="shared" si="105"/>
        <v>7283.9466873510173</v>
      </c>
      <c r="AT50" s="197">
        <f t="shared" si="106"/>
        <v>2018.8380139399985</v>
      </c>
      <c r="AU50" s="199">
        <f t="shared" si="107"/>
        <v>5633.6593318172945</v>
      </c>
      <c r="AV50" s="197"/>
      <c r="AX50" s="900">
        <v>13</v>
      </c>
      <c r="AY50" s="197">
        <f t="shared" si="108"/>
        <v>15</v>
      </c>
      <c r="AZ50" s="197">
        <f>'Energy Inputs'!$G$58*$AZ$34</f>
        <v>21.875</v>
      </c>
      <c r="BA50" s="197">
        <f t="shared" si="149"/>
        <v>328.125</v>
      </c>
      <c r="BB50" s="197">
        <f>'Margins summary'!$W$14</f>
        <v>330</v>
      </c>
      <c r="BC50" s="197">
        <f t="shared" si="109"/>
        <v>658.125</v>
      </c>
      <c r="BD50" s="197"/>
      <c r="BE50" s="918">
        <f>'Energy NPV'!U103</f>
        <v>418.53934399999991</v>
      </c>
      <c r="BF50" s="197"/>
      <c r="BG50" s="197">
        <f t="shared" si="110"/>
        <v>418.53934399999991</v>
      </c>
      <c r="BH50" s="197">
        <f t="shared" si="82"/>
        <v>-90.414343999999915</v>
      </c>
      <c r="BI50" s="197">
        <f t="shared" si="83"/>
        <v>239.58565600000009</v>
      </c>
      <c r="BJ50" s="196">
        <f t="shared" si="111"/>
        <v>230.14027318831933</v>
      </c>
      <c r="BK50" s="197">
        <f t="shared" si="112"/>
        <v>231.45536046368116</v>
      </c>
      <c r="BL50" s="197">
        <f t="shared" si="113"/>
        <v>293.55507495076552</v>
      </c>
      <c r="BM50" s="197">
        <f t="shared" si="114"/>
        <v>-63.414801762446203</v>
      </c>
      <c r="BN50" s="199">
        <f t="shared" si="115"/>
        <v>168.04055870123494</v>
      </c>
      <c r="BO50" s="196">
        <f t="shared" si="150"/>
        <v>3100.9282337636723</v>
      </c>
      <c r="BP50" s="197">
        <f t="shared" si="116"/>
        <v>3614.8213178772971</v>
      </c>
      <c r="BQ50" s="197">
        <f t="shared" si="117"/>
        <v>7283.9466873510173</v>
      </c>
      <c r="BR50" s="197">
        <f t="shared" si="118"/>
        <v>-4183.0184535873459</v>
      </c>
      <c r="BS50" s="199">
        <f t="shared" si="119"/>
        <v>-568.19713571004809</v>
      </c>
      <c r="BV50" s="900">
        <v>13</v>
      </c>
      <c r="BW50" s="197">
        <f t="shared" si="120"/>
        <v>15</v>
      </c>
      <c r="BX50" s="197">
        <f>'Energy Inputs'!$G$58*$BX$34</f>
        <v>87.5</v>
      </c>
      <c r="BY50" s="197">
        <f t="shared" si="151"/>
        <v>1312.5</v>
      </c>
      <c r="BZ50" s="197">
        <f>'Margins summary'!$W$14</f>
        <v>330</v>
      </c>
      <c r="CA50" s="197">
        <f t="shared" si="121"/>
        <v>1642.5</v>
      </c>
      <c r="CB50" s="197"/>
      <c r="CC50" s="918">
        <f>'Energy NPV'!U103</f>
        <v>418.53934399999991</v>
      </c>
      <c r="CD50" s="197"/>
      <c r="CE50" s="197">
        <f t="shared" si="122"/>
        <v>418.53934399999991</v>
      </c>
      <c r="CF50" s="197">
        <f t="shared" si="84"/>
        <v>893.96065600000009</v>
      </c>
      <c r="CG50" s="197">
        <f t="shared" si="85"/>
        <v>1223.9606560000002</v>
      </c>
      <c r="CH50" s="196">
        <f t="shared" si="123"/>
        <v>920.56109275327731</v>
      </c>
      <c r="CI50" s="197">
        <f t="shared" si="124"/>
        <v>231.45536046368116</v>
      </c>
      <c r="CJ50" s="197">
        <f t="shared" si="125"/>
        <v>293.55507495076552</v>
      </c>
      <c r="CK50" s="197">
        <f t="shared" si="126"/>
        <v>627.00601780251179</v>
      </c>
      <c r="CL50" s="199">
        <f t="shared" si="127"/>
        <v>858.46137826619304</v>
      </c>
      <c r="CM50" s="196">
        <f t="shared" si="152"/>
        <v>12403.712935054689</v>
      </c>
      <c r="CN50" s="197">
        <f t="shared" si="128"/>
        <v>3614.8213178772971</v>
      </c>
      <c r="CO50" s="197">
        <f t="shared" si="129"/>
        <v>7283.9466873510173</v>
      </c>
      <c r="CP50" s="197">
        <f t="shared" si="130"/>
        <v>5119.7662477036702</v>
      </c>
      <c r="CQ50" s="199">
        <f t="shared" si="131"/>
        <v>8734.5875655809687</v>
      </c>
      <c r="CT50" s="204">
        <f t="shared" si="153"/>
        <v>13</v>
      </c>
      <c r="CU50" s="197">
        <f t="shared" si="132"/>
        <v>15</v>
      </c>
      <c r="CV50" s="197">
        <f>'Energy Inputs'!$G$58*$CV$34</f>
        <v>0</v>
      </c>
      <c r="CW50" s="197">
        <f t="shared" si="154"/>
        <v>0</v>
      </c>
      <c r="CX50" s="197">
        <f>'Margins summary'!$W$14</f>
        <v>330</v>
      </c>
      <c r="CY50" s="197">
        <f t="shared" si="133"/>
        <v>330</v>
      </c>
      <c r="CZ50" s="197"/>
      <c r="DA50" s="918">
        <f>'Energy NPV'!U103</f>
        <v>418.53934399999991</v>
      </c>
      <c r="DB50" s="197"/>
      <c r="DC50" s="197">
        <f t="shared" si="134"/>
        <v>418.53934399999991</v>
      </c>
      <c r="DD50" s="197">
        <f t="shared" si="86"/>
        <v>-418.53934399999991</v>
      </c>
      <c r="DE50" s="197">
        <f t="shared" si="87"/>
        <v>-88.539343999999915</v>
      </c>
      <c r="DF50" s="196">
        <f t="shared" si="135"/>
        <v>0</v>
      </c>
      <c r="DG50" s="197">
        <f t="shared" si="136"/>
        <v>231.45536046368116</v>
      </c>
      <c r="DH50" s="197">
        <f t="shared" si="137"/>
        <v>293.55507495076552</v>
      </c>
      <c r="DI50" s="197">
        <f t="shared" si="138"/>
        <v>-293.55507495076552</v>
      </c>
      <c r="DJ50" s="199">
        <f t="shared" si="139"/>
        <v>-62.099714487084384</v>
      </c>
      <c r="DK50" s="196">
        <f t="shared" si="155"/>
        <v>0</v>
      </c>
      <c r="DL50" s="197">
        <f t="shared" si="140"/>
        <v>3614.8213178772971</v>
      </c>
      <c r="DM50" s="197">
        <f t="shared" si="141"/>
        <v>7283.9466873510173</v>
      </c>
      <c r="DN50" s="197">
        <f t="shared" si="142"/>
        <v>-7283.9466873510173</v>
      </c>
      <c r="DO50" s="199">
        <f t="shared" si="143"/>
        <v>-3669.1253694737197</v>
      </c>
    </row>
    <row r="51" spans="2:129" x14ac:dyDescent="0.3">
      <c r="B51" s="204">
        <f t="shared" si="144"/>
        <v>14</v>
      </c>
      <c r="C51" s="197">
        <f>'Energy NPV'!$D104</f>
        <v>15</v>
      </c>
      <c r="D51" s="197">
        <f>'Energy Inputs'!$G$58*$E$34</f>
        <v>43.75</v>
      </c>
      <c r="E51" s="197">
        <f t="shared" si="145"/>
        <v>656.25</v>
      </c>
      <c r="F51" s="197">
        <f>'Margins summary'!$W$14</f>
        <v>330</v>
      </c>
      <c r="G51" s="197">
        <f t="shared" si="88"/>
        <v>986.25</v>
      </c>
      <c r="H51" s="197"/>
      <c r="I51" s="918">
        <f>'Energy NPV'!U104</f>
        <v>418.53934399999991</v>
      </c>
      <c r="J51" s="197"/>
      <c r="K51" s="197">
        <f t="shared" si="89"/>
        <v>418.53934399999991</v>
      </c>
      <c r="L51" s="197">
        <f t="shared" si="78"/>
        <v>237.71065600000009</v>
      </c>
      <c r="M51" s="197">
        <f t="shared" si="79"/>
        <v>567.71065600000009</v>
      </c>
      <c r="N51" s="196">
        <f t="shared" si="90"/>
        <v>446.87431687052299</v>
      </c>
      <c r="O51" s="197">
        <f t="shared" si="91"/>
        <v>224.71394219774871</v>
      </c>
      <c r="P51" s="197">
        <f t="shared" si="92"/>
        <v>285.00492713666557</v>
      </c>
      <c r="Q51" s="197">
        <f t="shared" si="93"/>
        <v>161.86938973385742</v>
      </c>
      <c r="R51" s="199">
        <f t="shared" si="94"/>
        <v>386.5833319316061</v>
      </c>
      <c r="S51" s="196">
        <f t="shared" si="146"/>
        <v>6648.7307843978679</v>
      </c>
      <c r="T51" s="197">
        <f t="shared" si="95"/>
        <v>3839.5352600750457</v>
      </c>
      <c r="U51" s="197">
        <f t="shared" si="95"/>
        <v>7568.9516144876825</v>
      </c>
      <c r="V51" s="197">
        <f t="shared" si="95"/>
        <v>-920.22083008981531</v>
      </c>
      <c r="W51" s="199">
        <f t="shared" si="95"/>
        <v>2919.3144299852297</v>
      </c>
      <c r="X51" s="197"/>
      <c r="Z51" s="900">
        <v>14</v>
      </c>
      <c r="AA51" s="197">
        <f t="shared" si="96"/>
        <v>15</v>
      </c>
      <c r="AB51" s="197">
        <f>'Energy Inputs'!$G$58*$AB$34</f>
        <v>65.625</v>
      </c>
      <c r="AC51" s="197">
        <f t="shared" si="147"/>
        <v>984.375</v>
      </c>
      <c r="AD51" s="197">
        <f>'Margins summary'!$W$14</f>
        <v>330</v>
      </c>
      <c r="AE51" s="197">
        <f t="shared" si="97"/>
        <v>1314.375</v>
      </c>
      <c r="AF51" s="197"/>
      <c r="AG51" s="918">
        <f>'Energy NPV'!U104</f>
        <v>418.53934399999991</v>
      </c>
      <c r="AH51" s="197"/>
      <c r="AI51" s="197">
        <f t="shared" si="98"/>
        <v>418.53934399999991</v>
      </c>
      <c r="AJ51" s="197">
        <f t="shared" si="80"/>
        <v>565.83565600000009</v>
      </c>
      <c r="AK51" s="197">
        <f t="shared" si="81"/>
        <v>895.83565600000009</v>
      </c>
      <c r="AL51" s="196">
        <f t="shared" si="99"/>
        <v>670.31147530578448</v>
      </c>
      <c r="AM51" s="197">
        <f t="shared" si="100"/>
        <v>224.71394219774871</v>
      </c>
      <c r="AN51" s="197">
        <f t="shared" si="101"/>
        <v>285.00492713666557</v>
      </c>
      <c r="AO51" s="197">
        <f t="shared" si="102"/>
        <v>385.30654816911891</v>
      </c>
      <c r="AP51" s="199">
        <f t="shared" si="103"/>
        <v>610.02049036686765</v>
      </c>
      <c r="AQ51" s="196">
        <f t="shared" si="148"/>
        <v>9973.0961765967986</v>
      </c>
      <c r="AR51" s="197">
        <f t="shared" si="104"/>
        <v>3839.5352600750457</v>
      </c>
      <c r="AS51" s="197">
        <f t="shared" si="105"/>
        <v>7568.9516144876825</v>
      </c>
      <c r="AT51" s="197">
        <f t="shared" si="106"/>
        <v>2404.1445621091175</v>
      </c>
      <c r="AU51" s="199">
        <f t="shared" si="107"/>
        <v>6243.6798221841618</v>
      </c>
      <c r="AV51" s="197"/>
      <c r="AX51" s="900">
        <v>14</v>
      </c>
      <c r="AY51" s="197">
        <f t="shared" si="108"/>
        <v>15</v>
      </c>
      <c r="AZ51" s="197">
        <f>'Energy Inputs'!$G$58*$AZ$34</f>
        <v>21.875</v>
      </c>
      <c r="BA51" s="197">
        <f t="shared" si="149"/>
        <v>328.125</v>
      </c>
      <c r="BB51" s="197">
        <f>'Margins summary'!$W$14</f>
        <v>330</v>
      </c>
      <c r="BC51" s="197">
        <f t="shared" si="109"/>
        <v>658.125</v>
      </c>
      <c r="BD51" s="197"/>
      <c r="BE51" s="918">
        <f>'Energy NPV'!U104</f>
        <v>418.53934399999991</v>
      </c>
      <c r="BF51" s="197"/>
      <c r="BG51" s="197">
        <f t="shared" si="110"/>
        <v>418.53934399999991</v>
      </c>
      <c r="BH51" s="197">
        <f t="shared" si="82"/>
        <v>-90.414343999999915</v>
      </c>
      <c r="BI51" s="197">
        <f t="shared" si="83"/>
        <v>239.58565600000009</v>
      </c>
      <c r="BJ51" s="196">
        <f t="shared" si="111"/>
        <v>223.43715843526149</v>
      </c>
      <c r="BK51" s="197">
        <f t="shared" si="112"/>
        <v>224.71394219774871</v>
      </c>
      <c r="BL51" s="197">
        <f t="shared" si="113"/>
        <v>285.00492713666557</v>
      </c>
      <c r="BM51" s="197">
        <f t="shared" si="114"/>
        <v>-61.567768701404084</v>
      </c>
      <c r="BN51" s="199">
        <f t="shared" si="115"/>
        <v>163.14617349634463</v>
      </c>
      <c r="BO51" s="196">
        <f t="shared" si="150"/>
        <v>3324.3653921989339</v>
      </c>
      <c r="BP51" s="197">
        <f t="shared" si="116"/>
        <v>3839.5352600750457</v>
      </c>
      <c r="BQ51" s="197">
        <f t="shared" si="117"/>
        <v>7568.9516144876825</v>
      </c>
      <c r="BR51" s="197">
        <f t="shared" si="118"/>
        <v>-4244.5862222887499</v>
      </c>
      <c r="BS51" s="199">
        <f t="shared" si="119"/>
        <v>-405.05096221370343</v>
      </c>
      <c r="BV51" s="900">
        <v>14</v>
      </c>
      <c r="BW51" s="197">
        <f t="shared" si="120"/>
        <v>15</v>
      </c>
      <c r="BX51" s="197">
        <f>'Energy Inputs'!$G$58*$BX$34</f>
        <v>87.5</v>
      </c>
      <c r="BY51" s="197">
        <f t="shared" si="151"/>
        <v>1312.5</v>
      </c>
      <c r="BZ51" s="197">
        <f>'Margins summary'!$W$14</f>
        <v>330</v>
      </c>
      <c r="CA51" s="197">
        <f t="shared" si="121"/>
        <v>1642.5</v>
      </c>
      <c r="CB51" s="197"/>
      <c r="CC51" s="918">
        <f>'Energy NPV'!U104</f>
        <v>418.53934399999991</v>
      </c>
      <c r="CD51" s="197"/>
      <c r="CE51" s="197">
        <f t="shared" si="122"/>
        <v>418.53934399999991</v>
      </c>
      <c r="CF51" s="197">
        <f t="shared" si="84"/>
        <v>893.96065600000009</v>
      </c>
      <c r="CG51" s="197">
        <f t="shared" si="85"/>
        <v>1223.9606560000002</v>
      </c>
      <c r="CH51" s="196">
        <f t="shared" si="123"/>
        <v>893.74863374104598</v>
      </c>
      <c r="CI51" s="197">
        <f t="shared" si="124"/>
        <v>224.71394219774871</v>
      </c>
      <c r="CJ51" s="197">
        <f t="shared" si="125"/>
        <v>285.00492713666557</v>
      </c>
      <c r="CK51" s="197">
        <f t="shared" si="126"/>
        <v>608.74370660438046</v>
      </c>
      <c r="CL51" s="199">
        <f t="shared" si="127"/>
        <v>833.45764880212926</v>
      </c>
      <c r="CM51" s="196">
        <f t="shared" si="152"/>
        <v>13297.461568795736</v>
      </c>
      <c r="CN51" s="197">
        <f t="shared" si="128"/>
        <v>3839.5352600750457</v>
      </c>
      <c r="CO51" s="197">
        <f t="shared" si="129"/>
        <v>7568.9516144876825</v>
      </c>
      <c r="CP51" s="197">
        <f t="shared" si="130"/>
        <v>5728.5099543080505</v>
      </c>
      <c r="CQ51" s="199">
        <f t="shared" si="131"/>
        <v>9568.0452143830971</v>
      </c>
      <c r="CT51" s="204">
        <f t="shared" si="153"/>
        <v>14</v>
      </c>
      <c r="CU51" s="197">
        <f t="shared" si="132"/>
        <v>15</v>
      </c>
      <c r="CV51" s="197">
        <f>'Energy Inputs'!$G$58*$CV$34</f>
        <v>0</v>
      </c>
      <c r="CW51" s="197">
        <f t="shared" si="154"/>
        <v>0</v>
      </c>
      <c r="CX51" s="197">
        <f>'Margins summary'!$W$14</f>
        <v>330</v>
      </c>
      <c r="CY51" s="197">
        <f t="shared" si="133"/>
        <v>330</v>
      </c>
      <c r="CZ51" s="197"/>
      <c r="DA51" s="918">
        <f>'Energy NPV'!U104</f>
        <v>418.53934399999991</v>
      </c>
      <c r="DB51" s="197"/>
      <c r="DC51" s="197">
        <f t="shared" si="134"/>
        <v>418.53934399999991</v>
      </c>
      <c r="DD51" s="197">
        <f t="shared" si="86"/>
        <v>-418.53934399999991</v>
      </c>
      <c r="DE51" s="197">
        <f t="shared" si="87"/>
        <v>-88.539343999999915</v>
      </c>
      <c r="DF51" s="196">
        <f t="shared" si="135"/>
        <v>0</v>
      </c>
      <c r="DG51" s="197">
        <f t="shared" si="136"/>
        <v>224.71394219774871</v>
      </c>
      <c r="DH51" s="197">
        <f t="shared" si="137"/>
        <v>285.00492713666557</v>
      </c>
      <c r="DI51" s="197">
        <f t="shared" si="138"/>
        <v>-285.00492713666557</v>
      </c>
      <c r="DJ51" s="199">
        <f t="shared" si="139"/>
        <v>-60.290984938916878</v>
      </c>
      <c r="DK51" s="196">
        <f t="shared" si="155"/>
        <v>0</v>
      </c>
      <c r="DL51" s="197">
        <f t="shared" si="140"/>
        <v>3839.5352600750457</v>
      </c>
      <c r="DM51" s="197">
        <f t="shared" si="141"/>
        <v>7568.9516144876825</v>
      </c>
      <c r="DN51" s="197">
        <f t="shared" si="142"/>
        <v>-7568.9516144876825</v>
      </c>
      <c r="DO51" s="199">
        <f t="shared" si="143"/>
        <v>-3729.4163544126368</v>
      </c>
    </row>
    <row r="52" spans="2:129" x14ac:dyDescent="0.3">
      <c r="B52" s="204">
        <f t="shared" si="144"/>
        <v>15</v>
      </c>
      <c r="C52" s="197">
        <f>'Energy NPV'!$D105</f>
        <v>15</v>
      </c>
      <c r="D52" s="197">
        <f>'Energy Inputs'!$G$58*$E$34</f>
        <v>43.75</v>
      </c>
      <c r="E52" s="197">
        <f t="shared" si="145"/>
        <v>656.25</v>
      </c>
      <c r="F52" s="197">
        <f>'Margins summary'!$W$14</f>
        <v>330</v>
      </c>
      <c r="G52" s="197">
        <f t="shared" si="88"/>
        <v>986.25</v>
      </c>
      <c r="H52" s="197"/>
      <c r="I52" s="918">
        <f>'Energy NPV'!U105</f>
        <v>418.53934399999991</v>
      </c>
      <c r="J52" s="197"/>
      <c r="K52" s="197">
        <f t="shared" si="89"/>
        <v>418.53934399999991</v>
      </c>
      <c r="L52" s="197">
        <f t="shared" si="78"/>
        <v>237.71065600000009</v>
      </c>
      <c r="M52" s="197">
        <f t="shared" si="79"/>
        <v>567.71065600000009</v>
      </c>
      <c r="N52" s="196">
        <f t="shared" si="90"/>
        <v>433.85856006846888</v>
      </c>
      <c r="O52" s="197">
        <f t="shared" si="91"/>
        <v>218.16887592014436</v>
      </c>
      <c r="P52" s="197">
        <f t="shared" si="92"/>
        <v>276.70381275404424</v>
      </c>
      <c r="Q52" s="197">
        <f t="shared" si="93"/>
        <v>157.15474731442467</v>
      </c>
      <c r="R52" s="199">
        <f t="shared" si="94"/>
        <v>375.32362323456903</v>
      </c>
      <c r="S52" s="196">
        <f t="shared" si="146"/>
        <v>7082.589344466337</v>
      </c>
      <c r="T52" s="197">
        <f t="shared" si="95"/>
        <v>4057.70413599519</v>
      </c>
      <c r="U52" s="197">
        <f t="shared" si="95"/>
        <v>7845.655427241727</v>
      </c>
      <c r="V52" s="197">
        <f t="shared" si="95"/>
        <v>-763.06608277539067</v>
      </c>
      <c r="W52" s="199">
        <f t="shared" si="95"/>
        <v>3294.6380532197986</v>
      </c>
      <c r="X52" s="197"/>
      <c r="Z52" s="900">
        <v>15</v>
      </c>
      <c r="AA52" s="197">
        <f t="shared" si="96"/>
        <v>15</v>
      </c>
      <c r="AB52" s="197">
        <f>'Energy Inputs'!$G$58*$AB$34</f>
        <v>65.625</v>
      </c>
      <c r="AC52" s="197">
        <f t="shared" si="147"/>
        <v>984.375</v>
      </c>
      <c r="AD52" s="197">
        <f>'Margins summary'!$W$14</f>
        <v>330</v>
      </c>
      <c r="AE52" s="197">
        <f t="shared" si="97"/>
        <v>1314.375</v>
      </c>
      <c r="AF52" s="197"/>
      <c r="AG52" s="918">
        <f>'Energy NPV'!U105</f>
        <v>418.53934399999991</v>
      </c>
      <c r="AH52" s="197"/>
      <c r="AI52" s="197">
        <f t="shared" si="98"/>
        <v>418.53934399999991</v>
      </c>
      <c r="AJ52" s="197">
        <f t="shared" si="80"/>
        <v>565.83565600000009</v>
      </c>
      <c r="AK52" s="197">
        <f t="shared" si="81"/>
        <v>895.83565600000009</v>
      </c>
      <c r="AL52" s="196">
        <f t="shared" si="99"/>
        <v>650.78784010270329</v>
      </c>
      <c r="AM52" s="197">
        <f t="shared" si="100"/>
        <v>218.16887592014436</v>
      </c>
      <c r="AN52" s="197">
        <f t="shared" si="101"/>
        <v>276.70381275404424</v>
      </c>
      <c r="AO52" s="197">
        <f t="shared" si="102"/>
        <v>374.08402734865911</v>
      </c>
      <c r="AP52" s="199">
        <f t="shared" si="103"/>
        <v>592.25290326880349</v>
      </c>
      <c r="AQ52" s="196">
        <f t="shared" si="148"/>
        <v>10623.884016699501</v>
      </c>
      <c r="AR52" s="197">
        <f t="shared" si="104"/>
        <v>4057.70413599519</v>
      </c>
      <c r="AS52" s="197">
        <f t="shared" si="105"/>
        <v>7845.655427241727</v>
      </c>
      <c r="AT52" s="197">
        <f t="shared" si="106"/>
        <v>2778.2285894577767</v>
      </c>
      <c r="AU52" s="199">
        <f t="shared" si="107"/>
        <v>6835.9327254529653</v>
      </c>
      <c r="AV52" s="197"/>
      <c r="AX52" s="900">
        <v>15</v>
      </c>
      <c r="AY52" s="197">
        <f t="shared" si="108"/>
        <v>15</v>
      </c>
      <c r="AZ52" s="197">
        <f>'Energy Inputs'!$G$58*$AZ$34</f>
        <v>21.875</v>
      </c>
      <c r="BA52" s="197">
        <f t="shared" si="149"/>
        <v>328.125</v>
      </c>
      <c r="BB52" s="197">
        <f>'Margins summary'!$W$14</f>
        <v>330</v>
      </c>
      <c r="BC52" s="197">
        <f t="shared" si="109"/>
        <v>658.125</v>
      </c>
      <c r="BD52" s="197"/>
      <c r="BE52" s="918">
        <f>'Energy NPV'!U105</f>
        <v>418.53934399999991</v>
      </c>
      <c r="BF52" s="197"/>
      <c r="BG52" s="197">
        <f t="shared" si="110"/>
        <v>418.53934399999991</v>
      </c>
      <c r="BH52" s="197">
        <f t="shared" si="82"/>
        <v>-90.414343999999915</v>
      </c>
      <c r="BI52" s="197">
        <f t="shared" si="83"/>
        <v>239.58565600000009</v>
      </c>
      <c r="BJ52" s="196">
        <f t="shared" si="111"/>
        <v>216.92928003423444</v>
      </c>
      <c r="BK52" s="197">
        <f t="shared" si="112"/>
        <v>218.16887592014436</v>
      </c>
      <c r="BL52" s="197">
        <f t="shared" si="113"/>
        <v>276.70381275404424</v>
      </c>
      <c r="BM52" s="197">
        <f t="shared" si="114"/>
        <v>-59.774532719809784</v>
      </c>
      <c r="BN52" s="199">
        <f t="shared" si="115"/>
        <v>158.39434320033456</v>
      </c>
      <c r="BO52" s="196">
        <f t="shared" si="150"/>
        <v>3541.2946722331685</v>
      </c>
      <c r="BP52" s="197">
        <f t="shared" si="116"/>
        <v>4057.70413599519</v>
      </c>
      <c r="BQ52" s="197">
        <f t="shared" si="117"/>
        <v>7845.655427241727</v>
      </c>
      <c r="BR52" s="197">
        <f t="shared" si="118"/>
        <v>-4304.3607550085599</v>
      </c>
      <c r="BS52" s="199">
        <f t="shared" si="119"/>
        <v>-246.65661901336887</v>
      </c>
      <c r="BV52" s="900">
        <v>15</v>
      </c>
      <c r="BW52" s="197">
        <f t="shared" si="120"/>
        <v>15</v>
      </c>
      <c r="BX52" s="197">
        <f>'Energy Inputs'!$G$58*$BX$34</f>
        <v>87.5</v>
      </c>
      <c r="BY52" s="197">
        <f t="shared" si="151"/>
        <v>1312.5</v>
      </c>
      <c r="BZ52" s="197">
        <f>'Margins summary'!$W$14</f>
        <v>330</v>
      </c>
      <c r="CA52" s="197">
        <f t="shared" si="121"/>
        <v>1642.5</v>
      </c>
      <c r="CB52" s="197"/>
      <c r="CC52" s="918">
        <f>'Energy NPV'!U105</f>
        <v>418.53934399999991</v>
      </c>
      <c r="CD52" s="197"/>
      <c r="CE52" s="197">
        <f t="shared" si="122"/>
        <v>418.53934399999991</v>
      </c>
      <c r="CF52" s="197">
        <f t="shared" si="84"/>
        <v>893.96065600000009</v>
      </c>
      <c r="CG52" s="197">
        <f t="shared" si="85"/>
        <v>1223.9606560000002</v>
      </c>
      <c r="CH52" s="196">
        <f t="shared" si="123"/>
        <v>867.71712013693775</v>
      </c>
      <c r="CI52" s="197">
        <f t="shared" si="124"/>
        <v>218.16887592014436</v>
      </c>
      <c r="CJ52" s="197">
        <f t="shared" si="125"/>
        <v>276.70381275404424</v>
      </c>
      <c r="CK52" s="197">
        <f t="shared" si="126"/>
        <v>591.01330738289357</v>
      </c>
      <c r="CL52" s="199">
        <f t="shared" si="127"/>
        <v>809.18218330303796</v>
      </c>
      <c r="CM52" s="196">
        <f t="shared" si="152"/>
        <v>14165.178688932674</v>
      </c>
      <c r="CN52" s="197">
        <f t="shared" si="128"/>
        <v>4057.70413599519</v>
      </c>
      <c r="CO52" s="197">
        <f t="shared" si="129"/>
        <v>7845.655427241727</v>
      </c>
      <c r="CP52" s="197">
        <f t="shared" si="130"/>
        <v>6319.5232616909443</v>
      </c>
      <c r="CQ52" s="199">
        <f t="shared" si="131"/>
        <v>10377.227397686134</v>
      </c>
      <c r="CT52" s="204">
        <f t="shared" si="153"/>
        <v>15</v>
      </c>
      <c r="CU52" s="197">
        <f t="shared" si="132"/>
        <v>15</v>
      </c>
      <c r="CV52" s="197">
        <f>'Energy Inputs'!$G$58*$CV$34</f>
        <v>0</v>
      </c>
      <c r="CW52" s="197">
        <f t="shared" si="154"/>
        <v>0</v>
      </c>
      <c r="CX52" s="197">
        <f>'Margins summary'!$W$14</f>
        <v>330</v>
      </c>
      <c r="CY52" s="197">
        <f t="shared" si="133"/>
        <v>330</v>
      </c>
      <c r="CZ52" s="197"/>
      <c r="DA52" s="918">
        <f>'Energy NPV'!U105</f>
        <v>418.53934399999991</v>
      </c>
      <c r="DB52" s="197"/>
      <c r="DC52" s="197">
        <f t="shared" si="134"/>
        <v>418.53934399999991</v>
      </c>
      <c r="DD52" s="197">
        <f t="shared" si="86"/>
        <v>-418.53934399999991</v>
      </c>
      <c r="DE52" s="197">
        <f t="shared" si="87"/>
        <v>-88.539343999999915</v>
      </c>
      <c r="DF52" s="196">
        <f t="shared" si="135"/>
        <v>0</v>
      </c>
      <c r="DG52" s="197">
        <f t="shared" si="136"/>
        <v>218.16887592014436</v>
      </c>
      <c r="DH52" s="197">
        <f t="shared" si="137"/>
        <v>276.70381275404424</v>
      </c>
      <c r="DI52" s="197">
        <f t="shared" si="138"/>
        <v>-276.70381275404424</v>
      </c>
      <c r="DJ52" s="199">
        <f t="shared" si="139"/>
        <v>-58.534936833899877</v>
      </c>
      <c r="DK52" s="196">
        <f t="shared" si="155"/>
        <v>0</v>
      </c>
      <c r="DL52" s="197">
        <f t="shared" si="140"/>
        <v>4057.70413599519</v>
      </c>
      <c r="DM52" s="197">
        <f t="shared" si="141"/>
        <v>7845.655427241727</v>
      </c>
      <c r="DN52" s="197">
        <f t="shared" si="142"/>
        <v>-7845.655427241727</v>
      </c>
      <c r="DO52" s="199">
        <f t="shared" si="143"/>
        <v>-3787.9512912465366</v>
      </c>
    </row>
    <row r="53" spans="2:129" x14ac:dyDescent="0.3">
      <c r="B53" s="206">
        <f t="shared" si="144"/>
        <v>16</v>
      </c>
      <c r="C53" s="207">
        <f>'Energy NPV'!$D106</f>
        <v>15</v>
      </c>
      <c r="D53" s="207">
        <f>'Energy Inputs'!$G$58*$E$34</f>
        <v>43.75</v>
      </c>
      <c r="E53" s="207">
        <f t="shared" si="145"/>
        <v>656.25</v>
      </c>
      <c r="F53" s="207">
        <f>'Margins summary'!$W$14</f>
        <v>330</v>
      </c>
      <c r="G53" s="207">
        <f t="shared" si="88"/>
        <v>986.25</v>
      </c>
      <c r="H53" s="207"/>
      <c r="I53" s="919">
        <f>'Energy NPV'!U106</f>
        <v>418.53934399999991</v>
      </c>
      <c r="J53" s="207">
        <f>'Energy margins'!$AE$67</f>
        <v>192.1</v>
      </c>
      <c r="K53" s="207">
        <f t="shared" si="89"/>
        <v>610.63934399999994</v>
      </c>
      <c r="L53" s="207">
        <f t="shared" si="78"/>
        <v>45.610656000000063</v>
      </c>
      <c r="M53" s="207">
        <f t="shared" si="79"/>
        <v>375.61065600000006</v>
      </c>
      <c r="N53" s="208">
        <f>E53/(1+$B$4)^(B53-1)</f>
        <v>421.221902979096</v>
      </c>
      <c r="O53" s="207">
        <f>F53/(1+$B$4)^(B53-1)</f>
        <v>211.81444264091684</v>
      </c>
      <c r="P53" s="207">
        <f>K53/(1+$B$4)^(B53-1)</f>
        <v>391.94615849689416</v>
      </c>
      <c r="Q53" s="207">
        <f>L53/(1+$B$4)^(B53-1)</f>
        <v>29.275744482201826</v>
      </c>
      <c r="R53" s="209">
        <f>M53/(1+$B$4)^(B53-1)</f>
        <v>241.09018712311865</v>
      </c>
      <c r="S53" s="208">
        <f t="shared" si="146"/>
        <v>7503.8112474454329</v>
      </c>
      <c r="T53" s="207">
        <f t="shared" si="95"/>
        <v>4269.5185786361071</v>
      </c>
      <c r="U53" s="207">
        <f t="shared" si="95"/>
        <v>8237.601585738621</v>
      </c>
      <c r="V53" s="207">
        <f t="shared" si="95"/>
        <v>-733.79033829318882</v>
      </c>
      <c r="W53" s="209">
        <f t="shared" si="95"/>
        <v>3535.7282403429172</v>
      </c>
      <c r="X53" s="197"/>
      <c r="Z53" s="901">
        <v>16</v>
      </c>
      <c r="AA53" s="207">
        <f t="shared" si="96"/>
        <v>15</v>
      </c>
      <c r="AB53" s="207">
        <f>'Energy Inputs'!$G$58*$AB$34</f>
        <v>65.625</v>
      </c>
      <c r="AC53" s="207">
        <f t="shared" si="147"/>
        <v>984.375</v>
      </c>
      <c r="AD53" s="207">
        <f>'Margins summary'!$W$14</f>
        <v>330</v>
      </c>
      <c r="AE53" s="207">
        <f t="shared" si="97"/>
        <v>1314.375</v>
      </c>
      <c r="AF53" s="207"/>
      <c r="AG53" s="919">
        <f>'Energy NPV'!U106</f>
        <v>418.53934399999991</v>
      </c>
      <c r="AH53" s="207">
        <f>'Energy margins'!$AE$67</f>
        <v>192.1</v>
      </c>
      <c r="AI53" s="207">
        <f t="shared" si="98"/>
        <v>610.63934399999994</v>
      </c>
      <c r="AJ53" s="207">
        <f t="shared" si="80"/>
        <v>373.73565600000006</v>
      </c>
      <c r="AK53" s="207">
        <f t="shared" si="81"/>
        <v>703.73565600000006</v>
      </c>
      <c r="AL53" s="208">
        <f>AC53/(1+$B$4)^(Z53-1)</f>
        <v>631.83285446864397</v>
      </c>
      <c r="AM53" s="207">
        <f>AD53/(1+$B$4)^(Z53-1)</f>
        <v>211.81444264091684</v>
      </c>
      <c r="AN53" s="207">
        <f>AI53/(1+$B$4)^(Z53-1)</f>
        <v>391.94615849689416</v>
      </c>
      <c r="AO53" s="207">
        <f>AJ53/(1+$B$4)^(Z53-1)</f>
        <v>239.88669597174982</v>
      </c>
      <c r="AP53" s="209">
        <f>AK53/(1+$B$4)^(Z53-1)</f>
        <v>451.70113861266663</v>
      </c>
      <c r="AQ53" s="208">
        <f>AQ52+AL53</f>
        <v>11255.716871168146</v>
      </c>
      <c r="AR53" s="207">
        <f t="shared" si="104"/>
        <v>4269.5185786361071</v>
      </c>
      <c r="AS53" s="207">
        <f t="shared" si="105"/>
        <v>8237.601585738621</v>
      </c>
      <c r="AT53" s="207">
        <f t="shared" si="106"/>
        <v>3018.1152854295265</v>
      </c>
      <c r="AU53" s="209">
        <f t="shared" si="107"/>
        <v>7287.6338640656322</v>
      </c>
      <c r="AV53" s="197"/>
      <c r="AX53" s="901">
        <v>16</v>
      </c>
      <c r="AY53" s="207">
        <f t="shared" si="108"/>
        <v>15</v>
      </c>
      <c r="AZ53" s="207">
        <f>'Energy Inputs'!$G$58*$AZ$34</f>
        <v>21.875</v>
      </c>
      <c r="BA53" s="207">
        <f t="shared" si="149"/>
        <v>328.125</v>
      </c>
      <c r="BB53" s="207">
        <f>'Margins summary'!$W$14</f>
        <v>330</v>
      </c>
      <c r="BC53" s="207">
        <f t="shared" si="109"/>
        <v>658.125</v>
      </c>
      <c r="BD53" s="207"/>
      <c r="BE53" s="919">
        <f>'Energy NPV'!U106</f>
        <v>418.53934399999991</v>
      </c>
      <c r="BF53" s="207">
        <f>'Energy margins'!$AE$67</f>
        <v>192.1</v>
      </c>
      <c r="BG53" s="207">
        <f t="shared" si="110"/>
        <v>610.63934399999994</v>
      </c>
      <c r="BH53" s="207">
        <f t="shared" si="82"/>
        <v>-282.51434399999994</v>
      </c>
      <c r="BI53" s="207">
        <f t="shared" si="83"/>
        <v>47.485656000000063</v>
      </c>
      <c r="BJ53" s="208">
        <f>BA53/(1+$B$4)^(AX53-1)</f>
        <v>210.610951489548</v>
      </c>
      <c r="BK53" s="207">
        <f>BB53/(1+$B$4)^(AX53-1)</f>
        <v>211.81444264091684</v>
      </c>
      <c r="BL53" s="207">
        <f>BG53/(1+$B$4)^(AX53-1)</f>
        <v>391.94615849689416</v>
      </c>
      <c r="BM53" s="207">
        <f>BH53/(1+$B$4)^(AX53-1)</f>
        <v>-181.33520700734616</v>
      </c>
      <c r="BN53" s="209">
        <f>BI53/(1+$B$4)^(AX53-1)</f>
        <v>30.479235633570671</v>
      </c>
      <c r="BO53" s="208">
        <f t="shared" si="150"/>
        <v>3751.9056237227164</v>
      </c>
      <c r="BP53" s="207">
        <f t="shared" si="116"/>
        <v>4269.5185786361071</v>
      </c>
      <c r="BQ53" s="207">
        <f t="shared" si="117"/>
        <v>8237.601585738621</v>
      </c>
      <c r="BR53" s="207">
        <f t="shared" si="118"/>
        <v>-4485.6959620159059</v>
      </c>
      <c r="BS53" s="209">
        <f t="shared" si="119"/>
        <v>-216.17738337979819</v>
      </c>
      <c r="BV53" s="901">
        <v>16</v>
      </c>
      <c r="BW53" s="207">
        <f t="shared" si="120"/>
        <v>15</v>
      </c>
      <c r="BX53" s="207">
        <f>'Energy Inputs'!$G$58*$BX$34</f>
        <v>87.5</v>
      </c>
      <c r="BY53" s="207">
        <f t="shared" si="151"/>
        <v>1312.5</v>
      </c>
      <c r="BZ53" s="207">
        <f>'Margins summary'!$W$14</f>
        <v>330</v>
      </c>
      <c r="CA53" s="207">
        <f t="shared" si="121"/>
        <v>1642.5</v>
      </c>
      <c r="CB53" s="207"/>
      <c r="CC53" s="919">
        <f>'Energy NPV'!U106</f>
        <v>418.53934399999991</v>
      </c>
      <c r="CD53" s="207">
        <f>'Energy margins'!$AE$67</f>
        <v>192.1</v>
      </c>
      <c r="CE53" s="207">
        <f t="shared" si="122"/>
        <v>610.63934399999994</v>
      </c>
      <c r="CF53" s="207">
        <f t="shared" si="84"/>
        <v>701.86065600000006</v>
      </c>
      <c r="CG53" s="207">
        <f t="shared" si="85"/>
        <v>1031.8606560000001</v>
      </c>
      <c r="CH53" s="208">
        <f>BY53/(1+$B$4)^(BV53-1)</f>
        <v>842.443805958192</v>
      </c>
      <c r="CI53" s="207">
        <f>BZ53/(1+$B$4)^(BV53-1)</f>
        <v>211.81444264091684</v>
      </c>
      <c r="CJ53" s="207">
        <f>CE53/(1+$B$4)^(BV53-1)</f>
        <v>391.94615849689416</v>
      </c>
      <c r="CK53" s="207">
        <f>CF53/(1+$B$4)^(BV53-1)</f>
        <v>450.49764746129779</v>
      </c>
      <c r="CL53" s="209">
        <f>CG53/(1+$B$4)^(BV53-1)</f>
        <v>662.3120901022146</v>
      </c>
      <c r="CM53" s="208">
        <f t="shared" si="152"/>
        <v>15007.622494890866</v>
      </c>
      <c r="CN53" s="207">
        <f t="shared" si="128"/>
        <v>4269.5185786361071</v>
      </c>
      <c r="CO53" s="207">
        <f t="shared" si="129"/>
        <v>8237.601585738621</v>
      </c>
      <c r="CP53" s="207">
        <f t="shared" si="130"/>
        <v>6770.020909152242</v>
      </c>
      <c r="CQ53" s="209">
        <f t="shared" si="131"/>
        <v>11039.539487788348</v>
      </c>
      <c r="CT53" s="206">
        <f t="shared" si="153"/>
        <v>16</v>
      </c>
      <c r="CU53" s="207">
        <f t="shared" si="132"/>
        <v>15</v>
      </c>
      <c r="CV53" s="207">
        <f>'Energy Inputs'!$G$58*$CV$34</f>
        <v>0</v>
      </c>
      <c r="CW53" s="207">
        <f t="shared" si="154"/>
        <v>0</v>
      </c>
      <c r="CX53" s="207">
        <f>'Margins summary'!$W$14</f>
        <v>330</v>
      </c>
      <c r="CY53" s="207">
        <f t="shared" si="133"/>
        <v>330</v>
      </c>
      <c r="CZ53" s="207"/>
      <c r="DA53" s="919">
        <f>'Energy NPV'!U106</f>
        <v>418.53934399999991</v>
      </c>
      <c r="DB53" s="207">
        <f>'Energy margins'!$AE$67</f>
        <v>192.1</v>
      </c>
      <c r="DC53" s="207">
        <f t="shared" si="134"/>
        <v>610.63934399999994</v>
      </c>
      <c r="DD53" s="207">
        <f t="shared" si="86"/>
        <v>-610.63934399999994</v>
      </c>
      <c r="DE53" s="207">
        <f t="shared" si="87"/>
        <v>-280.63934399999994</v>
      </c>
      <c r="DF53" s="208">
        <f>CW53/(1+$B$4)^(CT53-1)</f>
        <v>0</v>
      </c>
      <c r="DG53" s="207">
        <f>CX53/(1+$B$4)^(CT53-1)</f>
        <v>211.81444264091684</v>
      </c>
      <c r="DH53" s="207">
        <f>DC53/(1+$B$4)^(CT53-1)</f>
        <v>391.94615849689416</v>
      </c>
      <c r="DI53" s="207">
        <f>DD53/(1+$B$4)^(CT53-1)</f>
        <v>-391.94615849689416</v>
      </c>
      <c r="DJ53" s="209">
        <f>DE53/(1+$B$4)^(CT53-1)</f>
        <v>-180.13171585597732</v>
      </c>
      <c r="DK53" s="208">
        <f t="shared" si="155"/>
        <v>0</v>
      </c>
      <c r="DL53" s="207">
        <f t="shared" si="140"/>
        <v>4269.5185786361071</v>
      </c>
      <c r="DM53" s="207">
        <f t="shared" si="141"/>
        <v>8237.601585738621</v>
      </c>
      <c r="DN53" s="207">
        <f t="shared" si="142"/>
        <v>-8237.601585738621</v>
      </c>
      <c r="DO53" s="209">
        <f t="shared" si="143"/>
        <v>-3968.0830071025139</v>
      </c>
    </row>
    <row r="54" spans="2:129" x14ac:dyDescent="0.3">
      <c r="AB54" s="197"/>
      <c r="BW54" s="158"/>
    </row>
    <row r="58" spans="2:129" x14ac:dyDescent="0.3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</row>
    <row r="59" spans="2:129" x14ac:dyDescent="0.3">
      <c r="B59" s="212" t="s">
        <v>285</v>
      </c>
      <c r="C59" s="763" t="s">
        <v>384</v>
      </c>
      <c r="D59" s="269" t="s">
        <v>395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285</v>
      </c>
      <c r="AC59" s="763" t="s">
        <v>385</v>
      </c>
      <c r="AD59" s="267" t="s">
        <v>302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285</v>
      </c>
      <c r="BC59" s="763" t="s">
        <v>386</v>
      </c>
      <c r="BD59" s="267" t="s">
        <v>302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285</v>
      </c>
      <c r="CC59" s="763" t="s">
        <v>387</v>
      </c>
      <c r="CD59" s="267" t="s">
        <v>302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DB59" s="212" t="s">
        <v>285</v>
      </c>
      <c r="DC59" s="763" t="s">
        <v>388</v>
      </c>
      <c r="DD59" s="267" t="s">
        <v>302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3"/>
      <c r="E60" s="158"/>
      <c r="F60" s="158"/>
      <c r="G60" s="158"/>
      <c r="H60" s="758"/>
      <c r="I60" s="758"/>
      <c r="J60" s="758"/>
      <c r="K60" s="148"/>
      <c r="L60" s="148"/>
      <c r="M60" s="758"/>
      <c r="N60" s="148"/>
      <c r="O60" s="148"/>
      <c r="P60" s="1029" t="s">
        <v>270</v>
      </c>
      <c r="Q60" s="1030"/>
      <c r="R60" s="1030"/>
      <c r="S60" s="1030"/>
      <c r="T60" s="1031"/>
      <c r="U60" s="1029" t="s">
        <v>271</v>
      </c>
      <c r="V60" s="1030"/>
      <c r="W60" s="1030"/>
      <c r="X60" s="1030"/>
      <c r="Y60" s="1031"/>
      <c r="Z60" s="1001"/>
      <c r="AB60" s="203"/>
      <c r="AC60" s="63"/>
      <c r="AE60" s="158"/>
      <c r="AF60" s="158"/>
      <c r="AG60" s="158"/>
      <c r="AH60" s="758"/>
      <c r="AI60" s="758"/>
      <c r="AJ60" s="758"/>
      <c r="AK60" s="148"/>
      <c r="AL60" s="148"/>
      <c r="AM60" s="758"/>
      <c r="AN60" s="148"/>
      <c r="AO60" s="148"/>
      <c r="AP60" s="1029" t="s">
        <v>270</v>
      </c>
      <c r="AQ60" s="1030"/>
      <c r="AR60" s="1030"/>
      <c r="AS60" s="1030"/>
      <c r="AT60" s="1031"/>
      <c r="AU60" s="1029" t="s">
        <v>271</v>
      </c>
      <c r="AV60" s="1030"/>
      <c r="AW60" s="1030"/>
      <c r="AX60" s="1030"/>
      <c r="AY60" s="1031"/>
      <c r="BB60" s="203"/>
      <c r="BC60" s="63"/>
      <c r="BE60" s="158"/>
      <c r="BF60" s="158"/>
      <c r="BG60" s="158"/>
      <c r="BH60" s="758"/>
      <c r="BI60" s="758"/>
      <c r="BJ60" s="758"/>
      <c r="BK60" s="148"/>
      <c r="BL60" s="148"/>
      <c r="BM60" s="758"/>
      <c r="BN60" s="148"/>
      <c r="BO60" s="148"/>
      <c r="BP60" s="1029" t="s">
        <v>270</v>
      </c>
      <c r="BQ60" s="1030"/>
      <c r="BR60" s="1030"/>
      <c r="BS60" s="1030"/>
      <c r="BT60" s="1031"/>
      <c r="BU60" s="1029" t="s">
        <v>271</v>
      </c>
      <c r="BV60" s="1030"/>
      <c r="BW60" s="1030"/>
      <c r="BX60" s="1030"/>
      <c r="BY60" s="1031"/>
      <c r="CB60" s="203"/>
      <c r="CC60" s="63"/>
      <c r="CE60" s="158"/>
      <c r="CF60" s="158"/>
      <c r="CG60" s="158"/>
      <c r="CH60" s="758"/>
      <c r="CI60" s="758"/>
      <c r="CJ60" s="758"/>
      <c r="CK60" s="148"/>
      <c r="CL60" s="148"/>
      <c r="CM60" s="758"/>
      <c r="CN60" s="148"/>
      <c r="CO60" s="148"/>
      <c r="CP60" s="1029" t="s">
        <v>270</v>
      </c>
      <c r="CQ60" s="1030"/>
      <c r="CR60" s="1030"/>
      <c r="CS60" s="1030"/>
      <c r="CT60" s="1031"/>
      <c r="CU60" s="1029" t="s">
        <v>271</v>
      </c>
      <c r="CV60" s="1030"/>
      <c r="CW60" s="1030"/>
      <c r="CX60" s="1030"/>
      <c r="CY60" s="1031"/>
      <c r="DB60" s="203"/>
      <c r="DC60" s="63"/>
      <c r="DE60" s="158"/>
      <c r="DF60" s="158"/>
      <c r="DG60" s="158"/>
      <c r="DH60" s="758"/>
      <c r="DI60" s="758"/>
      <c r="DJ60" s="758"/>
      <c r="DK60" s="148"/>
      <c r="DL60" s="148"/>
      <c r="DM60" s="758"/>
      <c r="DN60" s="148"/>
      <c r="DO60" s="148"/>
      <c r="DP60" s="1029" t="s">
        <v>270</v>
      </c>
      <c r="DQ60" s="1030"/>
      <c r="DR60" s="1030"/>
      <c r="DS60" s="1030"/>
      <c r="DT60" s="1031"/>
      <c r="DU60" s="1029" t="s">
        <v>271</v>
      </c>
      <c r="DV60" s="1030"/>
      <c r="DW60" s="1030"/>
      <c r="DX60" s="1030"/>
      <c r="DY60" s="1031"/>
    </row>
    <row r="61" spans="2:129" ht="51" x14ac:dyDescent="0.3">
      <c r="B61" s="204" t="s">
        <v>272</v>
      </c>
      <c r="C61" s="225" t="s">
        <v>273</v>
      </c>
      <c r="D61" s="205" t="s">
        <v>289</v>
      </c>
      <c r="E61" s="205" t="s">
        <v>290</v>
      </c>
      <c r="F61" s="205" t="s">
        <v>669</v>
      </c>
      <c r="G61" s="205" t="s">
        <v>670</v>
      </c>
      <c r="H61" s="171" t="s">
        <v>676</v>
      </c>
      <c r="I61" s="171" t="s">
        <v>672</v>
      </c>
      <c r="J61" s="171" t="s">
        <v>677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276</v>
      </c>
      <c r="N61" s="171" t="s">
        <v>678</v>
      </c>
      <c r="O61" s="171" t="s">
        <v>679</v>
      </c>
      <c r="P61" s="195" t="s">
        <v>277</v>
      </c>
      <c r="Q61" s="171" t="s">
        <v>680</v>
      </c>
      <c r="R61" s="171" t="s">
        <v>278</v>
      </c>
      <c r="S61" s="171" t="s">
        <v>681</v>
      </c>
      <c r="T61" s="198" t="s">
        <v>279</v>
      </c>
      <c r="U61" s="195" t="s">
        <v>280</v>
      </c>
      <c r="V61" s="171" t="s">
        <v>682</v>
      </c>
      <c r="W61" s="171" t="s">
        <v>281</v>
      </c>
      <c r="X61" s="171" t="s">
        <v>683</v>
      </c>
      <c r="Y61" s="198" t="s">
        <v>282</v>
      </c>
      <c r="Z61" s="171"/>
      <c r="AB61" s="204" t="s">
        <v>272</v>
      </c>
      <c r="AC61" s="225" t="s">
        <v>273</v>
      </c>
      <c r="AD61" s="205" t="s">
        <v>289</v>
      </c>
      <c r="AE61" s="205" t="s">
        <v>290</v>
      </c>
      <c r="AF61" s="205" t="s">
        <v>669</v>
      </c>
      <c r="AG61" s="205" t="s">
        <v>670</v>
      </c>
      <c r="AH61" s="171" t="s">
        <v>676</v>
      </c>
      <c r="AI61" s="171" t="s">
        <v>672</v>
      </c>
      <c r="AJ61" s="171" t="s">
        <v>677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276</v>
      </c>
      <c r="AN61" s="171" t="s">
        <v>678</v>
      </c>
      <c r="AO61" s="171" t="s">
        <v>679</v>
      </c>
      <c r="AP61" s="195" t="s">
        <v>277</v>
      </c>
      <c r="AQ61" s="171" t="s">
        <v>680</v>
      </c>
      <c r="AR61" s="171" t="s">
        <v>278</v>
      </c>
      <c r="AS61" s="171" t="s">
        <v>681</v>
      </c>
      <c r="AT61" s="198" t="s">
        <v>279</v>
      </c>
      <c r="AU61" s="195" t="s">
        <v>280</v>
      </c>
      <c r="AV61" s="171" t="s">
        <v>682</v>
      </c>
      <c r="AW61" s="171" t="s">
        <v>281</v>
      </c>
      <c r="AX61" s="171" t="s">
        <v>683</v>
      </c>
      <c r="AY61" s="198" t="s">
        <v>282</v>
      </c>
      <c r="BB61" s="204" t="s">
        <v>272</v>
      </c>
      <c r="BC61" s="225" t="s">
        <v>273</v>
      </c>
      <c r="BD61" s="205" t="s">
        <v>289</v>
      </c>
      <c r="BE61" s="205" t="s">
        <v>290</v>
      </c>
      <c r="BF61" s="205" t="s">
        <v>669</v>
      </c>
      <c r="BG61" s="205" t="s">
        <v>670</v>
      </c>
      <c r="BH61" s="171" t="s">
        <v>676</v>
      </c>
      <c r="BI61" s="171" t="s">
        <v>672</v>
      </c>
      <c r="BJ61" s="171" t="s">
        <v>677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276</v>
      </c>
      <c r="BN61" s="171" t="s">
        <v>678</v>
      </c>
      <c r="BO61" s="171" t="s">
        <v>679</v>
      </c>
      <c r="BP61" s="195" t="s">
        <v>277</v>
      </c>
      <c r="BQ61" s="171" t="s">
        <v>680</v>
      </c>
      <c r="BR61" s="171" t="s">
        <v>278</v>
      </c>
      <c r="BS61" s="171" t="s">
        <v>681</v>
      </c>
      <c r="BT61" s="198" t="s">
        <v>279</v>
      </c>
      <c r="BU61" s="195" t="s">
        <v>280</v>
      </c>
      <c r="BV61" s="171" t="s">
        <v>682</v>
      </c>
      <c r="BW61" s="171" t="s">
        <v>281</v>
      </c>
      <c r="BX61" s="171" t="s">
        <v>683</v>
      </c>
      <c r="BY61" s="198" t="s">
        <v>282</v>
      </c>
      <c r="CB61" s="204" t="s">
        <v>272</v>
      </c>
      <c r="CC61" s="225" t="s">
        <v>273</v>
      </c>
      <c r="CD61" s="205" t="s">
        <v>289</v>
      </c>
      <c r="CE61" s="205" t="s">
        <v>290</v>
      </c>
      <c r="CF61" s="205" t="s">
        <v>669</v>
      </c>
      <c r="CG61" s="205" t="s">
        <v>670</v>
      </c>
      <c r="CH61" s="171" t="s">
        <v>676</v>
      </c>
      <c r="CI61" s="171" t="s">
        <v>672</v>
      </c>
      <c r="CJ61" s="171" t="s">
        <v>677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276</v>
      </c>
      <c r="CN61" s="171" t="s">
        <v>678</v>
      </c>
      <c r="CO61" s="171" t="s">
        <v>679</v>
      </c>
      <c r="CP61" s="195" t="s">
        <v>277</v>
      </c>
      <c r="CQ61" s="171" t="s">
        <v>680</v>
      </c>
      <c r="CR61" s="171" t="s">
        <v>278</v>
      </c>
      <c r="CS61" s="171" t="s">
        <v>681</v>
      </c>
      <c r="CT61" s="198" t="s">
        <v>279</v>
      </c>
      <c r="CU61" s="195" t="s">
        <v>280</v>
      </c>
      <c r="CV61" s="171" t="s">
        <v>682</v>
      </c>
      <c r="CW61" s="171" t="s">
        <v>281</v>
      </c>
      <c r="CX61" s="171" t="s">
        <v>683</v>
      </c>
      <c r="CY61" s="198" t="s">
        <v>282</v>
      </c>
      <c r="DB61" s="204" t="s">
        <v>272</v>
      </c>
      <c r="DC61" s="225" t="s">
        <v>273</v>
      </c>
      <c r="DD61" s="205" t="s">
        <v>289</v>
      </c>
      <c r="DE61" s="205" t="s">
        <v>290</v>
      </c>
      <c r="DF61" s="205" t="s">
        <v>669</v>
      </c>
      <c r="DG61" s="205" t="s">
        <v>670</v>
      </c>
      <c r="DH61" s="171" t="s">
        <v>676</v>
      </c>
      <c r="DI61" s="171" t="s">
        <v>672</v>
      </c>
      <c r="DJ61" s="171" t="s">
        <v>677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276</v>
      </c>
      <c r="DN61" s="171" t="s">
        <v>678</v>
      </c>
      <c r="DO61" s="171" t="s">
        <v>679</v>
      </c>
      <c r="DP61" s="195" t="s">
        <v>277</v>
      </c>
      <c r="DQ61" s="171" t="s">
        <v>680</v>
      </c>
      <c r="DR61" s="171" t="s">
        <v>278</v>
      </c>
      <c r="DS61" s="171" t="s">
        <v>681</v>
      </c>
      <c r="DT61" s="198" t="s">
        <v>279</v>
      </c>
      <c r="DU61" s="195" t="s">
        <v>280</v>
      </c>
      <c r="DV61" s="171" t="s">
        <v>682</v>
      </c>
      <c r="DW61" s="171" t="s">
        <v>281</v>
      </c>
      <c r="DX61" s="171" t="s">
        <v>683</v>
      </c>
      <c r="DY61" s="198" t="s">
        <v>282</v>
      </c>
    </row>
    <row r="62" spans="2:129" x14ac:dyDescent="0.3">
      <c r="B62" s="173"/>
      <c r="C62" s="904"/>
      <c r="D62" s="226" t="s">
        <v>332</v>
      </c>
      <c r="E62" s="226" t="s">
        <v>569</v>
      </c>
      <c r="F62" s="226" t="s">
        <v>332</v>
      </c>
      <c r="G62" s="226" t="s">
        <v>569</v>
      </c>
      <c r="H62" s="201" t="s">
        <v>567</v>
      </c>
      <c r="I62" s="201" t="s">
        <v>567</v>
      </c>
      <c r="J62" s="201" t="s">
        <v>567</v>
      </c>
      <c r="K62" s="201" t="s">
        <v>567</v>
      </c>
      <c r="L62" s="201" t="s">
        <v>567</v>
      </c>
      <c r="M62" s="201" t="s">
        <v>567</v>
      </c>
      <c r="N62" s="201" t="s">
        <v>567</v>
      </c>
      <c r="O62" s="202" t="s">
        <v>567</v>
      </c>
      <c r="P62" s="201" t="s">
        <v>567</v>
      </c>
      <c r="Q62" s="201" t="s">
        <v>567</v>
      </c>
      <c r="R62" s="201" t="s">
        <v>567</v>
      </c>
      <c r="S62" s="201" t="s">
        <v>567</v>
      </c>
      <c r="T62" s="202" t="s">
        <v>567</v>
      </c>
      <c r="U62" s="201" t="s">
        <v>567</v>
      </c>
      <c r="V62" s="201" t="s">
        <v>567</v>
      </c>
      <c r="W62" s="201" t="s">
        <v>567</v>
      </c>
      <c r="X62" s="201" t="s">
        <v>567</v>
      </c>
      <c r="Y62" s="202" t="s">
        <v>567</v>
      </c>
      <c r="Z62" s="1002"/>
      <c r="AB62" s="173"/>
      <c r="AC62" s="904"/>
      <c r="AD62" s="226" t="s">
        <v>332</v>
      </c>
      <c r="AE62" s="226" t="s">
        <v>569</v>
      </c>
      <c r="AF62" s="226" t="s">
        <v>332</v>
      </c>
      <c r="AG62" s="226" t="s">
        <v>569</v>
      </c>
      <c r="AH62" s="201" t="s">
        <v>567</v>
      </c>
      <c r="AI62" s="201" t="s">
        <v>567</v>
      </c>
      <c r="AJ62" s="201" t="s">
        <v>567</v>
      </c>
      <c r="AK62" s="201" t="s">
        <v>567</v>
      </c>
      <c r="AL62" s="201" t="s">
        <v>567</v>
      </c>
      <c r="AM62" s="201" t="s">
        <v>567</v>
      </c>
      <c r="AN62" s="201" t="s">
        <v>567</v>
      </c>
      <c r="AO62" s="202" t="s">
        <v>567</v>
      </c>
      <c r="AP62" s="201" t="s">
        <v>567</v>
      </c>
      <c r="AQ62" s="201" t="s">
        <v>567</v>
      </c>
      <c r="AR62" s="201" t="s">
        <v>567</v>
      </c>
      <c r="AS62" s="201" t="s">
        <v>567</v>
      </c>
      <c r="AT62" s="202" t="s">
        <v>567</v>
      </c>
      <c r="AU62" s="201" t="s">
        <v>567</v>
      </c>
      <c r="AV62" s="201" t="s">
        <v>567</v>
      </c>
      <c r="AW62" s="201" t="s">
        <v>567</v>
      </c>
      <c r="AX62" s="201" t="s">
        <v>567</v>
      </c>
      <c r="AY62" s="202" t="s">
        <v>567</v>
      </c>
      <c r="BB62" s="173"/>
      <c r="BC62" s="904"/>
      <c r="BD62" s="226" t="s">
        <v>332</v>
      </c>
      <c r="BE62" s="226" t="s">
        <v>569</v>
      </c>
      <c r="BF62" s="226" t="s">
        <v>332</v>
      </c>
      <c r="BG62" s="226" t="s">
        <v>569</v>
      </c>
      <c r="BH62" s="201" t="s">
        <v>567</v>
      </c>
      <c r="BI62" s="201" t="s">
        <v>567</v>
      </c>
      <c r="BJ62" s="201" t="s">
        <v>567</v>
      </c>
      <c r="BK62" s="201" t="s">
        <v>567</v>
      </c>
      <c r="BL62" s="201" t="s">
        <v>567</v>
      </c>
      <c r="BM62" s="201" t="s">
        <v>567</v>
      </c>
      <c r="BN62" s="201" t="s">
        <v>567</v>
      </c>
      <c r="BO62" s="202" t="s">
        <v>567</v>
      </c>
      <c r="BP62" s="201" t="s">
        <v>567</v>
      </c>
      <c r="BQ62" s="201" t="s">
        <v>567</v>
      </c>
      <c r="BR62" s="201" t="s">
        <v>567</v>
      </c>
      <c r="BS62" s="201" t="s">
        <v>567</v>
      </c>
      <c r="BT62" s="202" t="s">
        <v>567</v>
      </c>
      <c r="BU62" s="201" t="s">
        <v>567</v>
      </c>
      <c r="BV62" s="201" t="s">
        <v>567</v>
      </c>
      <c r="BW62" s="201" t="s">
        <v>567</v>
      </c>
      <c r="BX62" s="201" t="s">
        <v>567</v>
      </c>
      <c r="BY62" s="202" t="s">
        <v>567</v>
      </c>
      <c r="CB62" s="173"/>
      <c r="CC62" s="904"/>
      <c r="CD62" s="226" t="s">
        <v>332</v>
      </c>
      <c r="CE62" s="226" t="s">
        <v>569</v>
      </c>
      <c r="CF62" s="226" t="s">
        <v>332</v>
      </c>
      <c r="CG62" s="226" t="s">
        <v>569</v>
      </c>
      <c r="CH62" s="201" t="s">
        <v>567</v>
      </c>
      <c r="CI62" s="201" t="s">
        <v>567</v>
      </c>
      <c r="CJ62" s="201" t="s">
        <v>567</v>
      </c>
      <c r="CK62" s="201" t="s">
        <v>567</v>
      </c>
      <c r="CL62" s="201" t="s">
        <v>567</v>
      </c>
      <c r="CM62" s="201" t="s">
        <v>567</v>
      </c>
      <c r="CN62" s="201" t="s">
        <v>567</v>
      </c>
      <c r="CO62" s="202" t="s">
        <v>567</v>
      </c>
      <c r="CP62" s="201" t="s">
        <v>567</v>
      </c>
      <c r="CQ62" s="201" t="s">
        <v>567</v>
      </c>
      <c r="CR62" s="201" t="s">
        <v>567</v>
      </c>
      <c r="CS62" s="201" t="s">
        <v>567</v>
      </c>
      <c r="CT62" s="202" t="s">
        <v>567</v>
      </c>
      <c r="CU62" s="201" t="s">
        <v>567</v>
      </c>
      <c r="CV62" s="201" t="s">
        <v>567</v>
      </c>
      <c r="CW62" s="201" t="s">
        <v>567</v>
      </c>
      <c r="CX62" s="201" t="s">
        <v>567</v>
      </c>
      <c r="CY62" s="202" t="s">
        <v>567</v>
      </c>
      <c r="DB62" s="173"/>
      <c r="DC62" s="904"/>
      <c r="DD62" s="226" t="s">
        <v>332</v>
      </c>
      <c r="DE62" s="226" t="s">
        <v>569</v>
      </c>
      <c r="DF62" s="226" t="s">
        <v>332</v>
      </c>
      <c r="DG62" s="226" t="s">
        <v>569</v>
      </c>
      <c r="DH62" s="201" t="s">
        <v>567</v>
      </c>
      <c r="DI62" s="201" t="s">
        <v>567</v>
      </c>
      <c r="DJ62" s="201" t="s">
        <v>567</v>
      </c>
      <c r="DK62" s="201" t="s">
        <v>567</v>
      </c>
      <c r="DL62" s="201" t="s">
        <v>567</v>
      </c>
      <c r="DM62" s="201" t="s">
        <v>567</v>
      </c>
      <c r="DN62" s="201" t="s">
        <v>567</v>
      </c>
      <c r="DO62" s="202" t="s">
        <v>567</v>
      </c>
      <c r="DP62" s="201" t="s">
        <v>567</v>
      </c>
      <c r="DQ62" s="201" t="s">
        <v>567</v>
      </c>
      <c r="DR62" s="201" t="s">
        <v>567</v>
      </c>
      <c r="DS62" s="201" t="s">
        <v>567</v>
      </c>
      <c r="DT62" s="202" t="s">
        <v>567</v>
      </c>
      <c r="DU62" s="201" t="s">
        <v>567</v>
      </c>
      <c r="DV62" s="201" t="s">
        <v>567</v>
      </c>
      <c r="DW62" s="201" t="s">
        <v>567</v>
      </c>
      <c r="DX62" s="201" t="s">
        <v>567</v>
      </c>
      <c r="DY62" s="202" t="s">
        <v>567</v>
      </c>
    </row>
    <row r="63" spans="2:129" x14ac:dyDescent="0.3">
      <c r="B63" s="899">
        <v>1</v>
      </c>
      <c r="C63" s="902" t="s">
        <v>4</v>
      </c>
      <c r="D63" s="760">
        <f>'Arable Inputs'!$D$18</f>
        <v>5.5</v>
      </c>
      <c r="E63" s="760">
        <f>'Arable Inputs'!$D$25</f>
        <v>210</v>
      </c>
      <c r="F63" s="760">
        <f>'Arable Inputs'!$D$19</f>
        <v>3.9</v>
      </c>
      <c r="G63" s="760">
        <f>'Arable Inputs'!$D$26</f>
        <v>73.449999999999989</v>
      </c>
      <c r="H63" s="762">
        <f>D63*E63+F63*G63</f>
        <v>1441.4549999999999</v>
      </c>
      <c r="I63" s="197">
        <f>'Arable NPV'!$E143</f>
        <v>330</v>
      </c>
      <c r="J63" s="197">
        <f>H63+I63</f>
        <v>1771.4549999999999</v>
      </c>
      <c r="K63" s="197">
        <f>'Arable NPV'!$G143</f>
        <v>622.34710631578946</v>
      </c>
      <c r="L63" s="197">
        <f>'Arable NPV'!$H143</f>
        <v>943.00233600000001</v>
      </c>
      <c r="M63" s="197">
        <f>K63+L63</f>
        <v>1565.3494423157895</v>
      </c>
      <c r="N63" s="197">
        <f>H63-M63</f>
        <v>-123.89444231578955</v>
      </c>
      <c r="O63" s="197">
        <f>J63-M63</f>
        <v>206.10555768421045</v>
      </c>
      <c r="P63" s="1033">
        <f>H63/(1+$B$4)^(B63-1)</f>
        <v>1441.4549999999999</v>
      </c>
      <c r="Q63" s="213">
        <f>I63/(1+$B$4)^(B63-1)</f>
        <v>330</v>
      </c>
      <c r="R63" s="213">
        <f>M63/(1+$B$4)^(B63-1)</f>
        <v>1565.3494423157895</v>
      </c>
      <c r="S63" s="213">
        <f>N63/(1+$B$4)^(B63-1)</f>
        <v>-123.89444231578955</v>
      </c>
      <c r="T63" s="929">
        <f>O63/(1+$B$4)^(B63-1)</f>
        <v>206.10555768421045</v>
      </c>
      <c r="U63" s="196">
        <f>P63</f>
        <v>1441.4549999999999</v>
      </c>
      <c r="V63" s="197">
        <f>Q63</f>
        <v>330</v>
      </c>
      <c r="W63" s="197">
        <f>R63</f>
        <v>1565.3494423157895</v>
      </c>
      <c r="X63" s="197">
        <f>S63</f>
        <v>-123.89444231578955</v>
      </c>
      <c r="Y63" s="199">
        <f>T63</f>
        <v>206.10555768421045</v>
      </c>
      <c r="Z63" s="197"/>
      <c r="AB63" s="899">
        <v>1</v>
      </c>
      <c r="AC63" s="902" t="s">
        <v>4</v>
      </c>
      <c r="AD63" s="760">
        <f>'Arable Inputs'!$D$18</f>
        <v>5.5</v>
      </c>
      <c r="AE63" s="760">
        <f>'Arable Inputs'!$D$25+0.5*'Arable Inputs'!$D$25</f>
        <v>315</v>
      </c>
      <c r="AF63" s="760">
        <f>'Arable Inputs'!$D$19</f>
        <v>3.9</v>
      </c>
      <c r="AG63" s="760">
        <f>'Arable Inputs'!$D$26+0.5*'Arable Inputs'!$D$26</f>
        <v>110.17499999999998</v>
      </c>
      <c r="AH63" s="762">
        <f>AD63*AE63+AF63*AG63</f>
        <v>2162.1824999999999</v>
      </c>
      <c r="AI63" s="197">
        <f>'Arable NPV'!$E143</f>
        <v>330</v>
      </c>
      <c r="AJ63" s="197">
        <f>AH63+AI63</f>
        <v>2492.1824999999999</v>
      </c>
      <c r="AK63" s="197">
        <f>'Arable NPV'!$G143</f>
        <v>622.34710631578946</v>
      </c>
      <c r="AL63" s="197">
        <f>'Arable NPV'!$H143</f>
        <v>943.00233600000001</v>
      </c>
      <c r="AM63" s="197">
        <f>AK63+AL63</f>
        <v>1565.3494423157895</v>
      </c>
      <c r="AN63" s="197">
        <f>AH63-AM63</f>
        <v>596.83305768421042</v>
      </c>
      <c r="AO63" s="197">
        <f>AJ63-AM63</f>
        <v>926.83305768421042</v>
      </c>
      <c r="AP63" s="1033">
        <f>AH63/(1+$B$4)^(AB63-1)</f>
        <v>2162.1824999999999</v>
      </c>
      <c r="AQ63" s="213">
        <f>AI63/(1+$B$4)^(AB63-1)</f>
        <v>330</v>
      </c>
      <c r="AR63" s="213">
        <f>AM63/(1+$B$4)^(AB63-1)</f>
        <v>1565.3494423157895</v>
      </c>
      <c r="AS63" s="213">
        <f>AN63/(1+$B$4)^(AB63-1)</f>
        <v>596.83305768421042</v>
      </c>
      <c r="AT63" s="929">
        <f>AO63/(1+$B$4)^(AB63-1)</f>
        <v>926.83305768421042</v>
      </c>
      <c r="AU63" s="196">
        <f>AP63</f>
        <v>2162.1824999999999</v>
      </c>
      <c r="AV63" s="197">
        <f>AQ63</f>
        <v>330</v>
      </c>
      <c r="AW63" s="197">
        <f>AR63</f>
        <v>1565.3494423157895</v>
      </c>
      <c r="AX63" s="197">
        <f>AS63</f>
        <v>596.83305768421042</v>
      </c>
      <c r="AY63" s="199">
        <f>AT63</f>
        <v>926.83305768421042</v>
      </c>
      <c r="BB63" s="899">
        <v>1</v>
      </c>
      <c r="BC63" s="902" t="s">
        <v>4</v>
      </c>
      <c r="BD63" s="760">
        <f>'Arable Inputs'!$D$18</f>
        <v>5.5</v>
      </c>
      <c r="BE63" s="760">
        <f>'Arable Inputs'!$D$25-0.5*'Arable Inputs'!$D$25</f>
        <v>105</v>
      </c>
      <c r="BF63" s="760">
        <f>'Arable Inputs'!$D$19</f>
        <v>3.9</v>
      </c>
      <c r="BG63" s="760">
        <f>'Arable Inputs'!$D$26-0.5*'Arable Inputs'!$D$26</f>
        <v>36.724999999999994</v>
      </c>
      <c r="BH63" s="762">
        <f>BD63*BE63+BF63*BG63</f>
        <v>720.72749999999996</v>
      </c>
      <c r="BI63" s="197">
        <f>'Arable NPV'!$E143</f>
        <v>330</v>
      </c>
      <c r="BJ63" s="197">
        <f>BH63+BI63</f>
        <v>1050.7275</v>
      </c>
      <c r="BK63" s="197">
        <f>'Arable NPV'!$G143</f>
        <v>622.34710631578946</v>
      </c>
      <c r="BL63" s="197">
        <f>'Arable NPV'!$H143</f>
        <v>943.00233600000001</v>
      </c>
      <c r="BM63" s="197">
        <f>BK63+BL63</f>
        <v>1565.3494423157895</v>
      </c>
      <c r="BN63" s="197">
        <f>BH63-BM63</f>
        <v>-844.62194231578951</v>
      </c>
      <c r="BO63" s="197">
        <f>BJ63-BM63</f>
        <v>-514.62194231578951</v>
      </c>
      <c r="BP63" s="1033">
        <f>BH63/(1+$B$4)^(BB63-1)</f>
        <v>720.72749999999996</v>
      </c>
      <c r="BQ63" s="213">
        <f>BI63/(1+$B$4)^(BB63-1)</f>
        <v>330</v>
      </c>
      <c r="BR63" s="213">
        <f>BM63/(1+$B$4)^(BB63-1)</f>
        <v>1565.3494423157895</v>
      </c>
      <c r="BS63" s="213">
        <f>BN63/(1+$B$4)^(BB63-1)</f>
        <v>-844.62194231578951</v>
      </c>
      <c r="BT63" s="929">
        <f>BO63/(1+$B$4)^(BB63-1)</f>
        <v>-514.62194231578951</v>
      </c>
      <c r="BU63" s="196">
        <f>BP63</f>
        <v>720.72749999999996</v>
      </c>
      <c r="BV63" s="197">
        <f>BQ63</f>
        <v>330</v>
      </c>
      <c r="BW63" s="197">
        <f>BR63</f>
        <v>1565.3494423157895</v>
      </c>
      <c r="BX63" s="197">
        <f>BS63</f>
        <v>-844.62194231578951</v>
      </c>
      <c r="BY63" s="199">
        <f>BT63</f>
        <v>-514.62194231578951</v>
      </c>
      <c r="CB63" s="899">
        <v>1</v>
      </c>
      <c r="CC63" s="902" t="s">
        <v>4</v>
      </c>
      <c r="CD63" s="760">
        <f>'Arable Inputs'!$D$18</f>
        <v>5.5</v>
      </c>
      <c r="CE63" s="760">
        <f>'Arable Inputs'!$D$25+'Arable Inputs'!$D$25</f>
        <v>420</v>
      </c>
      <c r="CF63" s="760">
        <f>'Arable Inputs'!$D$19</f>
        <v>3.9</v>
      </c>
      <c r="CG63" s="760">
        <f>'Arable Inputs'!$D$26+'Arable Inputs'!$D$26</f>
        <v>146.89999999999998</v>
      </c>
      <c r="CH63" s="762">
        <f>CD63*CE63+CF63*CG63</f>
        <v>2882.91</v>
      </c>
      <c r="CI63" s="197">
        <f>'Arable NPV'!$E143</f>
        <v>330</v>
      </c>
      <c r="CJ63" s="197">
        <f>CH63+CI63</f>
        <v>3212.91</v>
      </c>
      <c r="CK63" s="197">
        <f>'Arable NPV'!$G143</f>
        <v>622.34710631578946</v>
      </c>
      <c r="CL63" s="197">
        <f>'Arable NPV'!$H143</f>
        <v>943.00233600000001</v>
      </c>
      <c r="CM63" s="197">
        <f>CK63+CL63</f>
        <v>1565.3494423157895</v>
      </c>
      <c r="CN63" s="197">
        <f>CH63-CM63</f>
        <v>1317.5605576842104</v>
      </c>
      <c r="CO63" s="197">
        <f>CJ63-CM63</f>
        <v>1647.5605576842104</v>
      </c>
      <c r="CP63" s="1033">
        <f>CH63/(1+$B$4)^(CB63-1)</f>
        <v>2882.91</v>
      </c>
      <c r="CQ63" s="213">
        <f>CI63/(1+$B$4)^(CB63-1)</f>
        <v>330</v>
      </c>
      <c r="CR63" s="213">
        <f>CM63/(1+$B$4)^(CB63-1)</f>
        <v>1565.3494423157895</v>
      </c>
      <c r="CS63" s="213">
        <f>CN63/(1+$B$4)^(CB63-1)</f>
        <v>1317.5605576842104</v>
      </c>
      <c r="CT63" s="929">
        <f>CO63/(1+$B$4)^(CB63-1)</f>
        <v>1647.5605576842104</v>
      </c>
      <c r="CU63" s="196">
        <f>CP63</f>
        <v>2882.91</v>
      </c>
      <c r="CV63" s="197">
        <f>CQ63</f>
        <v>330</v>
      </c>
      <c r="CW63" s="197">
        <f>CR63</f>
        <v>1565.3494423157895</v>
      </c>
      <c r="CX63" s="197">
        <f>CS63</f>
        <v>1317.5605576842104</v>
      </c>
      <c r="CY63" s="199">
        <f>CT63</f>
        <v>1647.5605576842104</v>
      </c>
      <c r="DB63" s="204">
        <v>1</v>
      </c>
      <c r="DC63" s="902" t="s">
        <v>4</v>
      </c>
      <c r="DD63" s="760">
        <f>'Arable Inputs'!$D$18</f>
        <v>5.5</v>
      </c>
      <c r="DE63" s="760">
        <f>'Arable Inputs'!$D$25-'Arable Inputs'!$D$25</f>
        <v>0</v>
      </c>
      <c r="DF63" s="760">
        <f>'Arable Inputs'!$D$19</f>
        <v>3.9</v>
      </c>
      <c r="DG63" s="760">
        <f>'Arable Inputs'!$D$26-'Arable Inputs'!$D$26</f>
        <v>0</v>
      </c>
      <c r="DH63" s="762">
        <f>DD63*DE63+DF63*DG63</f>
        <v>0</v>
      </c>
      <c r="DI63" s="197">
        <f>'Arable NPV'!$E143</f>
        <v>330</v>
      </c>
      <c r="DJ63" s="197">
        <f>DH63+DI63</f>
        <v>330</v>
      </c>
      <c r="DK63" s="197">
        <f>'Arable NPV'!$G143</f>
        <v>622.34710631578946</v>
      </c>
      <c r="DL63" s="197">
        <f>'Arable NPV'!$H143</f>
        <v>943.00233600000001</v>
      </c>
      <c r="DM63" s="197">
        <f>DK63+DL63</f>
        <v>1565.3494423157895</v>
      </c>
      <c r="DN63" s="197">
        <f>DH63-DM63</f>
        <v>-1565.3494423157895</v>
      </c>
      <c r="DO63" s="197">
        <f>DJ63-DM63</f>
        <v>-1235.3494423157895</v>
      </c>
      <c r="DP63" s="1033">
        <f>DH63/(1+$B$4)^(DB63-1)</f>
        <v>0</v>
      </c>
      <c r="DQ63" s="213">
        <f>DI63/(1+$B$4)^(DB63-1)</f>
        <v>330</v>
      </c>
      <c r="DR63" s="213">
        <f>DM63/(1+$B$4)^(DB63-1)</f>
        <v>1565.3494423157895</v>
      </c>
      <c r="DS63" s="213">
        <f>DN63/(1+$B$4)^(DB63-1)</f>
        <v>-1565.3494423157895</v>
      </c>
      <c r="DT63" s="929">
        <f>DO63/(1+$B$4)^(DB63-1)</f>
        <v>-1235.3494423157895</v>
      </c>
      <c r="DU63" s="196">
        <f>DP63</f>
        <v>0</v>
      </c>
      <c r="DV63" s="197">
        <f>DQ63</f>
        <v>330</v>
      </c>
      <c r="DW63" s="197">
        <f>DR63</f>
        <v>1565.3494423157895</v>
      </c>
      <c r="DX63" s="197">
        <f>DS63</f>
        <v>-1565.3494423157895</v>
      </c>
      <c r="DY63" s="199">
        <f>DT63</f>
        <v>-1235.3494423157895</v>
      </c>
    </row>
    <row r="64" spans="2:129" x14ac:dyDescent="0.3">
      <c r="B64" s="900">
        <v>2</v>
      </c>
      <c r="C64" s="902" t="s">
        <v>560</v>
      </c>
      <c r="D64" s="760">
        <f>'Arable Inputs'!$G$18</f>
        <v>2.1</v>
      </c>
      <c r="E64" s="760">
        <f>'Arable Inputs'!$G$25</f>
        <v>235.55</v>
      </c>
      <c r="H64" s="762">
        <f>D64*E64</f>
        <v>494.65500000000003</v>
      </c>
      <c r="I64" s="197">
        <f>'Arable NPV'!$E144</f>
        <v>330</v>
      </c>
      <c r="J64" s="197">
        <f t="shared" ref="J64:J78" si="156">H64+I64</f>
        <v>824.65499999999997</v>
      </c>
      <c r="K64" s="197">
        <f>'Arable NPV'!$G144</f>
        <v>255.07731473684206</v>
      </c>
      <c r="L64" s="197">
        <f>'Arable NPV'!$H144</f>
        <v>778.68036799999993</v>
      </c>
      <c r="M64" s="197">
        <f t="shared" ref="M64:M78" si="157">K64+L64</f>
        <v>1033.7576827368421</v>
      </c>
      <c r="N64" s="197">
        <f t="shared" ref="N64:N78" si="158">H64-M64</f>
        <v>-539.1026827368421</v>
      </c>
      <c r="O64" s="197">
        <f t="shared" ref="O64:O78" si="159">J64-M64</f>
        <v>-209.1026827368421</v>
      </c>
      <c r="P64" s="196">
        <f t="shared" ref="P64:P78" si="160">H64/(1+$B$4)^(B64-1)</f>
        <v>480.247572815534</v>
      </c>
      <c r="Q64" s="197">
        <f t="shared" ref="Q64:Q78" si="161">I64/(1+$B$4)^(B64-1)</f>
        <v>320.38834951456312</v>
      </c>
      <c r="R64" s="197">
        <f t="shared" ref="R64:R78" si="162">M64/(1+$B$4)^(B64-1)</f>
        <v>1003.648235666837</v>
      </c>
      <c r="S64" s="197">
        <f t="shared" ref="S64:S78" si="163">N64/(1+$B$4)^(B64-1)</f>
        <v>-523.40066285130297</v>
      </c>
      <c r="T64" s="199">
        <f t="shared" ref="T64:T77" si="164">O64/(1+$B$4)^(B64-1)</f>
        <v>-203.01231333673991</v>
      </c>
      <c r="U64" s="196">
        <f t="shared" ref="U64:U78" si="165">U63+P64</f>
        <v>1921.702572815534</v>
      </c>
      <c r="V64" s="197">
        <f t="shared" ref="V64:V78" si="166">V63+Q64</f>
        <v>650.38834951456306</v>
      </c>
      <c r="W64" s="197">
        <f t="shared" ref="W64:W78" si="167">W63+R64</f>
        <v>2568.9976779826266</v>
      </c>
      <c r="X64" s="197">
        <f t="shared" ref="X64:X78" si="168">X63+S64</f>
        <v>-647.29510516709252</v>
      </c>
      <c r="Y64" s="199">
        <f t="shared" ref="Y64:Y78" si="169">Y63+T64</f>
        <v>3.0932443474705451</v>
      </c>
      <c r="Z64" s="197"/>
      <c r="AB64" s="900">
        <v>2</v>
      </c>
      <c r="AC64" s="902" t="s">
        <v>560</v>
      </c>
      <c r="AD64" s="760">
        <f>'Arable Inputs'!$G$18</f>
        <v>2.1</v>
      </c>
      <c r="AE64" s="760">
        <f>'Arable Inputs'!$G$25+0.5*'Arable Inputs'!$G$25</f>
        <v>353.32500000000005</v>
      </c>
      <c r="AH64" s="762">
        <f>AD64*AE64</f>
        <v>741.98250000000007</v>
      </c>
      <c r="AI64" s="197">
        <f>'Arable NPV'!$E144</f>
        <v>330</v>
      </c>
      <c r="AJ64" s="197">
        <f t="shared" ref="AJ64:AJ78" si="170">AH64+AI64</f>
        <v>1071.9825000000001</v>
      </c>
      <c r="AK64" s="197">
        <f>'Arable NPV'!$G144</f>
        <v>255.07731473684206</v>
      </c>
      <c r="AL64" s="197">
        <f>'Arable NPV'!$H144</f>
        <v>778.68036799999993</v>
      </c>
      <c r="AM64" s="197">
        <f t="shared" ref="AM64:AM78" si="171">AK64+AL64</f>
        <v>1033.7576827368421</v>
      </c>
      <c r="AN64" s="197">
        <f t="shared" ref="AN64:AN78" si="172">AH64-AM64</f>
        <v>-291.775182736842</v>
      </c>
      <c r="AO64" s="197">
        <f t="shared" ref="AO64:AO78" si="173">AJ64-AM64</f>
        <v>38.224817263158002</v>
      </c>
      <c r="AP64" s="196">
        <f t="shared" ref="AP64:AP78" si="174">AH64/(1+$B$4)^(AB64-1)</f>
        <v>720.37135922330106</v>
      </c>
      <c r="AQ64" s="197">
        <f t="shared" ref="AQ64:AQ78" si="175">AI64/(1+$B$4)^(AB64-1)</f>
        <v>320.38834951456312</v>
      </c>
      <c r="AR64" s="197">
        <f t="shared" ref="AR64:AR78" si="176">AM64/(1+$B$4)^(AB64-1)</f>
        <v>1003.648235666837</v>
      </c>
      <c r="AS64" s="197">
        <f t="shared" ref="AS64:AS78" si="177">AN64/(1+$B$4)^(AB64-1)</f>
        <v>-283.27687644353591</v>
      </c>
      <c r="AT64" s="199">
        <f t="shared" ref="AT64:AT77" si="178">AO64/(1+$B$4)^(AB64-1)</f>
        <v>37.111473071027184</v>
      </c>
      <c r="AU64" s="196">
        <f t="shared" ref="AU64:AU78" si="179">AU63+AP64</f>
        <v>2882.5538592233011</v>
      </c>
      <c r="AV64" s="197">
        <f t="shared" ref="AV64:AV78" si="180">AV63+AQ64</f>
        <v>650.38834951456306</v>
      </c>
      <c r="AW64" s="197">
        <f t="shared" ref="AW64:AW78" si="181">AW63+AR64</f>
        <v>2568.9976779826266</v>
      </c>
      <c r="AX64" s="197">
        <f t="shared" ref="AX64:AX78" si="182">AX63+AS64</f>
        <v>313.5561812406745</v>
      </c>
      <c r="AY64" s="199">
        <f t="shared" ref="AY64:AY78" si="183">AY63+AT64</f>
        <v>963.94453075523757</v>
      </c>
      <c r="BB64" s="900">
        <v>2</v>
      </c>
      <c r="BC64" s="902" t="s">
        <v>560</v>
      </c>
      <c r="BD64" s="760">
        <f>'Arable Inputs'!$G$18</f>
        <v>2.1</v>
      </c>
      <c r="BE64" s="760">
        <f>'Arable Inputs'!$G$25-0.5*'Arable Inputs'!$G$25</f>
        <v>117.77500000000001</v>
      </c>
      <c r="BH64" s="762">
        <f>BD64*BE64</f>
        <v>247.32750000000001</v>
      </c>
      <c r="BI64" s="197">
        <f>'Arable NPV'!$E144</f>
        <v>330</v>
      </c>
      <c r="BJ64" s="197">
        <f t="shared" ref="BJ64:BJ78" si="184">BH64+BI64</f>
        <v>577.32749999999999</v>
      </c>
      <c r="BK64" s="197">
        <f>'Arable NPV'!$G144</f>
        <v>255.07731473684206</v>
      </c>
      <c r="BL64" s="197">
        <f>'Arable NPV'!$H144</f>
        <v>778.68036799999993</v>
      </c>
      <c r="BM64" s="197">
        <f t="shared" ref="BM64:BM77" si="185">BK64+BL64</f>
        <v>1033.7576827368421</v>
      </c>
      <c r="BN64" s="197">
        <f t="shared" ref="BN64:BN78" si="186">BH64-BM64</f>
        <v>-786.43018273684208</v>
      </c>
      <c r="BO64" s="197">
        <f t="shared" ref="BO64:BO78" si="187">BJ64-BM64</f>
        <v>-456.43018273684208</v>
      </c>
      <c r="BP64" s="196">
        <f t="shared" ref="BP64:BP78" si="188">BH64/(1+$B$4)^(BB64-1)</f>
        <v>240.123786407767</v>
      </c>
      <c r="BQ64" s="197">
        <f t="shared" ref="BQ64:BQ78" si="189">BI64/(1+$B$4)^(BB64-1)</f>
        <v>320.38834951456312</v>
      </c>
      <c r="BR64" s="197">
        <f t="shared" ref="BR64:BR78" si="190">BM64/(1+$B$4)^(BB64-1)</f>
        <v>1003.648235666837</v>
      </c>
      <c r="BS64" s="197">
        <f t="shared" ref="BS64:BS78" si="191">BN64/(1+$B$4)^(BB64-1)</f>
        <v>-763.52444925906991</v>
      </c>
      <c r="BT64" s="199">
        <f t="shared" ref="BT64:BT77" si="192">BO64/(1+$B$4)^(BB64-1)</f>
        <v>-443.13609974450685</v>
      </c>
      <c r="BU64" s="196">
        <f t="shared" ref="BU64:BU78" si="193">BU63+BP64</f>
        <v>960.85128640776702</v>
      </c>
      <c r="BV64" s="197">
        <f t="shared" ref="BV64:BV78" si="194">BV63+BQ64</f>
        <v>650.38834951456306</v>
      </c>
      <c r="BW64" s="197">
        <f t="shared" ref="BW64:BW78" si="195">BW63+BR64</f>
        <v>2568.9976779826266</v>
      </c>
      <c r="BX64" s="197">
        <f t="shared" ref="BX64:BX78" si="196">BX63+BS64</f>
        <v>-1608.1463915748595</v>
      </c>
      <c r="BY64" s="199">
        <f t="shared" ref="BY64:BY78" si="197">BY63+BT64</f>
        <v>-957.75804206029636</v>
      </c>
      <c r="CB64" s="900">
        <v>2</v>
      </c>
      <c r="CC64" s="902" t="s">
        <v>560</v>
      </c>
      <c r="CD64" s="760">
        <f>'Arable Inputs'!$G$18</f>
        <v>2.1</v>
      </c>
      <c r="CE64" s="760">
        <f>'Arable Inputs'!$G$25+'Arable Inputs'!$G$25</f>
        <v>471.1</v>
      </c>
      <c r="CH64" s="762">
        <f>CD64*CE64</f>
        <v>989.31000000000006</v>
      </c>
      <c r="CI64" s="197">
        <f>'Arable NPV'!$E144</f>
        <v>330</v>
      </c>
      <c r="CJ64" s="197">
        <f t="shared" ref="CJ64:CJ78" si="198">CH64+CI64</f>
        <v>1319.31</v>
      </c>
      <c r="CK64" s="197">
        <f>'Arable NPV'!$G144</f>
        <v>255.07731473684206</v>
      </c>
      <c r="CL64" s="197">
        <f>'Arable NPV'!$H144</f>
        <v>778.68036799999993</v>
      </c>
      <c r="CM64" s="197">
        <f t="shared" ref="CM64:CM78" si="199">CK64+CL64</f>
        <v>1033.7576827368421</v>
      </c>
      <c r="CN64" s="197">
        <f t="shared" ref="CN64:CN78" si="200">CH64-CM64</f>
        <v>-44.447682736842012</v>
      </c>
      <c r="CO64" s="197">
        <f t="shared" ref="CO64:CO78" si="201">CJ64-CM64</f>
        <v>285.55231726315787</v>
      </c>
      <c r="CP64" s="196">
        <f t="shared" ref="CP64:CP78" si="202">CH64/(1+$B$4)^(CB64-1)</f>
        <v>960.495145631068</v>
      </c>
      <c r="CQ64" s="197">
        <f t="shared" ref="CQ64:CQ78" si="203">CI64/(1+$B$4)^(CB64-1)</f>
        <v>320.38834951456312</v>
      </c>
      <c r="CR64" s="197">
        <f t="shared" ref="CR64:CR78" si="204">CM64/(1+$B$4)^(CB64-1)</f>
        <v>1003.648235666837</v>
      </c>
      <c r="CS64" s="197">
        <f t="shared" ref="CS64:CS78" si="205">CN64/(1+$B$4)^(CB64-1)</f>
        <v>-43.15309003576894</v>
      </c>
      <c r="CT64" s="199">
        <f t="shared" ref="CT64:CT77" si="206">CO64/(1+$B$4)^(CB64-1)</f>
        <v>277.23525947879403</v>
      </c>
      <c r="CU64" s="196">
        <f t="shared" ref="CU64:CU78" si="207">CU63+CP64</f>
        <v>3843.4051456310681</v>
      </c>
      <c r="CV64" s="197">
        <f t="shared" ref="CV64:CV78" si="208">CV63+CQ64</f>
        <v>650.38834951456306</v>
      </c>
      <c r="CW64" s="197">
        <f t="shared" ref="CW64:CW78" si="209">CW63+CR64</f>
        <v>2568.9976779826266</v>
      </c>
      <c r="CX64" s="197">
        <f t="shared" ref="CX64:CX78" si="210">CX63+CS64</f>
        <v>1274.4074676484415</v>
      </c>
      <c r="CY64" s="199">
        <f t="shared" ref="CY64:CY78" si="211">CY63+CT64</f>
        <v>1924.7958171630044</v>
      </c>
      <c r="DB64" s="204">
        <v>2</v>
      </c>
      <c r="DC64" s="902" t="s">
        <v>560</v>
      </c>
      <c r="DD64" s="760">
        <f>'Arable Inputs'!$G$18</f>
        <v>2.1</v>
      </c>
      <c r="DE64" s="760">
        <f>'Arable Inputs'!$G$25-'Arable Inputs'!$G$25</f>
        <v>0</v>
      </c>
      <c r="DH64" s="762">
        <f>DD64*DE64</f>
        <v>0</v>
      </c>
      <c r="DI64" s="197">
        <f>'Arable NPV'!$E144</f>
        <v>330</v>
      </c>
      <c r="DJ64" s="197">
        <f t="shared" ref="DJ64:DJ78" si="212">DH64+DI64</f>
        <v>330</v>
      </c>
      <c r="DK64" s="197">
        <f>'Arable NPV'!$G144</f>
        <v>255.07731473684206</v>
      </c>
      <c r="DL64" s="197">
        <f>'Arable NPV'!$H144</f>
        <v>778.68036799999993</v>
      </c>
      <c r="DM64" s="197">
        <f t="shared" ref="DM64:DM78" si="213">DK64+DL64</f>
        <v>1033.7576827368421</v>
      </c>
      <c r="DN64" s="197">
        <f t="shared" ref="DN64:DN78" si="214">DH64-DM64</f>
        <v>-1033.7576827368421</v>
      </c>
      <c r="DO64" s="197">
        <f t="shared" ref="DO64:DO78" si="215">DJ64-DM64</f>
        <v>-703.75768273684207</v>
      </c>
      <c r="DP64" s="196">
        <f t="shared" ref="DP64:DP78" si="216">DH64/(1+$B$4)^(DB64-1)</f>
        <v>0</v>
      </c>
      <c r="DQ64" s="197">
        <f t="shared" ref="DQ64:DQ78" si="217">DI64/(1+$B$4)^(DB64-1)</f>
        <v>320.38834951456312</v>
      </c>
      <c r="DR64" s="197">
        <f t="shared" ref="DR64:DR78" si="218">DM64/(1+$B$4)^(DB64-1)</f>
        <v>1003.648235666837</v>
      </c>
      <c r="DS64" s="197">
        <f t="shared" ref="DS64:DS78" si="219">DN64/(1+$B$4)^(DB64-1)</f>
        <v>-1003.648235666837</v>
      </c>
      <c r="DT64" s="199">
        <f t="shared" ref="DT64:DT77" si="220">DO64/(1+$B$4)^(DB64-1)</f>
        <v>-683.25988615227379</v>
      </c>
      <c r="DU64" s="196">
        <f t="shared" ref="DU64:DU78" si="221">DU63+DP64</f>
        <v>0</v>
      </c>
      <c r="DV64" s="197">
        <f t="shared" ref="DV64:DV78" si="222">DV63+DQ64</f>
        <v>650.38834951456306</v>
      </c>
      <c r="DW64" s="197">
        <f t="shared" ref="DW64:DW78" si="223">DW63+DR64</f>
        <v>2568.9976779826266</v>
      </c>
      <c r="DX64" s="197">
        <f t="shared" ref="DX64:DX78" si="224">DX63+DS64</f>
        <v>-2568.9976779826266</v>
      </c>
      <c r="DY64" s="199">
        <f t="shared" ref="DY64:DY78" si="225">DY63+DT64</f>
        <v>-1918.6093284680633</v>
      </c>
    </row>
    <row r="65" spans="2:129" x14ac:dyDescent="0.3">
      <c r="B65" s="900">
        <v>3</v>
      </c>
      <c r="C65" s="902" t="s">
        <v>255</v>
      </c>
      <c r="D65" s="760">
        <f>'Arable Inputs'!$H$18</f>
        <v>9.4</v>
      </c>
      <c r="E65" s="760">
        <f>'Arable Inputs'!$H$25</f>
        <v>94.285714285714292</v>
      </c>
      <c r="H65" s="762">
        <f>D65*E65</f>
        <v>886.28571428571433</v>
      </c>
      <c r="I65" s="197">
        <f>'Arable NPV'!$E145</f>
        <v>330</v>
      </c>
      <c r="J65" s="197">
        <f t="shared" si="156"/>
        <v>1216.2857142857142</v>
      </c>
      <c r="K65" s="197">
        <f>'Arable NPV'!$G145</f>
        <v>566.71194999999989</v>
      </c>
      <c r="L65" s="197">
        <f>'Arable NPV'!$H145</f>
        <v>691.46913599999993</v>
      </c>
      <c r="M65" s="197">
        <f t="shared" si="157"/>
        <v>1258.1810859999998</v>
      </c>
      <c r="N65" s="197">
        <f t="shared" si="158"/>
        <v>-371.89537171428549</v>
      </c>
      <c r="O65" s="197">
        <f t="shared" si="159"/>
        <v>-41.895371714285602</v>
      </c>
      <c r="P65" s="196">
        <f t="shared" si="160"/>
        <v>835.40928860940176</v>
      </c>
      <c r="Q65" s="197">
        <f t="shared" si="161"/>
        <v>311.05665001413894</v>
      </c>
      <c r="R65" s="197">
        <f t="shared" si="162"/>
        <v>1185.9563446130642</v>
      </c>
      <c r="S65" s="197">
        <f t="shared" si="163"/>
        <v>-350.54705600366248</v>
      </c>
      <c r="T65" s="199">
        <f t="shared" si="164"/>
        <v>-39.490405989523616</v>
      </c>
      <c r="U65" s="196">
        <f t="shared" si="165"/>
        <v>2757.1118614249358</v>
      </c>
      <c r="V65" s="197">
        <f t="shared" si="166"/>
        <v>961.44499952870206</v>
      </c>
      <c r="W65" s="197">
        <f t="shared" si="167"/>
        <v>3754.9540225956907</v>
      </c>
      <c r="X65" s="197">
        <f t="shared" si="168"/>
        <v>-997.84216117075493</v>
      </c>
      <c r="Y65" s="199">
        <f t="shared" si="169"/>
        <v>-36.397161642053071</v>
      </c>
      <c r="Z65" s="197"/>
      <c r="AB65" s="900">
        <v>3</v>
      </c>
      <c r="AC65" s="902" t="s">
        <v>28</v>
      </c>
      <c r="AD65" s="760">
        <f>'Arable Inputs'!$H$18</f>
        <v>9.4</v>
      </c>
      <c r="AE65" s="760">
        <f>'Arable Inputs'!$H$25+0.5*'Arable Inputs'!$H$25</f>
        <v>141.42857142857144</v>
      </c>
      <c r="AH65" s="762">
        <f>AD65*AE65</f>
        <v>1329.4285714285716</v>
      </c>
      <c r="AI65" s="197">
        <f>'Arable NPV'!$E145</f>
        <v>330</v>
      </c>
      <c r="AJ65" s="197">
        <f t="shared" si="170"/>
        <v>1659.4285714285716</v>
      </c>
      <c r="AK65" s="197">
        <f>'Arable NPV'!$G145</f>
        <v>566.71194999999989</v>
      </c>
      <c r="AL65" s="197">
        <f>'Arable NPV'!$H145</f>
        <v>691.46913599999993</v>
      </c>
      <c r="AM65" s="197">
        <f t="shared" si="171"/>
        <v>1258.1810859999998</v>
      </c>
      <c r="AN65" s="197">
        <f t="shared" si="172"/>
        <v>71.247485428571736</v>
      </c>
      <c r="AO65" s="197">
        <f t="shared" si="173"/>
        <v>401.24748542857174</v>
      </c>
      <c r="AP65" s="196">
        <f t="shared" si="174"/>
        <v>1253.1139329141029</v>
      </c>
      <c r="AQ65" s="197">
        <f t="shared" si="175"/>
        <v>311.05665001413894</v>
      </c>
      <c r="AR65" s="197">
        <f t="shared" si="176"/>
        <v>1185.9563446130642</v>
      </c>
      <c r="AS65" s="197">
        <f t="shared" si="177"/>
        <v>67.157588301038501</v>
      </c>
      <c r="AT65" s="199">
        <f t="shared" si="178"/>
        <v>378.21423831517745</v>
      </c>
      <c r="AU65" s="196">
        <f t="shared" si="179"/>
        <v>4135.6677921374039</v>
      </c>
      <c r="AV65" s="197">
        <f t="shared" si="180"/>
        <v>961.44499952870206</v>
      </c>
      <c r="AW65" s="197">
        <f t="shared" si="181"/>
        <v>3754.9540225956907</v>
      </c>
      <c r="AX65" s="197">
        <f t="shared" si="182"/>
        <v>380.71376954171302</v>
      </c>
      <c r="AY65" s="199">
        <f t="shared" si="183"/>
        <v>1342.158769070415</v>
      </c>
      <c r="BB65" s="900">
        <v>3</v>
      </c>
      <c r="BC65" s="902" t="s">
        <v>28</v>
      </c>
      <c r="BD65" s="760">
        <f>'Arable Inputs'!$H$18</f>
        <v>9.4</v>
      </c>
      <c r="BE65" s="760">
        <f>'Arable Inputs'!$H$25-0.5*'Arable Inputs'!$H$25</f>
        <v>47.142857142857146</v>
      </c>
      <c r="BH65" s="762">
        <f>BD65*BE65</f>
        <v>443.14285714285717</v>
      </c>
      <c r="BI65" s="197">
        <f>'Arable NPV'!$E145</f>
        <v>330</v>
      </c>
      <c r="BJ65" s="197">
        <f t="shared" si="184"/>
        <v>773.14285714285711</v>
      </c>
      <c r="BK65" s="197">
        <f>'Arable NPV'!$G145</f>
        <v>566.71194999999989</v>
      </c>
      <c r="BL65" s="197">
        <f>'Arable NPV'!$H145</f>
        <v>691.46913599999993</v>
      </c>
      <c r="BM65" s="197">
        <f t="shared" si="185"/>
        <v>1258.1810859999998</v>
      </c>
      <c r="BN65" s="197">
        <f t="shared" si="186"/>
        <v>-815.03822885714271</v>
      </c>
      <c r="BO65" s="197">
        <f t="shared" si="187"/>
        <v>-485.03822885714271</v>
      </c>
      <c r="BP65" s="196">
        <f t="shared" si="188"/>
        <v>417.70464430470088</v>
      </c>
      <c r="BQ65" s="197">
        <f t="shared" si="189"/>
        <v>311.05665001413894</v>
      </c>
      <c r="BR65" s="197">
        <f t="shared" si="190"/>
        <v>1185.9563446130642</v>
      </c>
      <c r="BS65" s="197">
        <f t="shared" si="191"/>
        <v>-768.25170030836341</v>
      </c>
      <c r="BT65" s="199">
        <f t="shared" si="192"/>
        <v>-457.19505029422447</v>
      </c>
      <c r="BU65" s="196">
        <f t="shared" si="193"/>
        <v>1378.5559307124679</v>
      </c>
      <c r="BV65" s="197">
        <f t="shared" si="194"/>
        <v>961.44499952870206</v>
      </c>
      <c r="BW65" s="197">
        <f t="shared" si="195"/>
        <v>3754.9540225956907</v>
      </c>
      <c r="BX65" s="197">
        <f t="shared" si="196"/>
        <v>-2376.3980918832231</v>
      </c>
      <c r="BY65" s="199">
        <f t="shared" si="197"/>
        <v>-1414.9530923545208</v>
      </c>
      <c r="CB65" s="900">
        <v>3</v>
      </c>
      <c r="CC65" s="902" t="s">
        <v>28</v>
      </c>
      <c r="CD65" s="760">
        <f>'Arable Inputs'!$H$18</f>
        <v>9.4</v>
      </c>
      <c r="CE65" s="760">
        <f>'Arable Inputs'!$H$25+'Arable Inputs'!$H$25</f>
        <v>188.57142857142858</v>
      </c>
      <c r="CH65" s="762">
        <f>CD65*CE65</f>
        <v>1772.5714285714287</v>
      </c>
      <c r="CI65" s="197">
        <f>'Arable NPV'!$E145</f>
        <v>330</v>
      </c>
      <c r="CJ65" s="197">
        <f t="shared" si="198"/>
        <v>2102.5714285714284</v>
      </c>
      <c r="CK65" s="197">
        <f>'Arable NPV'!$G145</f>
        <v>566.71194999999989</v>
      </c>
      <c r="CL65" s="197">
        <f>'Arable NPV'!$H145</f>
        <v>691.46913599999993</v>
      </c>
      <c r="CM65" s="197">
        <f t="shared" si="199"/>
        <v>1258.1810859999998</v>
      </c>
      <c r="CN65" s="197">
        <f t="shared" si="200"/>
        <v>514.39034257142885</v>
      </c>
      <c r="CO65" s="197">
        <f t="shared" si="201"/>
        <v>844.39034257142862</v>
      </c>
      <c r="CP65" s="196">
        <f t="shared" si="202"/>
        <v>1670.8185772188035</v>
      </c>
      <c r="CQ65" s="197">
        <f t="shared" si="203"/>
        <v>311.05665001413894</v>
      </c>
      <c r="CR65" s="197">
        <f t="shared" si="204"/>
        <v>1185.9563446130642</v>
      </c>
      <c r="CS65" s="197">
        <f t="shared" si="205"/>
        <v>484.86223260573934</v>
      </c>
      <c r="CT65" s="199">
        <f t="shared" si="206"/>
        <v>795.9188826198781</v>
      </c>
      <c r="CU65" s="196">
        <f t="shared" si="207"/>
        <v>5514.2237228498716</v>
      </c>
      <c r="CV65" s="197">
        <f t="shared" si="208"/>
        <v>961.44499952870206</v>
      </c>
      <c r="CW65" s="197">
        <f t="shared" si="209"/>
        <v>3754.9540225956907</v>
      </c>
      <c r="CX65" s="197">
        <f t="shared" si="210"/>
        <v>1759.2697002541809</v>
      </c>
      <c r="CY65" s="199">
        <f t="shared" si="211"/>
        <v>2720.7146997828822</v>
      </c>
      <c r="DB65" s="204">
        <f t="shared" ref="DB65:DB78" si="226">DB64+1</f>
        <v>3</v>
      </c>
      <c r="DC65" s="902" t="s">
        <v>28</v>
      </c>
      <c r="DD65" s="760">
        <f>'Arable Inputs'!$H$18</f>
        <v>9.4</v>
      </c>
      <c r="DE65" s="760">
        <f>'Arable Inputs'!$H$25-'Arable Inputs'!$H$25</f>
        <v>0</v>
      </c>
      <c r="DH65" s="762">
        <f>DD65*DE65</f>
        <v>0</v>
      </c>
      <c r="DI65" s="197">
        <f>'Arable NPV'!$E145</f>
        <v>330</v>
      </c>
      <c r="DJ65" s="197">
        <f t="shared" si="212"/>
        <v>330</v>
      </c>
      <c r="DK65" s="197">
        <f>'Arable NPV'!$G145</f>
        <v>566.71194999999989</v>
      </c>
      <c r="DL65" s="197">
        <f>'Arable NPV'!$H145</f>
        <v>691.46913599999993</v>
      </c>
      <c r="DM65" s="197">
        <f t="shared" si="213"/>
        <v>1258.1810859999998</v>
      </c>
      <c r="DN65" s="197">
        <f t="shared" si="214"/>
        <v>-1258.1810859999998</v>
      </c>
      <c r="DO65" s="197">
        <f t="shared" si="215"/>
        <v>-928.18108599999982</v>
      </c>
      <c r="DP65" s="196">
        <f t="shared" si="216"/>
        <v>0</v>
      </c>
      <c r="DQ65" s="197">
        <f t="shared" si="217"/>
        <v>311.05665001413894</v>
      </c>
      <c r="DR65" s="197">
        <f t="shared" si="218"/>
        <v>1185.9563446130642</v>
      </c>
      <c r="DS65" s="197">
        <f t="shared" si="219"/>
        <v>-1185.9563446130642</v>
      </c>
      <c r="DT65" s="199">
        <f t="shared" si="220"/>
        <v>-874.89969459892529</v>
      </c>
      <c r="DU65" s="196">
        <f t="shared" si="221"/>
        <v>0</v>
      </c>
      <c r="DV65" s="197">
        <f t="shared" si="222"/>
        <v>961.44499952870206</v>
      </c>
      <c r="DW65" s="197">
        <f t="shared" si="223"/>
        <v>3754.9540225956907</v>
      </c>
      <c r="DX65" s="197">
        <f t="shared" si="224"/>
        <v>-3754.9540225956907</v>
      </c>
      <c r="DY65" s="199">
        <f t="shared" si="225"/>
        <v>-2793.5090230669884</v>
      </c>
    </row>
    <row r="66" spans="2:129" x14ac:dyDescent="0.3">
      <c r="B66" s="900">
        <v>4</v>
      </c>
      <c r="C66" s="902" t="s">
        <v>5</v>
      </c>
      <c r="D66" s="760">
        <f>'Arable Inputs'!$F$18</f>
        <v>2.6</v>
      </c>
      <c r="E66" s="760">
        <f>'Arable Inputs'!$F$25</f>
        <v>196.99</v>
      </c>
      <c r="F66" s="760">
        <f>'Arable Inputs'!$F$19</f>
        <v>2.6</v>
      </c>
      <c r="G66" s="760">
        <f>'Arable Inputs'!$F$26</f>
        <v>42.374999999999993</v>
      </c>
      <c r="H66" s="762">
        <f>D66*E66+F66*G66</f>
        <v>622.34900000000005</v>
      </c>
      <c r="I66" s="197">
        <f>'Arable NPV'!$E146</f>
        <v>330</v>
      </c>
      <c r="J66" s="197">
        <f t="shared" si="156"/>
        <v>952.34900000000005</v>
      </c>
      <c r="K66" s="197">
        <f>'Arable NPV'!$G146</f>
        <v>327.77441459954235</v>
      </c>
      <c r="L66" s="197">
        <f>'Arable NPV'!$H146</f>
        <v>704.91322685714283</v>
      </c>
      <c r="M66" s="197">
        <f t="shared" si="157"/>
        <v>1032.6876414566852</v>
      </c>
      <c r="N66" s="197">
        <f t="shared" si="158"/>
        <v>-410.3386414566852</v>
      </c>
      <c r="O66" s="197">
        <f t="shared" si="159"/>
        <v>-80.338641456685195</v>
      </c>
      <c r="P66" s="196">
        <f t="shared" si="160"/>
        <v>569.5374965567795</v>
      </c>
      <c r="Q66" s="197">
        <f t="shared" si="161"/>
        <v>301.99674758654265</v>
      </c>
      <c r="R66" s="197">
        <f t="shared" si="162"/>
        <v>945.05548179617165</v>
      </c>
      <c r="S66" s="197">
        <f t="shared" si="163"/>
        <v>-375.51798523939209</v>
      </c>
      <c r="T66" s="199">
        <f t="shared" si="164"/>
        <v>-73.521237652849422</v>
      </c>
      <c r="U66" s="196">
        <f t="shared" si="165"/>
        <v>3326.6493579817152</v>
      </c>
      <c r="V66" s="197">
        <f t="shared" si="166"/>
        <v>1263.4417471152447</v>
      </c>
      <c r="W66" s="197">
        <f t="shared" si="167"/>
        <v>4700.0095043918627</v>
      </c>
      <c r="X66" s="197">
        <f t="shared" si="168"/>
        <v>-1373.3601464101471</v>
      </c>
      <c r="Y66" s="199">
        <f t="shared" si="169"/>
        <v>-109.91839929490249</v>
      </c>
      <c r="Z66" s="197"/>
      <c r="AB66" s="900">
        <v>4</v>
      </c>
      <c r="AC66" s="902" t="s">
        <v>5</v>
      </c>
      <c r="AD66" s="760">
        <f>'Arable Inputs'!$F$18</f>
        <v>2.6</v>
      </c>
      <c r="AE66" s="760">
        <f>'Arable Inputs'!$F$25+0.5*'Arable Inputs'!$F$25</f>
        <v>295.48500000000001</v>
      </c>
      <c r="AF66" s="760">
        <f>'Arable Inputs'!$F$19</f>
        <v>2.6</v>
      </c>
      <c r="AG66" s="760">
        <f>'Arable Inputs'!$F$26+0.5*'Arable Inputs'!$F$26</f>
        <v>63.562499999999986</v>
      </c>
      <c r="AH66" s="762">
        <f>AD66*AE66+AF66*AG66</f>
        <v>933.52350000000001</v>
      </c>
      <c r="AI66" s="197">
        <f>'Arable NPV'!$E146</f>
        <v>330</v>
      </c>
      <c r="AJ66" s="197">
        <f t="shared" si="170"/>
        <v>1263.5235</v>
      </c>
      <c r="AK66" s="197">
        <f>'Arable NPV'!$G146</f>
        <v>327.77441459954235</v>
      </c>
      <c r="AL66" s="197">
        <f>'Arable NPV'!$H146</f>
        <v>704.91322685714283</v>
      </c>
      <c r="AM66" s="197">
        <f t="shared" si="171"/>
        <v>1032.6876414566852</v>
      </c>
      <c r="AN66" s="197">
        <f t="shared" si="172"/>
        <v>-99.164141456685229</v>
      </c>
      <c r="AO66" s="197">
        <f t="shared" si="173"/>
        <v>230.83585854331477</v>
      </c>
      <c r="AP66" s="196">
        <f t="shared" si="174"/>
        <v>854.30624483516931</v>
      </c>
      <c r="AQ66" s="197">
        <f t="shared" si="175"/>
        <v>301.99674758654265</v>
      </c>
      <c r="AR66" s="197">
        <f t="shared" si="176"/>
        <v>945.05548179617165</v>
      </c>
      <c r="AS66" s="197">
        <f t="shared" si="177"/>
        <v>-90.749236961002367</v>
      </c>
      <c r="AT66" s="199">
        <f t="shared" si="178"/>
        <v>211.24751062554029</v>
      </c>
      <c r="AU66" s="196">
        <f t="shared" si="179"/>
        <v>4989.9740369725732</v>
      </c>
      <c r="AV66" s="197">
        <f t="shared" si="180"/>
        <v>1263.4417471152447</v>
      </c>
      <c r="AW66" s="197">
        <f t="shared" si="181"/>
        <v>4700.0095043918627</v>
      </c>
      <c r="AX66" s="197">
        <f t="shared" si="182"/>
        <v>289.96453258071062</v>
      </c>
      <c r="AY66" s="199">
        <f t="shared" si="183"/>
        <v>1553.4062796959554</v>
      </c>
      <c r="BB66" s="900">
        <v>4</v>
      </c>
      <c r="BC66" s="902" t="s">
        <v>5</v>
      </c>
      <c r="BD66" s="760">
        <f>'Arable Inputs'!$F$18</f>
        <v>2.6</v>
      </c>
      <c r="BE66" s="760">
        <f>'Arable Inputs'!$F$25-0.5*'Arable Inputs'!$F$25</f>
        <v>98.495000000000005</v>
      </c>
      <c r="BF66" s="760">
        <f>'Arable Inputs'!$F$19</f>
        <v>2.6</v>
      </c>
      <c r="BG66" s="760">
        <f>'Arable Inputs'!$F$26-0.5*'Arable Inputs'!$F$26</f>
        <v>21.187499999999996</v>
      </c>
      <c r="BH66" s="762">
        <f>BD66*BE66+BF66*BG66</f>
        <v>311.17450000000002</v>
      </c>
      <c r="BI66" s="197">
        <f>'Arable NPV'!$E146</f>
        <v>330</v>
      </c>
      <c r="BJ66" s="197">
        <f t="shared" si="184"/>
        <v>641.17450000000008</v>
      </c>
      <c r="BK66" s="197">
        <f>'Arable NPV'!$G146</f>
        <v>327.77441459954235</v>
      </c>
      <c r="BL66" s="197">
        <f>'Arable NPV'!$H146</f>
        <v>704.91322685714283</v>
      </c>
      <c r="BM66" s="197">
        <f t="shared" si="185"/>
        <v>1032.6876414566852</v>
      </c>
      <c r="BN66" s="197">
        <f t="shared" si="186"/>
        <v>-721.51314145668516</v>
      </c>
      <c r="BO66" s="197">
        <f t="shared" si="187"/>
        <v>-391.51314145668516</v>
      </c>
      <c r="BP66" s="196">
        <f t="shared" si="188"/>
        <v>284.76874827838975</v>
      </c>
      <c r="BQ66" s="197">
        <f t="shared" si="189"/>
        <v>301.99674758654265</v>
      </c>
      <c r="BR66" s="197">
        <f t="shared" si="190"/>
        <v>945.05548179617165</v>
      </c>
      <c r="BS66" s="197">
        <f t="shared" si="191"/>
        <v>-660.28673351778184</v>
      </c>
      <c r="BT66" s="199">
        <f t="shared" si="192"/>
        <v>-358.28998593123913</v>
      </c>
      <c r="BU66" s="196">
        <f t="shared" si="193"/>
        <v>1663.3246789908576</v>
      </c>
      <c r="BV66" s="197">
        <f t="shared" si="194"/>
        <v>1263.4417471152447</v>
      </c>
      <c r="BW66" s="197">
        <f t="shared" si="195"/>
        <v>4700.0095043918627</v>
      </c>
      <c r="BX66" s="197">
        <f t="shared" si="196"/>
        <v>-3036.6848254010047</v>
      </c>
      <c r="BY66" s="199">
        <f t="shared" si="197"/>
        <v>-1773.24307828576</v>
      </c>
      <c r="CB66" s="900">
        <v>4</v>
      </c>
      <c r="CC66" s="902" t="s">
        <v>5</v>
      </c>
      <c r="CD66" s="760">
        <f>'Arable Inputs'!$F$18</f>
        <v>2.6</v>
      </c>
      <c r="CE66" s="760">
        <f>'Arable Inputs'!$F$25+'Arable Inputs'!$F$25</f>
        <v>393.98</v>
      </c>
      <c r="CF66" s="760">
        <f>'Arable Inputs'!$F$19</f>
        <v>2.6</v>
      </c>
      <c r="CG66" s="760">
        <f>'Arable Inputs'!$F$26+'Arable Inputs'!$F$26</f>
        <v>84.749999999999986</v>
      </c>
      <c r="CH66" s="762">
        <f>CD66*CE66+CF66*CG66</f>
        <v>1244.6980000000001</v>
      </c>
      <c r="CI66" s="197">
        <f>'Arable NPV'!$E146</f>
        <v>330</v>
      </c>
      <c r="CJ66" s="197">
        <f t="shared" si="198"/>
        <v>1574.6980000000001</v>
      </c>
      <c r="CK66" s="197">
        <f>'Arable NPV'!$G146</f>
        <v>327.77441459954235</v>
      </c>
      <c r="CL66" s="197">
        <f>'Arable NPV'!$H146</f>
        <v>704.91322685714283</v>
      </c>
      <c r="CM66" s="197">
        <f t="shared" si="199"/>
        <v>1032.6876414566852</v>
      </c>
      <c r="CN66" s="197">
        <f t="shared" si="200"/>
        <v>212.01035854331485</v>
      </c>
      <c r="CO66" s="197">
        <f t="shared" si="201"/>
        <v>542.01035854331485</v>
      </c>
      <c r="CP66" s="196">
        <f t="shared" si="202"/>
        <v>1139.074993113559</v>
      </c>
      <c r="CQ66" s="197">
        <f t="shared" si="203"/>
        <v>301.99674758654265</v>
      </c>
      <c r="CR66" s="197">
        <f t="shared" si="204"/>
        <v>945.05548179617165</v>
      </c>
      <c r="CS66" s="197">
        <f t="shared" si="205"/>
        <v>194.01951131738747</v>
      </c>
      <c r="CT66" s="199">
        <f t="shared" si="206"/>
        <v>496.01625890393012</v>
      </c>
      <c r="CU66" s="196">
        <f t="shared" si="207"/>
        <v>6653.2987159634304</v>
      </c>
      <c r="CV66" s="197">
        <f t="shared" si="208"/>
        <v>1263.4417471152447</v>
      </c>
      <c r="CW66" s="197">
        <f t="shared" si="209"/>
        <v>4700.0095043918627</v>
      </c>
      <c r="CX66" s="197">
        <f t="shared" si="210"/>
        <v>1953.2892115715683</v>
      </c>
      <c r="CY66" s="199">
        <f t="shared" si="211"/>
        <v>3216.7309586868123</v>
      </c>
      <c r="DB66" s="204">
        <f t="shared" si="226"/>
        <v>4</v>
      </c>
      <c r="DC66" s="902" t="s">
        <v>5</v>
      </c>
      <c r="DD66" s="760">
        <f>'Arable Inputs'!$F$18</f>
        <v>2.6</v>
      </c>
      <c r="DE66" s="760">
        <f>'Arable Inputs'!$F$25-'Arable Inputs'!$F$25</f>
        <v>0</v>
      </c>
      <c r="DF66" s="760">
        <f>'Arable Inputs'!$F$19</f>
        <v>2.6</v>
      </c>
      <c r="DG66" s="760">
        <f>'Arable Inputs'!$F$26-'Arable Inputs'!$F$26</f>
        <v>0</v>
      </c>
      <c r="DH66" s="762">
        <f>DD66*DE66+DF66*DG66</f>
        <v>0</v>
      </c>
      <c r="DI66" s="197">
        <f>'Arable NPV'!$E146</f>
        <v>330</v>
      </c>
      <c r="DJ66" s="197">
        <f t="shared" si="212"/>
        <v>330</v>
      </c>
      <c r="DK66" s="197">
        <f>'Arable NPV'!$G146</f>
        <v>327.77441459954235</v>
      </c>
      <c r="DL66" s="197">
        <f>'Arable NPV'!$H146</f>
        <v>704.91322685714283</v>
      </c>
      <c r="DM66" s="197">
        <f t="shared" si="213"/>
        <v>1032.6876414566852</v>
      </c>
      <c r="DN66" s="197">
        <f t="shared" si="214"/>
        <v>-1032.6876414566852</v>
      </c>
      <c r="DO66" s="197">
        <f t="shared" si="215"/>
        <v>-702.68764145668524</v>
      </c>
      <c r="DP66" s="196">
        <f t="shared" si="216"/>
        <v>0</v>
      </c>
      <c r="DQ66" s="197">
        <f t="shared" si="217"/>
        <v>301.99674758654265</v>
      </c>
      <c r="DR66" s="197">
        <f t="shared" si="218"/>
        <v>945.05548179617165</v>
      </c>
      <c r="DS66" s="197">
        <f t="shared" si="219"/>
        <v>-945.05548179617165</v>
      </c>
      <c r="DT66" s="199">
        <f t="shared" si="220"/>
        <v>-643.05873420962894</v>
      </c>
      <c r="DU66" s="196">
        <f t="shared" si="221"/>
        <v>0</v>
      </c>
      <c r="DV66" s="197">
        <f t="shared" si="222"/>
        <v>1263.4417471152447</v>
      </c>
      <c r="DW66" s="197">
        <f t="shared" si="223"/>
        <v>4700.0095043918627</v>
      </c>
      <c r="DX66" s="197">
        <f t="shared" si="224"/>
        <v>-4700.0095043918627</v>
      </c>
      <c r="DY66" s="199">
        <f t="shared" si="225"/>
        <v>-3436.5677572766172</v>
      </c>
    </row>
    <row r="67" spans="2:129" x14ac:dyDescent="0.3">
      <c r="B67" s="900">
        <v>5</v>
      </c>
      <c r="C67" s="902" t="s">
        <v>559</v>
      </c>
      <c r="D67" s="760">
        <f>'Arable Inputs'!$E$18</f>
        <v>3.1</v>
      </c>
      <c r="E67" s="760">
        <f>'Arable Inputs'!$E$25</f>
        <v>310.75</v>
      </c>
      <c r="H67" s="762">
        <f>D67*E67</f>
        <v>963.32500000000005</v>
      </c>
      <c r="I67" s="197">
        <f>'Arable NPV'!$E147</f>
        <v>330</v>
      </c>
      <c r="J67" s="197">
        <f t="shared" si="156"/>
        <v>1293.325</v>
      </c>
      <c r="K67" s="197">
        <f>'Arable NPV'!$G147</f>
        <v>300.32802631578949</v>
      </c>
      <c r="L67" s="197">
        <f>'Arable NPV'!$H147</f>
        <v>547.62448399999994</v>
      </c>
      <c r="M67" s="197">
        <f t="shared" si="157"/>
        <v>847.95251031578937</v>
      </c>
      <c r="N67" s="197">
        <f t="shared" si="158"/>
        <v>115.37248968421068</v>
      </c>
      <c r="O67" s="197">
        <f t="shared" si="159"/>
        <v>445.37248968421068</v>
      </c>
      <c r="P67" s="196">
        <f t="shared" si="160"/>
        <v>855.90178543338106</v>
      </c>
      <c r="Q67" s="197">
        <f t="shared" si="161"/>
        <v>293.20072581217738</v>
      </c>
      <c r="R67" s="197">
        <f t="shared" si="162"/>
        <v>753.3948226631735</v>
      </c>
      <c r="S67" s="197">
        <f t="shared" si="163"/>
        <v>102.50696277020762</v>
      </c>
      <c r="T67" s="199">
        <f t="shared" si="164"/>
        <v>395.707688582385</v>
      </c>
      <c r="U67" s="196">
        <f t="shared" si="165"/>
        <v>4182.5511434150958</v>
      </c>
      <c r="V67" s="197">
        <f t="shared" si="166"/>
        <v>1556.642472927422</v>
      </c>
      <c r="W67" s="197">
        <f t="shared" si="167"/>
        <v>5453.4043270550364</v>
      </c>
      <c r="X67" s="197">
        <f t="shared" si="168"/>
        <v>-1270.8531836399395</v>
      </c>
      <c r="Y67" s="199">
        <f t="shared" si="169"/>
        <v>285.78928928748252</v>
      </c>
      <c r="Z67" s="197"/>
      <c r="AB67" s="900">
        <v>5</v>
      </c>
      <c r="AC67" s="902" t="s">
        <v>559</v>
      </c>
      <c r="AD67" s="760">
        <f>'Arable Inputs'!$E$18</f>
        <v>3.1</v>
      </c>
      <c r="AE67" s="760">
        <f>'Arable Inputs'!$E$25+0.5*'Arable Inputs'!$E$25</f>
        <v>466.125</v>
      </c>
      <c r="AH67" s="762">
        <f>AD67*AE67</f>
        <v>1444.9875</v>
      </c>
      <c r="AI67" s="197">
        <f>'Arable NPV'!$E147</f>
        <v>330</v>
      </c>
      <c r="AJ67" s="197">
        <f t="shared" si="170"/>
        <v>1774.9875</v>
      </c>
      <c r="AK67" s="197">
        <f>'Arable NPV'!$G147</f>
        <v>300.32802631578949</v>
      </c>
      <c r="AL67" s="197">
        <f>'Arable NPV'!$H147</f>
        <v>547.62448399999994</v>
      </c>
      <c r="AM67" s="197">
        <f t="shared" si="171"/>
        <v>847.95251031578937</v>
      </c>
      <c r="AN67" s="197">
        <f t="shared" si="172"/>
        <v>597.03498968421059</v>
      </c>
      <c r="AO67" s="197">
        <f t="shared" si="173"/>
        <v>927.03498968421059</v>
      </c>
      <c r="AP67" s="196">
        <f t="shared" si="174"/>
        <v>1283.8526781500716</v>
      </c>
      <c r="AQ67" s="197">
        <f t="shared" si="175"/>
        <v>293.20072581217738</v>
      </c>
      <c r="AR67" s="197">
        <f t="shared" si="176"/>
        <v>753.3948226631735</v>
      </c>
      <c r="AS67" s="197">
        <f t="shared" si="177"/>
        <v>530.4578554868981</v>
      </c>
      <c r="AT67" s="199">
        <f t="shared" si="178"/>
        <v>823.65858129907542</v>
      </c>
      <c r="AU67" s="196">
        <f t="shared" si="179"/>
        <v>6273.8267151226446</v>
      </c>
      <c r="AV67" s="197">
        <f t="shared" si="180"/>
        <v>1556.642472927422</v>
      </c>
      <c r="AW67" s="197">
        <f t="shared" si="181"/>
        <v>5453.4043270550364</v>
      </c>
      <c r="AX67" s="197">
        <f t="shared" si="182"/>
        <v>820.42238806760872</v>
      </c>
      <c r="AY67" s="199">
        <f t="shared" si="183"/>
        <v>2377.0648609950308</v>
      </c>
      <c r="BB67" s="900">
        <v>5</v>
      </c>
      <c r="BC67" s="902" t="s">
        <v>559</v>
      </c>
      <c r="BD67" s="760">
        <f>'Arable Inputs'!$E$18</f>
        <v>3.1</v>
      </c>
      <c r="BE67" s="760">
        <f>'Arable Inputs'!$E$25-0.5*'Arable Inputs'!$E$25</f>
        <v>155.375</v>
      </c>
      <c r="BH67" s="762">
        <f>BD67*BE67</f>
        <v>481.66250000000002</v>
      </c>
      <c r="BI67" s="197">
        <f>'Arable NPV'!$E147</f>
        <v>330</v>
      </c>
      <c r="BJ67" s="197">
        <f t="shared" si="184"/>
        <v>811.66250000000002</v>
      </c>
      <c r="BK67" s="197">
        <f>'Arable NPV'!$G147</f>
        <v>300.32802631578949</v>
      </c>
      <c r="BL67" s="197">
        <f>'Arable NPV'!$H147</f>
        <v>547.62448399999994</v>
      </c>
      <c r="BM67" s="197">
        <f t="shared" si="185"/>
        <v>847.95251031578937</v>
      </c>
      <c r="BN67" s="197">
        <f t="shared" si="186"/>
        <v>-366.29001031578935</v>
      </c>
      <c r="BO67" s="197">
        <f t="shared" si="187"/>
        <v>-36.290010315789345</v>
      </c>
      <c r="BP67" s="196">
        <f t="shared" si="188"/>
        <v>427.95089271669053</v>
      </c>
      <c r="BQ67" s="197">
        <f t="shared" si="189"/>
        <v>293.20072581217738</v>
      </c>
      <c r="BR67" s="197">
        <f t="shared" si="190"/>
        <v>753.3948226631735</v>
      </c>
      <c r="BS67" s="197">
        <f t="shared" si="191"/>
        <v>-325.44392994648291</v>
      </c>
      <c r="BT67" s="199">
        <f t="shared" si="192"/>
        <v>-32.243204134305579</v>
      </c>
      <c r="BU67" s="196">
        <f t="shared" si="193"/>
        <v>2091.2755717075479</v>
      </c>
      <c r="BV67" s="197">
        <f t="shared" si="194"/>
        <v>1556.642472927422</v>
      </c>
      <c r="BW67" s="197">
        <f t="shared" si="195"/>
        <v>5453.4043270550364</v>
      </c>
      <c r="BX67" s="197">
        <f t="shared" si="196"/>
        <v>-3362.1287553474876</v>
      </c>
      <c r="BY67" s="199">
        <f t="shared" si="197"/>
        <v>-1805.4862824200657</v>
      </c>
      <c r="CB67" s="900">
        <v>5</v>
      </c>
      <c r="CC67" s="902" t="s">
        <v>559</v>
      </c>
      <c r="CD67" s="760">
        <f>'Arable Inputs'!$E$18</f>
        <v>3.1</v>
      </c>
      <c r="CE67" s="760">
        <f>'Arable Inputs'!$E$25+'Arable Inputs'!$E$25</f>
        <v>621.5</v>
      </c>
      <c r="CH67" s="762">
        <f>CD67*CE67</f>
        <v>1926.65</v>
      </c>
      <c r="CI67" s="197">
        <f>'Arable NPV'!$E147</f>
        <v>330</v>
      </c>
      <c r="CJ67" s="197">
        <f t="shared" si="198"/>
        <v>2256.65</v>
      </c>
      <c r="CK67" s="197">
        <f>'Arable NPV'!$G147</f>
        <v>300.32802631578949</v>
      </c>
      <c r="CL67" s="197">
        <f>'Arable NPV'!$H147</f>
        <v>547.62448399999994</v>
      </c>
      <c r="CM67" s="197">
        <f t="shared" si="199"/>
        <v>847.95251031578937</v>
      </c>
      <c r="CN67" s="197">
        <f t="shared" si="200"/>
        <v>1078.6974896842107</v>
      </c>
      <c r="CO67" s="197">
        <f t="shared" si="201"/>
        <v>1408.6974896842107</v>
      </c>
      <c r="CP67" s="196">
        <f t="shared" si="202"/>
        <v>1711.8035708667621</v>
      </c>
      <c r="CQ67" s="197">
        <f t="shared" si="203"/>
        <v>293.20072581217738</v>
      </c>
      <c r="CR67" s="197">
        <f t="shared" si="204"/>
        <v>753.3948226631735</v>
      </c>
      <c r="CS67" s="197">
        <f t="shared" si="205"/>
        <v>958.40874820358874</v>
      </c>
      <c r="CT67" s="199">
        <f t="shared" si="206"/>
        <v>1251.6094740157662</v>
      </c>
      <c r="CU67" s="196">
        <f t="shared" si="207"/>
        <v>8365.1022868301916</v>
      </c>
      <c r="CV67" s="197">
        <f t="shared" si="208"/>
        <v>1556.642472927422</v>
      </c>
      <c r="CW67" s="197">
        <f t="shared" si="209"/>
        <v>5453.4043270550364</v>
      </c>
      <c r="CX67" s="197">
        <f t="shared" si="210"/>
        <v>2911.697959775157</v>
      </c>
      <c r="CY67" s="199">
        <f t="shared" si="211"/>
        <v>4468.3404327025783</v>
      </c>
      <c r="DB67" s="204">
        <f t="shared" si="226"/>
        <v>5</v>
      </c>
      <c r="DC67" s="902" t="s">
        <v>559</v>
      </c>
      <c r="DD67" s="760">
        <f>'Arable Inputs'!$E$18</f>
        <v>3.1</v>
      </c>
      <c r="DE67" s="760">
        <f>'Arable Inputs'!$E$25-'Arable Inputs'!$E$25</f>
        <v>0</v>
      </c>
      <c r="DH67" s="762">
        <f>DD67*DE67</f>
        <v>0</v>
      </c>
      <c r="DI67" s="197">
        <f>'Arable NPV'!$E147</f>
        <v>330</v>
      </c>
      <c r="DJ67" s="197">
        <f t="shared" si="212"/>
        <v>330</v>
      </c>
      <c r="DK67" s="197">
        <f>'Arable NPV'!$G147</f>
        <v>300.32802631578949</v>
      </c>
      <c r="DL67" s="197">
        <f>'Arable NPV'!$H147</f>
        <v>547.62448399999994</v>
      </c>
      <c r="DM67" s="197">
        <f t="shared" si="213"/>
        <v>847.95251031578937</v>
      </c>
      <c r="DN67" s="197">
        <f t="shared" si="214"/>
        <v>-847.95251031578937</v>
      </c>
      <c r="DO67" s="197">
        <f t="shared" si="215"/>
        <v>-517.95251031578937</v>
      </c>
      <c r="DP67" s="196">
        <f t="shared" si="216"/>
        <v>0</v>
      </c>
      <c r="DQ67" s="197">
        <f t="shared" si="217"/>
        <v>293.20072581217738</v>
      </c>
      <c r="DR67" s="197">
        <f t="shared" si="218"/>
        <v>753.3948226631735</v>
      </c>
      <c r="DS67" s="197">
        <f t="shared" si="219"/>
        <v>-753.3948226631735</v>
      </c>
      <c r="DT67" s="199">
        <f t="shared" si="220"/>
        <v>-460.19409685099612</v>
      </c>
      <c r="DU67" s="196">
        <f t="shared" si="221"/>
        <v>0</v>
      </c>
      <c r="DV67" s="197">
        <f t="shared" si="222"/>
        <v>1556.642472927422</v>
      </c>
      <c r="DW67" s="197">
        <f t="shared" si="223"/>
        <v>5453.4043270550364</v>
      </c>
      <c r="DX67" s="197">
        <f t="shared" si="224"/>
        <v>-5453.4043270550364</v>
      </c>
      <c r="DY67" s="199">
        <f t="shared" si="225"/>
        <v>-3896.7618541276133</v>
      </c>
    </row>
    <row r="68" spans="2:129" x14ac:dyDescent="0.3">
      <c r="B68" s="900">
        <v>6</v>
      </c>
      <c r="C68" s="902" t="s">
        <v>4</v>
      </c>
      <c r="D68" s="760">
        <f>'Arable Inputs'!$D$18</f>
        <v>5.5</v>
      </c>
      <c r="E68" s="760">
        <f>'Arable Inputs'!$D$25</f>
        <v>210</v>
      </c>
      <c r="F68" s="760">
        <f>'Arable Inputs'!$D$19</f>
        <v>3.9</v>
      </c>
      <c r="G68" s="760">
        <f>'Arable Inputs'!$D$26</f>
        <v>73.449999999999989</v>
      </c>
      <c r="H68" s="762">
        <f>D68*E68+F68*G68</f>
        <v>1441.4549999999999</v>
      </c>
      <c r="I68" s="197">
        <f>'Arable NPV'!$E148</f>
        <v>330</v>
      </c>
      <c r="J68" s="197">
        <f t="shared" si="156"/>
        <v>1771.4549999999999</v>
      </c>
      <c r="K68" s="197">
        <f>'Arable NPV'!$G148</f>
        <v>622.34710631578946</v>
      </c>
      <c r="L68" s="197">
        <f>'Arable NPV'!$H148</f>
        <v>943.00233600000001</v>
      </c>
      <c r="M68" s="197">
        <f t="shared" si="157"/>
        <v>1565.3494423157895</v>
      </c>
      <c r="N68" s="197">
        <f t="shared" si="158"/>
        <v>-123.89444231578955</v>
      </c>
      <c r="O68" s="197">
        <f t="shared" si="159"/>
        <v>206.10555768421045</v>
      </c>
      <c r="P68" s="196">
        <f t="shared" si="160"/>
        <v>1243.4117452944752</v>
      </c>
      <c r="Q68" s="197">
        <f t="shared" si="161"/>
        <v>284.66089884677416</v>
      </c>
      <c r="R68" s="197">
        <f t="shared" si="162"/>
        <v>1350.2841795724523</v>
      </c>
      <c r="S68" s="197">
        <f t="shared" si="163"/>
        <v>-106.87243427797716</v>
      </c>
      <c r="T68" s="199">
        <f t="shared" si="164"/>
        <v>177.788464568797</v>
      </c>
      <c r="U68" s="196">
        <f t="shared" si="165"/>
        <v>5425.9628887095714</v>
      </c>
      <c r="V68" s="197">
        <f t="shared" si="166"/>
        <v>1841.3033717741962</v>
      </c>
      <c r="W68" s="197">
        <f t="shared" si="167"/>
        <v>6803.688506627489</v>
      </c>
      <c r="X68" s="197">
        <f t="shared" si="168"/>
        <v>-1377.7256179179167</v>
      </c>
      <c r="Y68" s="199">
        <f t="shared" si="169"/>
        <v>463.57775385627951</v>
      </c>
      <c r="Z68" s="197"/>
      <c r="AB68" s="900">
        <v>6</v>
      </c>
      <c r="AC68" s="902" t="s">
        <v>4</v>
      </c>
      <c r="AD68" s="760">
        <f>'Arable Inputs'!$D$18</f>
        <v>5.5</v>
      </c>
      <c r="AE68" s="760">
        <f>'Arable Inputs'!$D$25+0.5*'Arable Inputs'!$D$25</f>
        <v>315</v>
      </c>
      <c r="AF68" s="760">
        <f>'Arable Inputs'!$D$19</f>
        <v>3.9</v>
      </c>
      <c r="AG68" s="760">
        <f>'Arable Inputs'!$D$26+0.5*'Arable Inputs'!$D$26</f>
        <v>110.17499999999998</v>
      </c>
      <c r="AH68" s="762">
        <f>AD68*AE68+AF68*AG68</f>
        <v>2162.1824999999999</v>
      </c>
      <c r="AI68" s="197">
        <f>'Arable NPV'!$E148</f>
        <v>330</v>
      </c>
      <c r="AJ68" s="197">
        <f t="shared" si="170"/>
        <v>2492.1824999999999</v>
      </c>
      <c r="AK68" s="197">
        <f>'Arable NPV'!$G148</f>
        <v>622.34710631578946</v>
      </c>
      <c r="AL68" s="197">
        <f>'Arable NPV'!$H148</f>
        <v>943.00233600000001</v>
      </c>
      <c r="AM68" s="197">
        <f t="shared" si="171"/>
        <v>1565.3494423157895</v>
      </c>
      <c r="AN68" s="197">
        <f t="shared" si="172"/>
        <v>596.83305768421042</v>
      </c>
      <c r="AO68" s="197">
        <f t="shared" si="173"/>
        <v>926.83305768421042</v>
      </c>
      <c r="AP68" s="196">
        <f t="shared" si="174"/>
        <v>1865.1176179417128</v>
      </c>
      <c r="AQ68" s="197">
        <f t="shared" si="175"/>
        <v>284.66089884677416</v>
      </c>
      <c r="AR68" s="197">
        <f t="shared" si="176"/>
        <v>1350.2841795724523</v>
      </c>
      <c r="AS68" s="197">
        <f t="shared" si="177"/>
        <v>514.83343836926042</v>
      </c>
      <c r="AT68" s="199">
        <f t="shared" si="178"/>
        <v>799.49433721603464</v>
      </c>
      <c r="AU68" s="196">
        <f t="shared" si="179"/>
        <v>8138.9443330643571</v>
      </c>
      <c r="AV68" s="197">
        <f t="shared" si="180"/>
        <v>1841.3033717741962</v>
      </c>
      <c r="AW68" s="197">
        <f t="shared" si="181"/>
        <v>6803.688506627489</v>
      </c>
      <c r="AX68" s="197">
        <f t="shared" si="182"/>
        <v>1335.255826436869</v>
      </c>
      <c r="AY68" s="199">
        <f t="shared" si="183"/>
        <v>3176.5591982110654</v>
      </c>
      <c r="BB68" s="900">
        <v>6</v>
      </c>
      <c r="BC68" s="902" t="s">
        <v>4</v>
      </c>
      <c r="BD68" s="760">
        <f>'Arable Inputs'!$D$18</f>
        <v>5.5</v>
      </c>
      <c r="BE68" s="760">
        <f>'Arable Inputs'!$D$25-0.5*'Arable Inputs'!$D$25</f>
        <v>105</v>
      </c>
      <c r="BF68" s="760">
        <f>'Arable Inputs'!$D$19</f>
        <v>3.9</v>
      </c>
      <c r="BG68" s="760">
        <f>'Arable Inputs'!$D$26-0.5*'Arable Inputs'!$D$26</f>
        <v>36.724999999999994</v>
      </c>
      <c r="BH68" s="762">
        <f>BD68*BE68+BF68*BG68</f>
        <v>720.72749999999996</v>
      </c>
      <c r="BI68" s="197">
        <f>'Arable NPV'!$E148</f>
        <v>330</v>
      </c>
      <c r="BJ68" s="197">
        <f t="shared" si="184"/>
        <v>1050.7275</v>
      </c>
      <c r="BK68" s="197">
        <f>'Arable NPV'!$G148</f>
        <v>622.34710631578946</v>
      </c>
      <c r="BL68" s="197">
        <f>'Arable NPV'!$H148</f>
        <v>943.00233600000001</v>
      </c>
      <c r="BM68" s="197">
        <f t="shared" si="185"/>
        <v>1565.3494423157895</v>
      </c>
      <c r="BN68" s="197">
        <f t="shared" si="186"/>
        <v>-844.62194231578951</v>
      </c>
      <c r="BO68" s="197">
        <f t="shared" si="187"/>
        <v>-514.62194231578951</v>
      </c>
      <c r="BP68" s="196">
        <f t="shared" si="188"/>
        <v>621.70587264723758</v>
      </c>
      <c r="BQ68" s="197">
        <f t="shared" si="189"/>
        <v>284.66089884677416</v>
      </c>
      <c r="BR68" s="197">
        <f t="shared" si="190"/>
        <v>1350.2841795724523</v>
      </c>
      <c r="BS68" s="197">
        <f t="shared" si="191"/>
        <v>-728.57830692521475</v>
      </c>
      <c r="BT68" s="199">
        <f t="shared" si="192"/>
        <v>-443.91740807844059</v>
      </c>
      <c r="BU68" s="196">
        <f t="shared" si="193"/>
        <v>2712.9814443547857</v>
      </c>
      <c r="BV68" s="197">
        <f t="shared" si="194"/>
        <v>1841.3033717741962</v>
      </c>
      <c r="BW68" s="197">
        <f t="shared" si="195"/>
        <v>6803.688506627489</v>
      </c>
      <c r="BX68" s="197">
        <f t="shared" si="196"/>
        <v>-4090.7070622727024</v>
      </c>
      <c r="BY68" s="199">
        <f t="shared" si="197"/>
        <v>-2249.4036904985064</v>
      </c>
      <c r="CB68" s="900">
        <v>6</v>
      </c>
      <c r="CC68" s="902" t="s">
        <v>4</v>
      </c>
      <c r="CD68" s="760">
        <f>'Arable Inputs'!$D$18</f>
        <v>5.5</v>
      </c>
      <c r="CE68" s="760">
        <f>'Arable Inputs'!$D$25+'Arable Inputs'!$D$25</f>
        <v>420</v>
      </c>
      <c r="CF68" s="760">
        <f>'Arable Inputs'!$D$19</f>
        <v>3.9</v>
      </c>
      <c r="CG68" s="760">
        <f>'Arable Inputs'!$D$26+'Arable Inputs'!$D$26</f>
        <v>146.89999999999998</v>
      </c>
      <c r="CH68" s="762">
        <f>CD68*CE68+CF68*CG68</f>
        <v>2882.91</v>
      </c>
      <c r="CI68" s="197">
        <f>'Arable NPV'!$E148</f>
        <v>330</v>
      </c>
      <c r="CJ68" s="197">
        <f t="shared" si="198"/>
        <v>3212.91</v>
      </c>
      <c r="CK68" s="197">
        <f>'Arable NPV'!$G148</f>
        <v>622.34710631578946</v>
      </c>
      <c r="CL68" s="197">
        <f>'Arable NPV'!$H148</f>
        <v>943.00233600000001</v>
      </c>
      <c r="CM68" s="197">
        <f t="shared" si="199"/>
        <v>1565.3494423157895</v>
      </c>
      <c r="CN68" s="197">
        <f t="shared" si="200"/>
        <v>1317.5605576842104</v>
      </c>
      <c r="CO68" s="197">
        <f t="shared" si="201"/>
        <v>1647.5605576842104</v>
      </c>
      <c r="CP68" s="196">
        <f t="shared" si="202"/>
        <v>2486.8234905889503</v>
      </c>
      <c r="CQ68" s="197">
        <f t="shared" si="203"/>
        <v>284.66089884677416</v>
      </c>
      <c r="CR68" s="197">
        <f t="shared" si="204"/>
        <v>1350.2841795724523</v>
      </c>
      <c r="CS68" s="197">
        <f t="shared" si="205"/>
        <v>1136.539311016498</v>
      </c>
      <c r="CT68" s="199">
        <f t="shared" si="206"/>
        <v>1421.2002098632722</v>
      </c>
      <c r="CU68" s="196">
        <f t="shared" si="207"/>
        <v>10851.925777419143</v>
      </c>
      <c r="CV68" s="197">
        <f t="shared" si="208"/>
        <v>1841.3033717741962</v>
      </c>
      <c r="CW68" s="197">
        <f t="shared" si="209"/>
        <v>6803.688506627489</v>
      </c>
      <c r="CX68" s="197">
        <f t="shared" si="210"/>
        <v>4048.2372707916547</v>
      </c>
      <c r="CY68" s="199">
        <f t="shared" si="211"/>
        <v>5889.5406425658502</v>
      </c>
      <c r="DB68" s="204">
        <f t="shared" si="226"/>
        <v>6</v>
      </c>
      <c r="DC68" s="902" t="s">
        <v>4</v>
      </c>
      <c r="DD68" s="760">
        <f>'Arable Inputs'!$D$18</f>
        <v>5.5</v>
      </c>
      <c r="DE68" s="760">
        <f>'Arable Inputs'!$D$25-'Arable Inputs'!$D$25</f>
        <v>0</v>
      </c>
      <c r="DF68" s="760">
        <f>'Arable Inputs'!$D$19</f>
        <v>3.9</v>
      </c>
      <c r="DG68" s="760">
        <f>'Arable Inputs'!$D$26-'Arable Inputs'!$D$26</f>
        <v>0</v>
      </c>
      <c r="DH68" s="762">
        <f>DD68*DE68+DF68*DG68</f>
        <v>0</v>
      </c>
      <c r="DI68" s="197">
        <f>'Arable NPV'!$E148</f>
        <v>330</v>
      </c>
      <c r="DJ68" s="197">
        <f t="shared" si="212"/>
        <v>330</v>
      </c>
      <c r="DK68" s="197">
        <f>'Arable NPV'!$G148</f>
        <v>622.34710631578946</v>
      </c>
      <c r="DL68" s="197">
        <f>'Arable NPV'!$H148</f>
        <v>943.00233600000001</v>
      </c>
      <c r="DM68" s="197">
        <f t="shared" si="213"/>
        <v>1565.3494423157895</v>
      </c>
      <c r="DN68" s="197">
        <f t="shared" si="214"/>
        <v>-1565.3494423157895</v>
      </c>
      <c r="DO68" s="197">
        <f t="shared" si="215"/>
        <v>-1235.3494423157895</v>
      </c>
      <c r="DP68" s="196">
        <f t="shared" si="216"/>
        <v>0</v>
      </c>
      <c r="DQ68" s="197">
        <f t="shared" si="217"/>
        <v>284.66089884677416</v>
      </c>
      <c r="DR68" s="197">
        <f t="shared" si="218"/>
        <v>1350.2841795724523</v>
      </c>
      <c r="DS68" s="197">
        <f t="shared" si="219"/>
        <v>-1350.2841795724523</v>
      </c>
      <c r="DT68" s="199">
        <f t="shared" si="220"/>
        <v>-1065.6232807256781</v>
      </c>
      <c r="DU68" s="196">
        <f t="shared" si="221"/>
        <v>0</v>
      </c>
      <c r="DV68" s="197">
        <f t="shared" si="222"/>
        <v>1841.3033717741962</v>
      </c>
      <c r="DW68" s="197">
        <f t="shared" si="223"/>
        <v>6803.688506627489</v>
      </c>
      <c r="DX68" s="197">
        <f t="shared" si="224"/>
        <v>-6803.688506627489</v>
      </c>
      <c r="DY68" s="199">
        <f t="shared" si="225"/>
        <v>-4962.3851348532917</v>
      </c>
    </row>
    <row r="69" spans="2:129" x14ac:dyDescent="0.3">
      <c r="B69" s="900">
        <v>7</v>
      </c>
      <c r="C69" s="902" t="s">
        <v>560</v>
      </c>
      <c r="D69" s="760">
        <f>'Arable Inputs'!$G$18</f>
        <v>2.1</v>
      </c>
      <c r="E69" s="760">
        <f>'Arable Inputs'!$G$25</f>
        <v>235.55</v>
      </c>
      <c r="H69" s="762">
        <f>D69*E69</f>
        <v>494.65500000000003</v>
      </c>
      <c r="I69" s="197">
        <f>'Arable NPV'!$E149</f>
        <v>330</v>
      </c>
      <c r="J69" s="197">
        <f t="shared" si="156"/>
        <v>824.65499999999997</v>
      </c>
      <c r="K69" s="197">
        <f>'Arable NPV'!$G149</f>
        <v>255.07731473684206</v>
      </c>
      <c r="L69" s="197">
        <f>'Arable NPV'!$H149</f>
        <v>778.68036799999993</v>
      </c>
      <c r="M69" s="197">
        <f t="shared" si="157"/>
        <v>1033.7576827368421</v>
      </c>
      <c r="N69" s="197">
        <f t="shared" si="158"/>
        <v>-539.1026827368421</v>
      </c>
      <c r="O69" s="197">
        <f t="shared" si="159"/>
        <v>-209.1026827368421</v>
      </c>
      <c r="P69" s="196">
        <f t="shared" si="160"/>
        <v>414.26577498985313</v>
      </c>
      <c r="Q69" s="197">
        <f t="shared" si="161"/>
        <v>276.36980470560593</v>
      </c>
      <c r="R69" s="197">
        <f t="shared" si="162"/>
        <v>865.75578451788124</v>
      </c>
      <c r="S69" s="197">
        <f t="shared" si="163"/>
        <v>-451.49000952802817</v>
      </c>
      <c r="T69" s="199">
        <f t="shared" si="164"/>
        <v>-175.12020482242221</v>
      </c>
      <c r="U69" s="196">
        <f t="shared" si="165"/>
        <v>5840.2286636994249</v>
      </c>
      <c r="V69" s="197">
        <f t="shared" si="166"/>
        <v>2117.6731764798024</v>
      </c>
      <c r="W69" s="197">
        <f t="shared" si="167"/>
        <v>7669.4442911453698</v>
      </c>
      <c r="X69" s="197">
        <f t="shared" si="168"/>
        <v>-1829.2156274459448</v>
      </c>
      <c r="Y69" s="199">
        <f t="shared" si="169"/>
        <v>288.45754903385728</v>
      </c>
      <c r="Z69" s="197"/>
      <c r="AB69" s="900">
        <v>7</v>
      </c>
      <c r="AC69" s="902" t="s">
        <v>560</v>
      </c>
      <c r="AD69" s="760">
        <f>'Arable Inputs'!$G$18</f>
        <v>2.1</v>
      </c>
      <c r="AE69" s="760">
        <f>'Arable Inputs'!$G$25+0.5*'Arable Inputs'!$G$25</f>
        <v>353.32500000000005</v>
      </c>
      <c r="AH69" s="762">
        <f>AD69*AE69</f>
        <v>741.98250000000007</v>
      </c>
      <c r="AI69" s="197">
        <f>'Arable NPV'!$E149</f>
        <v>330</v>
      </c>
      <c r="AJ69" s="197">
        <f t="shared" si="170"/>
        <v>1071.9825000000001</v>
      </c>
      <c r="AK69" s="197">
        <f>'Arable NPV'!$G149</f>
        <v>255.07731473684206</v>
      </c>
      <c r="AL69" s="197">
        <f>'Arable NPV'!$H149</f>
        <v>778.68036799999993</v>
      </c>
      <c r="AM69" s="197">
        <f t="shared" si="171"/>
        <v>1033.7576827368421</v>
      </c>
      <c r="AN69" s="197">
        <f t="shared" si="172"/>
        <v>-291.775182736842</v>
      </c>
      <c r="AO69" s="197">
        <f t="shared" si="173"/>
        <v>38.224817263158002</v>
      </c>
      <c r="AP69" s="196">
        <f t="shared" si="174"/>
        <v>621.39866248477972</v>
      </c>
      <c r="AQ69" s="197">
        <f t="shared" si="175"/>
        <v>276.36980470560593</v>
      </c>
      <c r="AR69" s="197">
        <f t="shared" si="176"/>
        <v>865.75578451788124</v>
      </c>
      <c r="AS69" s="197">
        <f t="shared" si="177"/>
        <v>-244.35712203310155</v>
      </c>
      <c r="AT69" s="199">
        <f t="shared" si="178"/>
        <v>32.012682672504404</v>
      </c>
      <c r="AU69" s="196">
        <f t="shared" si="179"/>
        <v>8760.3429955491374</v>
      </c>
      <c r="AV69" s="197">
        <f t="shared" si="180"/>
        <v>2117.6731764798024</v>
      </c>
      <c r="AW69" s="197">
        <f t="shared" si="181"/>
        <v>7669.4442911453698</v>
      </c>
      <c r="AX69" s="197">
        <f t="shared" si="182"/>
        <v>1090.8987044037674</v>
      </c>
      <c r="AY69" s="199">
        <f t="shared" si="183"/>
        <v>3208.57188088357</v>
      </c>
      <c r="BB69" s="900">
        <v>7</v>
      </c>
      <c r="BC69" s="902" t="s">
        <v>560</v>
      </c>
      <c r="BD69" s="760">
        <f>'Arable Inputs'!$G$18</f>
        <v>2.1</v>
      </c>
      <c r="BE69" s="760">
        <f>'Arable Inputs'!$G$25-0.5*'Arable Inputs'!$G$25</f>
        <v>117.77500000000001</v>
      </c>
      <c r="BH69" s="762">
        <f>BD69*BE69</f>
        <v>247.32750000000001</v>
      </c>
      <c r="BI69" s="197">
        <f>'Arable NPV'!$E149</f>
        <v>330</v>
      </c>
      <c r="BJ69" s="197">
        <f t="shared" si="184"/>
        <v>577.32749999999999</v>
      </c>
      <c r="BK69" s="197">
        <f>'Arable NPV'!$G149</f>
        <v>255.07731473684206</v>
      </c>
      <c r="BL69" s="197">
        <f>'Arable NPV'!$H149</f>
        <v>778.68036799999993</v>
      </c>
      <c r="BM69" s="197">
        <f t="shared" si="185"/>
        <v>1033.7576827368421</v>
      </c>
      <c r="BN69" s="197">
        <f t="shared" si="186"/>
        <v>-786.43018273684208</v>
      </c>
      <c r="BO69" s="197">
        <f t="shared" si="187"/>
        <v>-456.43018273684208</v>
      </c>
      <c r="BP69" s="196">
        <f t="shared" si="188"/>
        <v>207.13288749492656</v>
      </c>
      <c r="BQ69" s="197">
        <f t="shared" si="189"/>
        <v>276.36980470560593</v>
      </c>
      <c r="BR69" s="197">
        <f t="shared" si="190"/>
        <v>865.75578451788124</v>
      </c>
      <c r="BS69" s="197">
        <f t="shared" si="191"/>
        <v>-658.6228970229547</v>
      </c>
      <c r="BT69" s="199">
        <f t="shared" si="192"/>
        <v>-382.25309231734877</v>
      </c>
      <c r="BU69" s="196">
        <f t="shared" si="193"/>
        <v>2920.1143318497125</v>
      </c>
      <c r="BV69" s="197">
        <f t="shared" si="194"/>
        <v>2117.6731764798024</v>
      </c>
      <c r="BW69" s="197">
        <f t="shared" si="195"/>
        <v>7669.4442911453698</v>
      </c>
      <c r="BX69" s="197">
        <f t="shared" si="196"/>
        <v>-4749.3299592956573</v>
      </c>
      <c r="BY69" s="199">
        <f t="shared" si="197"/>
        <v>-2631.656782815855</v>
      </c>
      <c r="CB69" s="900">
        <v>7</v>
      </c>
      <c r="CC69" s="902" t="s">
        <v>560</v>
      </c>
      <c r="CD69" s="760">
        <f>'Arable Inputs'!$G$18</f>
        <v>2.1</v>
      </c>
      <c r="CE69" s="760">
        <f>'Arable Inputs'!$G$25+'Arable Inputs'!$G$25</f>
        <v>471.1</v>
      </c>
      <c r="CH69" s="762">
        <f>CD69*CE69</f>
        <v>989.31000000000006</v>
      </c>
      <c r="CI69" s="197">
        <f>'Arable NPV'!$E149</f>
        <v>330</v>
      </c>
      <c r="CJ69" s="197">
        <f t="shared" si="198"/>
        <v>1319.31</v>
      </c>
      <c r="CK69" s="197">
        <f>'Arable NPV'!$G149</f>
        <v>255.07731473684206</v>
      </c>
      <c r="CL69" s="197">
        <f>'Arable NPV'!$H149</f>
        <v>778.68036799999993</v>
      </c>
      <c r="CM69" s="197">
        <f t="shared" si="199"/>
        <v>1033.7576827368421</v>
      </c>
      <c r="CN69" s="197">
        <f t="shared" si="200"/>
        <v>-44.447682736842012</v>
      </c>
      <c r="CO69" s="197">
        <f t="shared" si="201"/>
        <v>285.55231726315787</v>
      </c>
      <c r="CP69" s="196">
        <f t="shared" si="202"/>
        <v>828.53154997970626</v>
      </c>
      <c r="CQ69" s="197">
        <f t="shared" si="203"/>
        <v>276.36980470560593</v>
      </c>
      <c r="CR69" s="197">
        <f t="shared" si="204"/>
        <v>865.75578451788124</v>
      </c>
      <c r="CS69" s="197">
        <f t="shared" si="205"/>
        <v>-37.224234538175033</v>
      </c>
      <c r="CT69" s="199">
        <f t="shared" si="206"/>
        <v>239.14557016743083</v>
      </c>
      <c r="CU69" s="196">
        <f t="shared" si="207"/>
        <v>11680.45732739885</v>
      </c>
      <c r="CV69" s="197">
        <f t="shared" si="208"/>
        <v>2117.6731764798024</v>
      </c>
      <c r="CW69" s="197">
        <f t="shared" si="209"/>
        <v>7669.4442911453698</v>
      </c>
      <c r="CX69" s="197">
        <f t="shared" si="210"/>
        <v>4011.0130362534796</v>
      </c>
      <c r="CY69" s="199">
        <f t="shared" si="211"/>
        <v>6128.6862127332806</v>
      </c>
      <c r="DB69" s="204">
        <f t="shared" si="226"/>
        <v>7</v>
      </c>
      <c r="DC69" s="902" t="s">
        <v>560</v>
      </c>
      <c r="DD69" s="760">
        <f>'Arable Inputs'!$G$18</f>
        <v>2.1</v>
      </c>
      <c r="DE69" s="760">
        <f>'Arable Inputs'!$G$25-'Arable Inputs'!$G$25</f>
        <v>0</v>
      </c>
      <c r="DH69" s="762">
        <f>DD69*DE69</f>
        <v>0</v>
      </c>
      <c r="DI69" s="197">
        <f>'Arable NPV'!$E149</f>
        <v>330</v>
      </c>
      <c r="DJ69" s="197">
        <f t="shared" si="212"/>
        <v>330</v>
      </c>
      <c r="DK69" s="197">
        <f>'Arable NPV'!$G149</f>
        <v>255.07731473684206</v>
      </c>
      <c r="DL69" s="197">
        <f>'Arable NPV'!$H149</f>
        <v>778.68036799999993</v>
      </c>
      <c r="DM69" s="197">
        <f t="shared" si="213"/>
        <v>1033.7576827368421</v>
      </c>
      <c r="DN69" s="197">
        <f t="shared" si="214"/>
        <v>-1033.7576827368421</v>
      </c>
      <c r="DO69" s="197">
        <f t="shared" si="215"/>
        <v>-703.75768273684207</v>
      </c>
      <c r="DP69" s="196">
        <f t="shared" si="216"/>
        <v>0</v>
      </c>
      <c r="DQ69" s="197">
        <f t="shared" si="217"/>
        <v>276.36980470560593</v>
      </c>
      <c r="DR69" s="197">
        <f t="shared" si="218"/>
        <v>865.75578451788124</v>
      </c>
      <c r="DS69" s="197">
        <f t="shared" si="219"/>
        <v>-865.75578451788124</v>
      </c>
      <c r="DT69" s="199">
        <f t="shared" si="220"/>
        <v>-589.38597981227531</v>
      </c>
      <c r="DU69" s="196">
        <f t="shared" si="221"/>
        <v>0</v>
      </c>
      <c r="DV69" s="197">
        <f t="shared" si="222"/>
        <v>2117.6731764798024</v>
      </c>
      <c r="DW69" s="197">
        <f t="shared" si="223"/>
        <v>7669.4442911453698</v>
      </c>
      <c r="DX69" s="197">
        <f t="shared" si="224"/>
        <v>-7669.4442911453698</v>
      </c>
      <c r="DY69" s="199">
        <f t="shared" si="225"/>
        <v>-5551.7711146655674</v>
      </c>
    </row>
    <row r="70" spans="2:129" x14ac:dyDescent="0.3">
      <c r="B70" s="900">
        <v>8</v>
      </c>
      <c r="C70" s="902" t="s">
        <v>255</v>
      </c>
      <c r="D70" s="760">
        <f>'Arable Inputs'!$H$18</f>
        <v>9.4</v>
      </c>
      <c r="E70" s="760">
        <f>'Arable Inputs'!$H$25</f>
        <v>94.285714285714292</v>
      </c>
      <c r="H70" s="762">
        <f>D70*E70</f>
        <v>886.28571428571433</v>
      </c>
      <c r="I70" s="197">
        <f>'Arable NPV'!$E150</f>
        <v>330</v>
      </c>
      <c r="J70" s="197">
        <f t="shared" si="156"/>
        <v>1216.2857142857142</v>
      </c>
      <c r="K70" s="197">
        <f>'Arable NPV'!$G150</f>
        <v>566.71194999999989</v>
      </c>
      <c r="L70" s="197">
        <f>'Arable NPV'!$H150</f>
        <v>691.46913599999993</v>
      </c>
      <c r="M70" s="197">
        <f t="shared" si="157"/>
        <v>1258.1810859999998</v>
      </c>
      <c r="N70" s="197">
        <f t="shared" si="158"/>
        <v>-371.89537171428549</v>
      </c>
      <c r="O70" s="197">
        <f t="shared" si="159"/>
        <v>-41.895371714285602</v>
      </c>
      <c r="P70" s="196">
        <f t="shared" si="160"/>
        <v>720.63139091059531</v>
      </c>
      <c r="Q70" s="197">
        <f t="shared" si="161"/>
        <v>268.32019874330672</v>
      </c>
      <c r="R70" s="197">
        <f t="shared" si="162"/>
        <v>1023.016360759362</v>
      </c>
      <c r="S70" s="197">
        <f t="shared" si="163"/>
        <v>-302.38496984876673</v>
      </c>
      <c r="T70" s="199">
        <f t="shared" si="164"/>
        <v>-34.064771105460075</v>
      </c>
      <c r="U70" s="196">
        <f t="shared" si="165"/>
        <v>6560.8600546100206</v>
      </c>
      <c r="V70" s="197">
        <f t="shared" si="166"/>
        <v>2385.9933752231091</v>
      </c>
      <c r="W70" s="197">
        <f t="shared" si="167"/>
        <v>8692.460651904732</v>
      </c>
      <c r="X70" s="197">
        <f t="shared" si="168"/>
        <v>-2131.6005972947114</v>
      </c>
      <c r="Y70" s="199">
        <f t="shared" si="169"/>
        <v>254.39277792839721</v>
      </c>
      <c r="Z70" s="197"/>
      <c r="AB70" s="900">
        <v>8</v>
      </c>
      <c r="AC70" s="902" t="s">
        <v>28</v>
      </c>
      <c r="AD70" s="760">
        <f>'Arable Inputs'!$H$18</f>
        <v>9.4</v>
      </c>
      <c r="AE70" s="760">
        <f>'Arable Inputs'!$H$25+0.5*'Arable Inputs'!$H$25</f>
        <v>141.42857142857144</v>
      </c>
      <c r="AH70" s="762">
        <f>AD70*AE70</f>
        <v>1329.4285714285716</v>
      </c>
      <c r="AI70" s="197">
        <f>'Arable NPV'!$E150</f>
        <v>330</v>
      </c>
      <c r="AJ70" s="197">
        <f t="shared" si="170"/>
        <v>1659.4285714285716</v>
      </c>
      <c r="AK70" s="197">
        <f>'Arable NPV'!$G150</f>
        <v>566.71194999999989</v>
      </c>
      <c r="AL70" s="197">
        <f>'Arable NPV'!$H150</f>
        <v>691.46913599999993</v>
      </c>
      <c r="AM70" s="197">
        <f t="shared" si="171"/>
        <v>1258.1810859999998</v>
      </c>
      <c r="AN70" s="197">
        <f t="shared" si="172"/>
        <v>71.247485428571736</v>
      </c>
      <c r="AO70" s="197">
        <f t="shared" si="173"/>
        <v>401.24748542857174</v>
      </c>
      <c r="AP70" s="196">
        <f t="shared" si="174"/>
        <v>1080.947086365893</v>
      </c>
      <c r="AQ70" s="197">
        <f t="shared" si="175"/>
        <v>268.32019874330672</v>
      </c>
      <c r="AR70" s="197">
        <f t="shared" si="176"/>
        <v>1023.016360759362</v>
      </c>
      <c r="AS70" s="197">
        <f t="shared" si="177"/>
        <v>57.93072560653097</v>
      </c>
      <c r="AT70" s="199">
        <f t="shared" si="178"/>
        <v>326.2509243498377</v>
      </c>
      <c r="AU70" s="196">
        <f t="shared" si="179"/>
        <v>9841.2900819150309</v>
      </c>
      <c r="AV70" s="197">
        <f t="shared" si="180"/>
        <v>2385.9933752231091</v>
      </c>
      <c r="AW70" s="197">
        <f t="shared" si="181"/>
        <v>8692.460651904732</v>
      </c>
      <c r="AX70" s="197">
        <f t="shared" si="182"/>
        <v>1148.8294300102984</v>
      </c>
      <c r="AY70" s="199">
        <f t="shared" si="183"/>
        <v>3534.8228052334075</v>
      </c>
      <c r="BB70" s="900">
        <v>8</v>
      </c>
      <c r="BC70" s="902" t="s">
        <v>28</v>
      </c>
      <c r="BD70" s="760">
        <f>'Arable Inputs'!$H$18</f>
        <v>9.4</v>
      </c>
      <c r="BE70" s="760">
        <f>'Arable Inputs'!$H$25-0.5*'Arable Inputs'!$H$25</f>
        <v>47.142857142857146</v>
      </c>
      <c r="BH70" s="762">
        <f>BD70*BE70</f>
        <v>443.14285714285717</v>
      </c>
      <c r="BI70" s="197">
        <f>'Arable NPV'!$E150</f>
        <v>330</v>
      </c>
      <c r="BJ70" s="197">
        <f t="shared" si="184"/>
        <v>773.14285714285711</v>
      </c>
      <c r="BK70" s="197">
        <f>'Arable NPV'!$G150</f>
        <v>566.71194999999989</v>
      </c>
      <c r="BL70" s="197">
        <f>'Arable NPV'!$H150</f>
        <v>691.46913599999993</v>
      </c>
      <c r="BM70" s="197">
        <f t="shared" si="185"/>
        <v>1258.1810859999998</v>
      </c>
      <c r="BN70" s="197">
        <f t="shared" si="186"/>
        <v>-815.03822885714271</v>
      </c>
      <c r="BO70" s="197">
        <f t="shared" si="187"/>
        <v>-485.03822885714271</v>
      </c>
      <c r="BP70" s="196">
        <f t="shared" si="188"/>
        <v>360.31569545529766</v>
      </c>
      <c r="BQ70" s="197">
        <f t="shared" si="189"/>
        <v>268.32019874330672</v>
      </c>
      <c r="BR70" s="197">
        <f t="shared" si="190"/>
        <v>1023.016360759362</v>
      </c>
      <c r="BS70" s="197">
        <f t="shared" si="191"/>
        <v>-662.70066530406439</v>
      </c>
      <c r="BT70" s="199">
        <f t="shared" si="192"/>
        <v>-394.38046656075767</v>
      </c>
      <c r="BU70" s="196">
        <f t="shared" si="193"/>
        <v>3280.4300273050103</v>
      </c>
      <c r="BV70" s="197">
        <f t="shared" si="194"/>
        <v>2385.9933752231091</v>
      </c>
      <c r="BW70" s="197">
        <f t="shared" si="195"/>
        <v>8692.460651904732</v>
      </c>
      <c r="BX70" s="197">
        <f t="shared" si="196"/>
        <v>-5412.0306245997217</v>
      </c>
      <c r="BY70" s="199">
        <f t="shared" si="197"/>
        <v>-3026.0372493766126</v>
      </c>
      <c r="CB70" s="900">
        <v>8</v>
      </c>
      <c r="CC70" s="902" t="s">
        <v>28</v>
      </c>
      <c r="CD70" s="760">
        <f>'Arable Inputs'!$H$18</f>
        <v>9.4</v>
      </c>
      <c r="CE70" s="760">
        <f>'Arable Inputs'!$H$25+'Arable Inputs'!$H$25</f>
        <v>188.57142857142858</v>
      </c>
      <c r="CH70" s="762">
        <f>CD70*CE70</f>
        <v>1772.5714285714287</v>
      </c>
      <c r="CI70" s="197">
        <f>'Arable NPV'!$E150</f>
        <v>330</v>
      </c>
      <c r="CJ70" s="197">
        <f t="shared" si="198"/>
        <v>2102.5714285714284</v>
      </c>
      <c r="CK70" s="197">
        <f>'Arable NPV'!$G150</f>
        <v>566.71194999999989</v>
      </c>
      <c r="CL70" s="197">
        <f>'Arable NPV'!$H150</f>
        <v>691.46913599999993</v>
      </c>
      <c r="CM70" s="197">
        <f t="shared" si="199"/>
        <v>1258.1810859999998</v>
      </c>
      <c r="CN70" s="197">
        <f t="shared" si="200"/>
        <v>514.39034257142885</v>
      </c>
      <c r="CO70" s="197">
        <f t="shared" si="201"/>
        <v>844.39034257142862</v>
      </c>
      <c r="CP70" s="196">
        <f t="shared" si="202"/>
        <v>1441.2627818211906</v>
      </c>
      <c r="CQ70" s="197">
        <f t="shared" si="203"/>
        <v>268.32019874330672</v>
      </c>
      <c r="CR70" s="197">
        <f t="shared" si="204"/>
        <v>1023.016360759362</v>
      </c>
      <c r="CS70" s="197">
        <f t="shared" si="205"/>
        <v>418.24642106182858</v>
      </c>
      <c r="CT70" s="199">
        <f t="shared" si="206"/>
        <v>686.56661980513513</v>
      </c>
      <c r="CU70" s="196">
        <f t="shared" si="207"/>
        <v>13121.720109220041</v>
      </c>
      <c r="CV70" s="197">
        <f t="shared" si="208"/>
        <v>2385.9933752231091</v>
      </c>
      <c r="CW70" s="197">
        <f t="shared" si="209"/>
        <v>8692.460651904732</v>
      </c>
      <c r="CX70" s="197">
        <f t="shared" si="210"/>
        <v>4429.2594573153083</v>
      </c>
      <c r="CY70" s="199">
        <f t="shared" si="211"/>
        <v>6815.2528325384155</v>
      </c>
      <c r="DB70" s="204">
        <f t="shared" si="226"/>
        <v>8</v>
      </c>
      <c r="DC70" s="902" t="s">
        <v>28</v>
      </c>
      <c r="DD70" s="760">
        <f>'Arable Inputs'!$H$18</f>
        <v>9.4</v>
      </c>
      <c r="DE70" s="760">
        <f>'Arable Inputs'!$H$25-'Arable Inputs'!$H$25</f>
        <v>0</v>
      </c>
      <c r="DH70" s="762">
        <f>DD70*DE70</f>
        <v>0</v>
      </c>
      <c r="DI70" s="197">
        <f>'Arable NPV'!$E150</f>
        <v>330</v>
      </c>
      <c r="DJ70" s="197">
        <f t="shared" si="212"/>
        <v>330</v>
      </c>
      <c r="DK70" s="197">
        <f>'Arable NPV'!$G150</f>
        <v>566.71194999999989</v>
      </c>
      <c r="DL70" s="197">
        <f>'Arable NPV'!$H150</f>
        <v>691.46913599999993</v>
      </c>
      <c r="DM70" s="197">
        <f t="shared" si="213"/>
        <v>1258.1810859999998</v>
      </c>
      <c r="DN70" s="197">
        <f t="shared" si="214"/>
        <v>-1258.1810859999998</v>
      </c>
      <c r="DO70" s="197">
        <f t="shared" si="215"/>
        <v>-928.18108599999982</v>
      </c>
      <c r="DP70" s="196">
        <f t="shared" si="216"/>
        <v>0</v>
      </c>
      <c r="DQ70" s="197">
        <f t="shared" si="217"/>
        <v>268.32019874330672</v>
      </c>
      <c r="DR70" s="197">
        <f t="shared" si="218"/>
        <v>1023.016360759362</v>
      </c>
      <c r="DS70" s="197">
        <f t="shared" si="219"/>
        <v>-1023.016360759362</v>
      </c>
      <c r="DT70" s="199">
        <f t="shared" si="220"/>
        <v>-754.69616201605527</v>
      </c>
      <c r="DU70" s="196">
        <f t="shared" si="221"/>
        <v>0</v>
      </c>
      <c r="DV70" s="197">
        <f t="shared" si="222"/>
        <v>2385.9933752231091</v>
      </c>
      <c r="DW70" s="197">
        <f t="shared" si="223"/>
        <v>8692.460651904732</v>
      </c>
      <c r="DX70" s="197">
        <f t="shared" si="224"/>
        <v>-8692.460651904732</v>
      </c>
      <c r="DY70" s="199">
        <f t="shared" si="225"/>
        <v>-6306.4672766816229</v>
      </c>
    </row>
    <row r="71" spans="2:129" x14ac:dyDescent="0.3">
      <c r="B71" s="900">
        <v>9</v>
      </c>
      <c r="C71" s="902" t="s">
        <v>5</v>
      </c>
      <c r="D71" s="760">
        <f>'Arable Inputs'!$F$18</f>
        <v>2.6</v>
      </c>
      <c r="E71" s="760">
        <f>'Arable Inputs'!$F$25</f>
        <v>196.99</v>
      </c>
      <c r="F71" s="760">
        <f>'Arable Inputs'!$F$19</f>
        <v>2.6</v>
      </c>
      <c r="G71" s="760">
        <f>'Arable Inputs'!$F$26</f>
        <v>42.374999999999993</v>
      </c>
      <c r="H71" s="762">
        <f>D71*E71+F71*G71</f>
        <v>622.34900000000005</v>
      </c>
      <c r="I71" s="197">
        <f>'Arable NPV'!$E151</f>
        <v>330</v>
      </c>
      <c r="J71" s="197">
        <f t="shared" si="156"/>
        <v>952.34900000000005</v>
      </c>
      <c r="K71" s="197">
        <f>'Arable NPV'!$G151</f>
        <v>327.77441459954235</v>
      </c>
      <c r="L71" s="197">
        <f>'Arable NPV'!$H151</f>
        <v>704.91322685714283</v>
      </c>
      <c r="M71" s="197">
        <f t="shared" si="157"/>
        <v>1032.6876414566852</v>
      </c>
      <c r="N71" s="197">
        <f t="shared" si="158"/>
        <v>-410.3386414566852</v>
      </c>
      <c r="O71" s="197">
        <f t="shared" si="159"/>
        <v>-80.338641456685195</v>
      </c>
      <c r="P71" s="196">
        <f t="shared" si="160"/>
        <v>491.28804756604364</v>
      </c>
      <c r="Q71" s="197">
        <f t="shared" si="161"/>
        <v>260.50504732359883</v>
      </c>
      <c r="R71" s="197">
        <f t="shared" si="162"/>
        <v>815.21316032778611</v>
      </c>
      <c r="S71" s="197">
        <f t="shared" si="163"/>
        <v>-323.92511276174247</v>
      </c>
      <c r="T71" s="199">
        <f t="shared" si="164"/>
        <v>-63.420065438143681</v>
      </c>
      <c r="U71" s="196">
        <f t="shared" si="165"/>
        <v>7052.1481021760646</v>
      </c>
      <c r="V71" s="197">
        <f t="shared" si="166"/>
        <v>2646.4984225467078</v>
      </c>
      <c r="W71" s="197">
        <f t="shared" si="167"/>
        <v>9507.6738122325187</v>
      </c>
      <c r="X71" s="197">
        <f t="shared" si="168"/>
        <v>-2455.525710056454</v>
      </c>
      <c r="Y71" s="199">
        <f t="shared" si="169"/>
        <v>190.97271249025351</v>
      </c>
      <c r="Z71" s="197"/>
      <c r="AB71" s="900">
        <v>9</v>
      </c>
      <c r="AC71" s="902" t="s">
        <v>5</v>
      </c>
      <c r="AD71" s="760">
        <f>'Arable Inputs'!$F$18</f>
        <v>2.6</v>
      </c>
      <c r="AE71" s="760">
        <f>'Arable Inputs'!$F$25+0.5*'Arable Inputs'!$F$25</f>
        <v>295.48500000000001</v>
      </c>
      <c r="AF71" s="760">
        <f>'Arable Inputs'!$F$19</f>
        <v>2.6</v>
      </c>
      <c r="AG71" s="760">
        <f>'Arable Inputs'!$F$26+0.5*'Arable Inputs'!$F$26</f>
        <v>63.562499999999986</v>
      </c>
      <c r="AH71" s="762">
        <f>AD71*AE71+AF71*AG71</f>
        <v>933.52350000000001</v>
      </c>
      <c r="AI71" s="197">
        <f>'Arable NPV'!$E151</f>
        <v>330</v>
      </c>
      <c r="AJ71" s="197">
        <f t="shared" si="170"/>
        <v>1263.5235</v>
      </c>
      <c r="AK71" s="197">
        <f>'Arable NPV'!$G151</f>
        <v>327.77441459954235</v>
      </c>
      <c r="AL71" s="197">
        <f>'Arable NPV'!$H151</f>
        <v>704.91322685714283</v>
      </c>
      <c r="AM71" s="197">
        <f t="shared" si="171"/>
        <v>1032.6876414566852</v>
      </c>
      <c r="AN71" s="197">
        <f t="shared" si="172"/>
        <v>-99.164141456685229</v>
      </c>
      <c r="AO71" s="197">
        <f t="shared" si="173"/>
        <v>230.83585854331477</v>
      </c>
      <c r="AP71" s="196">
        <f t="shared" si="174"/>
        <v>736.93207134906538</v>
      </c>
      <c r="AQ71" s="197">
        <f t="shared" si="175"/>
        <v>260.50504732359883</v>
      </c>
      <c r="AR71" s="197">
        <f t="shared" si="176"/>
        <v>815.21316032778611</v>
      </c>
      <c r="AS71" s="197">
        <f t="shared" si="177"/>
        <v>-78.281088978720703</v>
      </c>
      <c r="AT71" s="199">
        <f t="shared" si="178"/>
        <v>182.2239583448781</v>
      </c>
      <c r="AU71" s="196">
        <f t="shared" si="179"/>
        <v>10578.222153264096</v>
      </c>
      <c r="AV71" s="197">
        <f t="shared" si="180"/>
        <v>2646.4984225467078</v>
      </c>
      <c r="AW71" s="197">
        <f t="shared" si="181"/>
        <v>9507.6738122325187</v>
      </c>
      <c r="AX71" s="197">
        <f t="shared" si="182"/>
        <v>1070.5483410315778</v>
      </c>
      <c r="AY71" s="199">
        <f t="shared" si="183"/>
        <v>3717.0467635782857</v>
      </c>
      <c r="BB71" s="900">
        <v>9</v>
      </c>
      <c r="BC71" s="902" t="s">
        <v>5</v>
      </c>
      <c r="BD71" s="760">
        <f>'Arable Inputs'!$F$18</f>
        <v>2.6</v>
      </c>
      <c r="BE71" s="760">
        <f>'Arable Inputs'!$F$25-0.5*'Arable Inputs'!$F$25</f>
        <v>98.495000000000005</v>
      </c>
      <c r="BF71" s="760">
        <f>'Arable Inputs'!$F$19</f>
        <v>2.6</v>
      </c>
      <c r="BG71" s="760">
        <f>'Arable Inputs'!$F$26-0.5*'Arable Inputs'!$F$26</f>
        <v>21.187499999999996</v>
      </c>
      <c r="BH71" s="762">
        <f>BD71*BE71+BF71*BG71</f>
        <v>311.17450000000002</v>
      </c>
      <c r="BI71" s="197">
        <f>'Arable NPV'!$E151</f>
        <v>330</v>
      </c>
      <c r="BJ71" s="197">
        <f t="shared" si="184"/>
        <v>641.17450000000008</v>
      </c>
      <c r="BK71" s="197">
        <f>'Arable NPV'!$G151</f>
        <v>327.77441459954235</v>
      </c>
      <c r="BL71" s="197">
        <f>'Arable NPV'!$H151</f>
        <v>704.91322685714283</v>
      </c>
      <c r="BM71" s="197">
        <f t="shared" si="185"/>
        <v>1032.6876414566852</v>
      </c>
      <c r="BN71" s="197">
        <f t="shared" si="186"/>
        <v>-721.51314145668516</v>
      </c>
      <c r="BO71" s="197">
        <f t="shared" si="187"/>
        <v>-391.51314145668516</v>
      </c>
      <c r="BP71" s="196">
        <f t="shared" si="188"/>
        <v>245.64402378302182</v>
      </c>
      <c r="BQ71" s="197">
        <f t="shared" si="189"/>
        <v>260.50504732359883</v>
      </c>
      <c r="BR71" s="197">
        <f t="shared" si="190"/>
        <v>815.21316032778611</v>
      </c>
      <c r="BS71" s="197">
        <f t="shared" si="191"/>
        <v>-569.56913654476432</v>
      </c>
      <c r="BT71" s="199">
        <f t="shared" si="192"/>
        <v>-309.06408922116543</v>
      </c>
      <c r="BU71" s="196">
        <f t="shared" si="193"/>
        <v>3526.0740510880323</v>
      </c>
      <c r="BV71" s="197">
        <f t="shared" si="194"/>
        <v>2646.4984225467078</v>
      </c>
      <c r="BW71" s="197">
        <f t="shared" si="195"/>
        <v>9507.6738122325187</v>
      </c>
      <c r="BX71" s="197">
        <f t="shared" si="196"/>
        <v>-5981.5997611444864</v>
      </c>
      <c r="BY71" s="199">
        <f t="shared" si="197"/>
        <v>-3335.1013385977781</v>
      </c>
      <c r="CB71" s="900">
        <v>9</v>
      </c>
      <c r="CC71" s="902" t="s">
        <v>5</v>
      </c>
      <c r="CD71" s="760">
        <f>'Arable Inputs'!$F$18</f>
        <v>2.6</v>
      </c>
      <c r="CE71" s="760">
        <f>'Arable Inputs'!$F$25+'Arable Inputs'!$F$25</f>
        <v>393.98</v>
      </c>
      <c r="CF71" s="760">
        <f>'Arable Inputs'!$F$19</f>
        <v>2.6</v>
      </c>
      <c r="CG71" s="760">
        <f>'Arable Inputs'!$F$26+'Arable Inputs'!$F$26</f>
        <v>84.749999999999986</v>
      </c>
      <c r="CH71" s="762">
        <f>CD71*CE71+CF71*CG71</f>
        <v>1244.6980000000001</v>
      </c>
      <c r="CI71" s="197">
        <f>'Arable NPV'!$E151</f>
        <v>330</v>
      </c>
      <c r="CJ71" s="197">
        <f t="shared" si="198"/>
        <v>1574.6980000000001</v>
      </c>
      <c r="CK71" s="197">
        <f>'Arable NPV'!$G151</f>
        <v>327.77441459954235</v>
      </c>
      <c r="CL71" s="197">
        <f>'Arable NPV'!$H151</f>
        <v>704.91322685714283</v>
      </c>
      <c r="CM71" s="197">
        <f t="shared" si="199"/>
        <v>1032.6876414566852</v>
      </c>
      <c r="CN71" s="197">
        <f t="shared" si="200"/>
        <v>212.01035854331485</v>
      </c>
      <c r="CO71" s="197">
        <f t="shared" si="201"/>
        <v>542.01035854331485</v>
      </c>
      <c r="CP71" s="196">
        <f t="shared" si="202"/>
        <v>982.57609513208729</v>
      </c>
      <c r="CQ71" s="197">
        <f t="shared" si="203"/>
        <v>260.50504732359883</v>
      </c>
      <c r="CR71" s="197">
        <f t="shared" si="204"/>
        <v>815.21316032778611</v>
      </c>
      <c r="CS71" s="197">
        <f t="shared" si="205"/>
        <v>167.36293480430118</v>
      </c>
      <c r="CT71" s="199">
        <f t="shared" si="206"/>
        <v>427.86798212789995</v>
      </c>
      <c r="CU71" s="196">
        <f t="shared" si="207"/>
        <v>14104.296204352129</v>
      </c>
      <c r="CV71" s="197">
        <f t="shared" si="208"/>
        <v>2646.4984225467078</v>
      </c>
      <c r="CW71" s="197">
        <f t="shared" si="209"/>
        <v>9507.6738122325187</v>
      </c>
      <c r="CX71" s="197">
        <f t="shared" si="210"/>
        <v>4596.6223921196097</v>
      </c>
      <c r="CY71" s="199">
        <f t="shared" si="211"/>
        <v>7243.1208146663157</v>
      </c>
      <c r="DB71" s="204">
        <f t="shared" si="226"/>
        <v>9</v>
      </c>
      <c r="DC71" s="902" t="s">
        <v>5</v>
      </c>
      <c r="DD71" s="760">
        <f>'Arable Inputs'!$F$18</f>
        <v>2.6</v>
      </c>
      <c r="DE71" s="760">
        <f>'Arable Inputs'!$F$25-'Arable Inputs'!$F$25</f>
        <v>0</v>
      </c>
      <c r="DF71" s="760">
        <f>'Arable Inputs'!$F$19</f>
        <v>2.6</v>
      </c>
      <c r="DG71" s="760">
        <f>'Arable Inputs'!$F$26-'Arable Inputs'!$F$26</f>
        <v>0</v>
      </c>
      <c r="DH71" s="762">
        <f>DD71*DE71+DF71*DG71</f>
        <v>0</v>
      </c>
      <c r="DI71" s="197">
        <f>'Arable NPV'!$E151</f>
        <v>330</v>
      </c>
      <c r="DJ71" s="197">
        <f t="shared" si="212"/>
        <v>330</v>
      </c>
      <c r="DK71" s="197">
        <f>'Arable NPV'!$G151</f>
        <v>327.77441459954235</v>
      </c>
      <c r="DL71" s="197">
        <f>'Arable NPV'!$H151</f>
        <v>704.91322685714283</v>
      </c>
      <c r="DM71" s="197">
        <f t="shared" si="213"/>
        <v>1032.6876414566852</v>
      </c>
      <c r="DN71" s="197">
        <f t="shared" si="214"/>
        <v>-1032.6876414566852</v>
      </c>
      <c r="DO71" s="197">
        <f t="shared" si="215"/>
        <v>-702.68764145668524</v>
      </c>
      <c r="DP71" s="196">
        <f t="shared" si="216"/>
        <v>0</v>
      </c>
      <c r="DQ71" s="197">
        <f t="shared" si="217"/>
        <v>260.50504732359883</v>
      </c>
      <c r="DR71" s="197">
        <f t="shared" si="218"/>
        <v>815.21316032778611</v>
      </c>
      <c r="DS71" s="197">
        <f t="shared" si="219"/>
        <v>-815.21316032778611</v>
      </c>
      <c r="DT71" s="199">
        <f t="shared" si="220"/>
        <v>-554.70811300418734</v>
      </c>
      <c r="DU71" s="196">
        <f t="shared" si="221"/>
        <v>0</v>
      </c>
      <c r="DV71" s="197">
        <f t="shared" si="222"/>
        <v>2646.4984225467078</v>
      </c>
      <c r="DW71" s="197">
        <f t="shared" si="223"/>
        <v>9507.6738122325187</v>
      </c>
      <c r="DX71" s="197">
        <f t="shared" si="224"/>
        <v>-9507.6738122325187</v>
      </c>
      <c r="DY71" s="199">
        <f t="shared" si="225"/>
        <v>-6861.1753896858099</v>
      </c>
    </row>
    <row r="72" spans="2:129" x14ac:dyDescent="0.3">
      <c r="B72" s="900">
        <v>10</v>
      </c>
      <c r="C72" s="902" t="s">
        <v>559</v>
      </c>
      <c r="D72" s="760">
        <f>'Arable Inputs'!$E$18</f>
        <v>3.1</v>
      </c>
      <c r="E72" s="760">
        <f>'Arable Inputs'!$E$25</f>
        <v>310.75</v>
      </c>
      <c r="H72" s="762">
        <f>D72*E72</f>
        <v>963.32500000000005</v>
      </c>
      <c r="I72" s="197">
        <f>'Arable NPV'!$E152</f>
        <v>330</v>
      </c>
      <c r="J72" s="197">
        <f t="shared" si="156"/>
        <v>1293.325</v>
      </c>
      <c r="K72" s="197">
        <f>'Arable NPV'!$G152</f>
        <v>300.32802631578949</v>
      </c>
      <c r="L72" s="197">
        <f>'Arable NPV'!$H152</f>
        <v>547.62448399999994</v>
      </c>
      <c r="M72" s="197">
        <f t="shared" si="157"/>
        <v>847.95251031578937</v>
      </c>
      <c r="N72" s="197">
        <f t="shared" si="158"/>
        <v>115.37248968421068</v>
      </c>
      <c r="O72" s="197">
        <f t="shared" si="159"/>
        <v>445.37248968421068</v>
      </c>
      <c r="P72" s="196">
        <f t="shared" si="160"/>
        <v>738.30839868492444</v>
      </c>
      <c r="Q72" s="197">
        <f t="shared" si="161"/>
        <v>252.91752167339689</v>
      </c>
      <c r="R72" s="197">
        <f t="shared" si="162"/>
        <v>649.88499213880289</v>
      </c>
      <c r="S72" s="197">
        <f t="shared" si="163"/>
        <v>88.423406546121555</v>
      </c>
      <c r="T72" s="199">
        <f t="shared" si="164"/>
        <v>341.34092821951845</v>
      </c>
      <c r="U72" s="196">
        <f t="shared" si="165"/>
        <v>7790.4565008609889</v>
      </c>
      <c r="V72" s="197">
        <f t="shared" si="166"/>
        <v>2899.4159442201048</v>
      </c>
      <c r="W72" s="197">
        <f t="shared" si="167"/>
        <v>10157.558804371321</v>
      </c>
      <c r="X72" s="197">
        <f t="shared" si="168"/>
        <v>-2367.1023035103326</v>
      </c>
      <c r="Y72" s="199">
        <f t="shared" si="169"/>
        <v>532.31364070977202</v>
      </c>
      <c r="Z72" s="197"/>
      <c r="AB72" s="900">
        <v>10</v>
      </c>
      <c r="AC72" s="902" t="s">
        <v>559</v>
      </c>
      <c r="AD72" s="760">
        <f>'Arable Inputs'!$E$18</f>
        <v>3.1</v>
      </c>
      <c r="AE72" s="760">
        <f>'Arable Inputs'!$E$25+0.5*'Arable Inputs'!$E$25</f>
        <v>466.125</v>
      </c>
      <c r="AH72" s="762">
        <f>AD72*AE72</f>
        <v>1444.9875</v>
      </c>
      <c r="AI72" s="197">
        <f>'Arable NPV'!$E152</f>
        <v>330</v>
      </c>
      <c r="AJ72" s="197">
        <f t="shared" si="170"/>
        <v>1774.9875</v>
      </c>
      <c r="AK72" s="197">
        <f>'Arable NPV'!$G152</f>
        <v>300.32802631578949</v>
      </c>
      <c r="AL72" s="197">
        <f>'Arable NPV'!$H152</f>
        <v>547.62448399999994</v>
      </c>
      <c r="AM72" s="197">
        <f t="shared" si="171"/>
        <v>847.95251031578937</v>
      </c>
      <c r="AN72" s="197">
        <f t="shared" si="172"/>
        <v>597.03498968421059</v>
      </c>
      <c r="AO72" s="197">
        <f t="shared" si="173"/>
        <v>927.03498968421059</v>
      </c>
      <c r="AP72" s="196">
        <f t="shared" si="174"/>
        <v>1107.4625980273865</v>
      </c>
      <c r="AQ72" s="197">
        <f t="shared" si="175"/>
        <v>252.91752167339689</v>
      </c>
      <c r="AR72" s="197">
        <f t="shared" si="176"/>
        <v>649.88499213880289</v>
      </c>
      <c r="AS72" s="197">
        <f t="shared" si="177"/>
        <v>457.57760588858372</v>
      </c>
      <c r="AT72" s="199">
        <f t="shared" si="178"/>
        <v>710.49512756198055</v>
      </c>
      <c r="AU72" s="196">
        <f t="shared" si="179"/>
        <v>11685.684751291483</v>
      </c>
      <c r="AV72" s="197">
        <f t="shared" si="180"/>
        <v>2899.4159442201048</v>
      </c>
      <c r="AW72" s="197">
        <f t="shared" si="181"/>
        <v>10157.558804371321</v>
      </c>
      <c r="AX72" s="197">
        <f t="shared" si="182"/>
        <v>1528.1259469201616</v>
      </c>
      <c r="AY72" s="199">
        <f t="shared" si="183"/>
        <v>4427.5418911402667</v>
      </c>
      <c r="BB72" s="900">
        <v>10</v>
      </c>
      <c r="BC72" s="902" t="s">
        <v>559</v>
      </c>
      <c r="BD72" s="760">
        <f>'Arable Inputs'!$E$18</f>
        <v>3.1</v>
      </c>
      <c r="BE72" s="760">
        <f>'Arable Inputs'!$E$25-0.5*'Arable Inputs'!$E$25</f>
        <v>155.375</v>
      </c>
      <c r="BH72" s="762">
        <f>BD72*BE72</f>
        <v>481.66250000000002</v>
      </c>
      <c r="BI72" s="197">
        <f>'Arable NPV'!$E152</f>
        <v>330</v>
      </c>
      <c r="BJ72" s="197">
        <f t="shared" si="184"/>
        <v>811.66250000000002</v>
      </c>
      <c r="BK72" s="197">
        <f>'Arable NPV'!$G152</f>
        <v>300.32802631578949</v>
      </c>
      <c r="BL72" s="197">
        <f>'Arable NPV'!$H152</f>
        <v>547.62448399999994</v>
      </c>
      <c r="BM72" s="197">
        <f t="shared" si="185"/>
        <v>847.95251031578937</v>
      </c>
      <c r="BN72" s="197">
        <f t="shared" si="186"/>
        <v>-366.29001031578935</v>
      </c>
      <c r="BO72" s="197">
        <f t="shared" si="187"/>
        <v>-36.290010315789345</v>
      </c>
      <c r="BP72" s="196">
        <f t="shared" si="188"/>
        <v>369.15419934246222</v>
      </c>
      <c r="BQ72" s="197">
        <f t="shared" si="189"/>
        <v>252.91752167339689</v>
      </c>
      <c r="BR72" s="197">
        <f t="shared" si="190"/>
        <v>649.88499213880289</v>
      </c>
      <c r="BS72" s="197">
        <f t="shared" si="191"/>
        <v>-280.73079279634067</v>
      </c>
      <c r="BT72" s="199">
        <f t="shared" si="192"/>
        <v>-27.813271122943782</v>
      </c>
      <c r="BU72" s="196">
        <f t="shared" si="193"/>
        <v>3895.2282504304944</v>
      </c>
      <c r="BV72" s="197">
        <f t="shared" si="194"/>
        <v>2899.4159442201048</v>
      </c>
      <c r="BW72" s="197">
        <f t="shared" si="195"/>
        <v>10157.558804371321</v>
      </c>
      <c r="BX72" s="197">
        <f t="shared" si="196"/>
        <v>-6262.3305539408266</v>
      </c>
      <c r="BY72" s="199">
        <f t="shared" si="197"/>
        <v>-3362.9146097207217</v>
      </c>
      <c r="CB72" s="900">
        <v>10</v>
      </c>
      <c r="CC72" s="902" t="s">
        <v>559</v>
      </c>
      <c r="CD72" s="760">
        <f>'Arable Inputs'!$E$18</f>
        <v>3.1</v>
      </c>
      <c r="CE72" s="760">
        <f>'Arable Inputs'!$E$25+'Arable Inputs'!$E$25</f>
        <v>621.5</v>
      </c>
      <c r="CH72" s="762">
        <f>CD72*CE72</f>
        <v>1926.65</v>
      </c>
      <c r="CI72" s="197">
        <f>'Arable NPV'!$E152</f>
        <v>330</v>
      </c>
      <c r="CJ72" s="197">
        <f t="shared" si="198"/>
        <v>2256.65</v>
      </c>
      <c r="CK72" s="197">
        <f>'Arable NPV'!$G152</f>
        <v>300.32802631578949</v>
      </c>
      <c r="CL72" s="197">
        <f>'Arable NPV'!$H152</f>
        <v>547.62448399999994</v>
      </c>
      <c r="CM72" s="197">
        <f t="shared" si="199"/>
        <v>847.95251031578937</v>
      </c>
      <c r="CN72" s="197">
        <f t="shared" si="200"/>
        <v>1078.6974896842107</v>
      </c>
      <c r="CO72" s="197">
        <f t="shared" si="201"/>
        <v>1408.6974896842107</v>
      </c>
      <c r="CP72" s="196">
        <f t="shared" si="202"/>
        <v>1476.6167973698489</v>
      </c>
      <c r="CQ72" s="197">
        <f t="shared" si="203"/>
        <v>252.91752167339689</v>
      </c>
      <c r="CR72" s="197">
        <f t="shared" si="204"/>
        <v>649.88499213880289</v>
      </c>
      <c r="CS72" s="197">
        <f t="shared" si="205"/>
        <v>826.731805231046</v>
      </c>
      <c r="CT72" s="199">
        <f t="shared" si="206"/>
        <v>1079.6493269044429</v>
      </c>
      <c r="CU72" s="196">
        <f t="shared" si="207"/>
        <v>15580.913001721978</v>
      </c>
      <c r="CV72" s="197">
        <f t="shared" si="208"/>
        <v>2899.4159442201048</v>
      </c>
      <c r="CW72" s="197">
        <f t="shared" si="209"/>
        <v>10157.558804371321</v>
      </c>
      <c r="CX72" s="197">
        <f t="shared" si="210"/>
        <v>5423.3541973506553</v>
      </c>
      <c r="CY72" s="199">
        <f t="shared" si="211"/>
        <v>8322.7701415707579</v>
      </c>
      <c r="DB72" s="204">
        <f t="shared" si="226"/>
        <v>10</v>
      </c>
      <c r="DC72" s="902" t="s">
        <v>559</v>
      </c>
      <c r="DD72" s="760">
        <f>'Arable Inputs'!$E$18</f>
        <v>3.1</v>
      </c>
      <c r="DE72" s="760">
        <f>'Arable Inputs'!$E$25-'Arable Inputs'!$E$25</f>
        <v>0</v>
      </c>
      <c r="DH72" s="762">
        <f>DD72*DE72</f>
        <v>0</v>
      </c>
      <c r="DI72" s="197">
        <f>'Arable NPV'!$E152</f>
        <v>330</v>
      </c>
      <c r="DJ72" s="197">
        <f t="shared" si="212"/>
        <v>330</v>
      </c>
      <c r="DK72" s="197">
        <f>'Arable NPV'!$G152</f>
        <v>300.32802631578949</v>
      </c>
      <c r="DL72" s="197">
        <f>'Arable NPV'!$H152</f>
        <v>547.62448399999994</v>
      </c>
      <c r="DM72" s="197">
        <f t="shared" si="213"/>
        <v>847.95251031578937</v>
      </c>
      <c r="DN72" s="197">
        <f t="shared" si="214"/>
        <v>-847.95251031578937</v>
      </c>
      <c r="DO72" s="197">
        <f t="shared" si="215"/>
        <v>-517.95251031578937</v>
      </c>
      <c r="DP72" s="196">
        <f t="shared" si="216"/>
        <v>0</v>
      </c>
      <c r="DQ72" s="197">
        <f t="shared" si="217"/>
        <v>252.91752167339689</v>
      </c>
      <c r="DR72" s="197">
        <f t="shared" si="218"/>
        <v>649.88499213880289</v>
      </c>
      <c r="DS72" s="197">
        <f t="shared" si="219"/>
        <v>-649.88499213880289</v>
      </c>
      <c r="DT72" s="199">
        <f t="shared" si="220"/>
        <v>-396.967470465406</v>
      </c>
      <c r="DU72" s="196">
        <f t="shared" si="221"/>
        <v>0</v>
      </c>
      <c r="DV72" s="197">
        <f t="shared" si="222"/>
        <v>2899.4159442201048</v>
      </c>
      <c r="DW72" s="197">
        <f t="shared" si="223"/>
        <v>10157.558804371321</v>
      </c>
      <c r="DX72" s="197">
        <f t="shared" si="224"/>
        <v>-10157.558804371321</v>
      </c>
      <c r="DY72" s="199">
        <f t="shared" si="225"/>
        <v>-7258.1428601512162</v>
      </c>
    </row>
    <row r="73" spans="2:129" x14ac:dyDescent="0.3">
      <c r="B73" s="900">
        <v>11</v>
      </c>
      <c r="C73" s="902" t="s">
        <v>4</v>
      </c>
      <c r="D73" s="760">
        <f>'Arable Inputs'!$D$18</f>
        <v>5.5</v>
      </c>
      <c r="E73" s="760">
        <f>'Arable Inputs'!$D$25</f>
        <v>210</v>
      </c>
      <c r="F73" s="760">
        <f>'Arable Inputs'!$D$19</f>
        <v>3.9</v>
      </c>
      <c r="G73" s="760">
        <f>'Arable Inputs'!$D$26</f>
        <v>73.449999999999989</v>
      </c>
      <c r="H73" s="762">
        <f>D73*E73+F73*G73</f>
        <v>1441.4549999999999</v>
      </c>
      <c r="I73" s="197">
        <f>'Arable NPV'!$E153</f>
        <v>330</v>
      </c>
      <c r="J73" s="197">
        <f t="shared" si="156"/>
        <v>1771.4549999999999</v>
      </c>
      <c r="K73" s="197">
        <f>'Arable NPV'!$G153</f>
        <v>622.34710631578946</v>
      </c>
      <c r="L73" s="197">
        <f>'Arable NPV'!$H153</f>
        <v>943.00233600000001</v>
      </c>
      <c r="M73" s="197">
        <f t="shared" si="157"/>
        <v>1565.3494423157895</v>
      </c>
      <c r="N73" s="197">
        <f t="shared" si="158"/>
        <v>-123.89444231578955</v>
      </c>
      <c r="O73" s="197">
        <f t="shared" si="159"/>
        <v>206.10555768421045</v>
      </c>
      <c r="P73" s="196">
        <f t="shared" si="160"/>
        <v>1072.577894097459</v>
      </c>
      <c r="Q73" s="197">
        <f t="shared" si="161"/>
        <v>245.55099191591933</v>
      </c>
      <c r="R73" s="197">
        <f t="shared" si="162"/>
        <v>1164.7669947141612</v>
      </c>
      <c r="S73" s="197">
        <f t="shared" si="163"/>
        <v>-92.189100616702333</v>
      </c>
      <c r="T73" s="199">
        <f t="shared" si="164"/>
        <v>153.36189129921698</v>
      </c>
      <c r="U73" s="196">
        <f t="shared" si="165"/>
        <v>8863.0343949584476</v>
      </c>
      <c r="V73" s="197">
        <f t="shared" si="166"/>
        <v>3144.9669361360243</v>
      </c>
      <c r="W73" s="197">
        <f t="shared" si="167"/>
        <v>11322.325799085484</v>
      </c>
      <c r="X73" s="197">
        <f t="shared" si="168"/>
        <v>-2459.2914041270351</v>
      </c>
      <c r="Y73" s="199">
        <f t="shared" si="169"/>
        <v>685.67553200898897</v>
      </c>
      <c r="Z73" s="197"/>
      <c r="AB73" s="900">
        <v>11</v>
      </c>
      <c r="AC73" s="902" t="s">
        <v>4</v>
      </c>
      <c r="AD73" s="760">
        <f>'Arable Inputs'!$D$18</f>
        <v>5.5</v>
      </c>
      <c r="AE73" s="760">
        <f>'Arable Inputs'!$D$25+0.5*'Arable Inputs'!$D$25</f>
        <v>315</v>
      </c>
      <c r="AF73" s="760">
        <f>'Arable Inputs'!$D$19</f>
        <v>3.9</v>
      </c>
      <c r="AG73" s="760">
        <f>'Arable Inputs'!$D$26+0.5*'Arable Inputs'!$D$26</f>
        <v>110.17499999999998</v>
      </c>
      <c r="AH73" s="762">
        <f>AD73*AE73+AF73*AG73</f>
        <v>2162.1824999999999</v>
      </c>
      <c r="AI73" s="197">
        <f>'Arable NPV'!$E153</f>
        <v>330</v>
      </c>
      <c r="AJ73" s="197">
        <f t="shared" si="170"/>
        <v>2492.1824999999999</v>
      </c>
      <c r="AK73" s="197">
        <f>'Arable NPV'!$G153</f>
        <v>622.34710631578946</v>
      </c>
      <c r="AL73" s="197">
        <f>'Arable NPV'!$H153</f>
        <v>943.00233600000001</v>
      </c>
      <c r="AM73" s="197">
        <f t="shared" si="171"/>
        <v>1565.3494423157895</v>
      </c>
      <c r="AN73" s="197">
        <f t="shared" si="172"/>
        <v>596.83305768421042</v>
      </c>
      <c r="AO73" s="197">
        <f t="shared" si="173"/>
        <v>926.83305768421042</v>
      </c>
      <c r="AP73" s="196">
        <f t="shared" si="174"/>
        <v>1608.8668411461883</v>
      </c>
      <c r="AQ73" s="197">
        <f t="shared" si="175"/>
        <v>245.55099191591933</v>
      </c>
      <c r="AR73" s="197">
        <f t="shared" si="176"/>
        <v>1164.7669947141612</v>
      </c>
      <c r="AS73" s="197">
        <f t="shared" si="177"/>
        <v>444.09984643202716</v>
      </c>
      <c r="AT73" s="199">
        <f t="shared" si="178"/>
        <v>689.65083834794643</v>
      </c>
      <c r="AU73" s="196">
        <f t="shared" si="179"/>
        <v>13294.55159243767</v>
      </c>
      <c r="AV73" s="197">
        <f t="shared" si="180"/>
        <v>3144.9669361360243</v>
      </c>
      <c r="AW73" s="197">
        <f t="shared" si="181"/>
        <v>11322.325799085484</v>
      </c>
      <c r="AX73" s="197">
        <f t="shared" si="182"/>
        <v>1972.2257933521887</v>
      </c>
      <c r="AY73" s="199">
        <f t="shared" si="183"/>
        <v>5117.1927294882134</v>
      </c>
      <c r="BB73" s="900">
        <v>11</v>
      </c>
      <c r="BC73" s="902" t="s">
        <v>4</v>
      </c>
      <c r="BD73" s="760">
        <f>'Arable Inputs'!$D$18</f>
        <v>5.5</v>
      </c>
      <c r="BE73" s="760">
        <f>'Arable Inputs'!$D$25-0.5*'Arable Inputs'!$D$25</f>
        <v>105</v>
      </c>
      <c r="BF73" s="760">
        <f>'Arable Inputs'!$D$19</f>
        <v>3.9</v>
      </c>
      <c r="BG73" s="760">
        <f>'Arable Inputs'!$D$26-0.5*'Arable Inputs'!$D$26</f>
        <v>36.724999999999994</v>
      </c>
      <c r="BH73" s="762">
        <f>BD73*BE73+BF73*BG73</f>
        <v>720.72749999999996</v>
      </c>
      <c r="BI73" s="197">
        <f>'Arable NPV'!$E153</f>
        <v>330</v>
      </c>
      <c r="BJ73" s="197">
        <f t="shared" si="184"/>
        <v>1050.7275</v>
      </c>
      <c r="BK73" s="197">
        <f>'Arable NPV'!$G153</f>
        <v>622.34710631578946</v>
      </c>
      <c r="BL73" s="197">
        <f>'Arable NPV'!$H153</f>
        <v>943.00233600000001</v>
      </c>
      <c r="BM73" s="197">
        <f t="shared" si="185"/>
        <v>1565.3494423157895</v>
      </c>
      <c r="BN73" s="197">
        <f t="shared" si="186"/>
        <v>-844.62194231578951</v>
      </c>
      <c r="BO73" s="197">
        <f t="shared" si="187"/>
        <v>-514.62194231578951</v>
      </c>
      <c r="BP73" s="196">
        <f t="shared" si="188"/>
        <v>536.28894704872948</v>
      </c>
      <c r="BQ73" s="197">
        <f t="shared" si="189"/>
        <v>245.55099191591933</v>
      </c>
      <c r="BR73" s="197">
        <f t="shared" si="190"/>
        <v>1164.7669947141612</v>
      </c>
      <c r="BS73" s="197">
        <f t="shared" si="191"/>
        <v>-628.47804766543186</v>
      </c>
      <c r="BT73" s="199">
        <f t="shared" si="192"/>
        <v>-382.92705574951248</v>
      </c>
      <c r="BU73" s="196">
        <f t="shared" si="193"/>
        <v>4431.5171974792238</v>
      </c>
      <c r="BV73" s="197">
        <f t="shared" si="194"/>
        <v>3144.9669361360243</v>
      </c>
      <c r="BW73" s="197">
        <f t="shared" si="195"/>
        <v>11322.325799085484</v>
      </c>
      <c r="BX73" s="197">
        <f t="shared" si="196"/>
        <v>-6890.8086016062589</v>
      </c>
      <c r="BY73" s="199">
        <f t="shared" si="197"/>
        <v>-3745.8416654702341</v>
      </c>
      <c r="CB73" s="900">
        <v>11</v>
      </c>
      <c r="CC73" s="902" t="s">
        <v>4</v>
      </c>
      <c r="CD73" s="760">
        <f>'Arable Inputs'!$D$18</f>
        <v>5.5</v>
      </c>
      <c r="CE73" s="760">
        <f>'Arable Inputs'!$D$25+'Arable Inputs'!$D$25</f>
        <v>420</v>
      </c>
      <c r="CF73" s="760">
        <f>'Arable Inputs'!$D$19</f>
        <v>3.9</v>
      </c>
      <c r="CG73" s="760">
        <f>'Arable Inputs'!$D$26+'Arable Inputs'!$D$26</f>
        <v>146.89999999999998</v>
      </c>
      <c r="CH73" s="762">
        <f>CD73*CE73+CF73*CG73</f>
        <v>2882.91</v>
      </c>
      <c r="CI73" s="197">
        <f>'Arable NPV'!$E153</f>
        <v>330</v>
      </c>
      <c r="CJ73" s="197">
        <f t="shared" si="198"/>
        <v>3212.91</v>
      </c>
      <c r="CK73" s="197">
        <f>'Arable NPV'!$G153</f>
        <v>622.34710631578946</v>
      </c>
      <c r="CL73" s="197">
        <f>'Arable NPV'!$H153</f>
        <v>943.00233600000001</v>
      </c>
      <c r="CM73" s="197">
        <f t="shared" si="199"/>
        <v>1565.3494423157895</v>
      </c>
      <c r="CN73" s="197">
        <f t="shared" si="200"/>
        <v>1317.5605576842104</v>
      </c>
      <c r="CO73" s="197">
        <f t="shared" si="201"/>
        <v>1647.5605576842104</v>
      </c>
      <c r="CP73" s="196">
        <f t="shared" si="202"/>
        <v>2145.1557881949179</v>
      </c>
      <c r="CQ73" s="197">
        <f t="shared" si="203"/>
        <v>245.55099191591933</v>
      </c>
      <c r="CR73" s="197">
        <f t="shared" si="204"/>
        <v>1164.7669947141612</v>
      </c>
      <c r="CS73" s="197">
        <f t="shared" si="205"/>
        <v>980.38879348075659</v>
      </c>
      <c r="CT73" s="199">
        <f t="shared" si="206"/>
        <v>1225.9397853966759</v>
      </c>
      <c r="CU73" s="196">
        <f t="shared" si="207"/>
        <v>17726.068789916895</v>
      </c>
      <c r="CV73" s="197">
        <f t="shared" si="208"/>
        <v>3144.9669361360243</v>
      </c>
      <c r="CW73" s="197">
        <f t="shared" si="209"/>
        <v>11322.325799085484</v>
      </c>
      <c r="CX73" s="197">
        <f t="shared" si="210"/>
        <v>6403.7429908314116</v>
      </c>
      <c r="CY73" s="199">
        <f t="shared" si="211"/>
        <v>9548.7099269674345</v>
      </c>
      <c r="DB73" s="204">
        <f t="shared" si="226"/>
        <v>11</v>
      </c>
      <c r="DC73" s="902" t="s">
        <v>4</v>
      </c>
      <c r="DD73" s="760">
        <f>'Arable Inputs'!$D$18</f>
        <v>5.5</v>
      </c>
      <c r="DE73" s="760">
        <f>'Arable Inputs'!$D$25-'Arable Inputs'!$D$25</f>
        <v>0</v>
      </c>
      <c r="DF73" s="760">
        <f>'Arable Inputs'!$D$19</f>
        <v>3.9</v>
      </c>
      <c r="DG73" s="760">
        <f>'Arable Inputs'!$D$26-'Arable Inputs'!$D$26</f>
        <v>0</v>
      </c>
      <c r="DH73" s="762">
        <f>DD73*DE73+DF73*DG73</f>
        <v>0</v>
      </c>
      <c r="DI73" s="197">
        <f>'Arable NPV'!$E153</f>
        <v>330</v>
      </c>
      <c r="DJ73" s="197">
        <f t="shared" si="212"/>
        <v>330</v>
      </c>
      <c r="DK73" s="197">
        <f>'Arable NPV'!$G153</f>
        <v>622.34710631578946</v>
      </c>
      <c r="DL73" s="197">
        <f>'Arable NPV'!$H153</f>
        <v>943.00233600000001</v>
      </c>
      <c r="DM73" s="197">
        <f t="shared" si="213"/>
        <v>1565.3494423157895</v>
      </c>
      <c r="DN73" s="197">
        <f t="shared" si="214"/>
        <v>-1565.3494423157895</v>
      </c>
      <c r="DO73" s="197">
        <f t="shared" si="215"/>
        <v>-1235.3494423157895</v>
      </c>
      <c r="DP73" s="196">
        <f t="shared" si="216"/>
        <v>0</v>
      </c>
      <c r="DQ73" s="197">
        <f t="shared" si="217"/>
        <v>245.55099191591933</v>
      </c>
      <c r="DR73" s="197">
        <f t="shared" si="218"/>
        <v>1164.7669947141612</v>
      </c>
      <c r="DS73" s="197">
        <f t="shared" si="219"/>
        <v>-1164.7669947141612</v>
      </c>
      <c r="DT73" s="199">
        <f t="shared" si="220"/>
        <v>-919.21600279824202</v>
      </c>
      <c r="DU73" s="196">
        <f t="shared" si="221"/>
        <v>0</v>
      </c>
      <c r="DV73" s="197">
        <f t="shared" si="222"/>
        <v>3144.9669361360243</v>
      </c>
      <c r="DW73" s="197">
        <f t="shared" si="223"/>
        <v>11322.325799085484</v>
      </c>
      <c r="DX73" s="197">
        <f t="shared" si="224"/>
        <v>-11322.325799085484</v>
      </c>
      <c r="DY73" s="199">
        <f t="shared" si="225"/>
        <v>-8177.3588629494579</v>
      </c>
    </row>
    <row r="74" spans="2:129" x14ac:dyDescent="0.3">
      <c r="B74" s="900">
        <v>12</v>
      </c>
      <c r="C74" s="902" t="s">
        <v>560</v>
      </c>
      <c r="D74" s="760">
        <f>'Arable Inputs'!$G$18</f>
        <v>2.1</v>
      </c>
      <c r="E74" s="760">
        <f>'Arable Inputs'!$G$25</f>
        <v>235.55</v>
      </c>
      <c r="H74" s="762">
        <f>D74*E74</f>
        <v>494.65500000000003</v>
      </c>
      <c r="I74" s="197">
        <f>'Arable NPV'!$E154</f>
        <v>330</v>
      </c>
      <c r="J74" s="197">
        <f t="shared" si="156"/>
        <v>824.65499999999997</v>
      </c>
      <c r="K74" s="197">
        <f>'Arable NPV'!$G154</f>
        <v>255.07731473684206</v>
      </c>
      <c r="L74" s="197">
        <f>'Arable NPV'!$H154</f>
        <v>778.68036799999993</v>
      </c>
      <c r="M74" s="197">
        <f t="shared" si="157"/>
        <v>1033.7576827368421</v>
      </c>
      <c r="N74" s="197">
        <f t="shared" si="158"/>
        <v>-539.1026827368421</v>
      </c>
      <c r="O74" s="197">
        <f t="shared" si="159"/>
        <v>-209.1026827368421</v>
      </c>
      <c r="P74" s="196">
        <f t="shared" si="160"/>
        <v>357.34929657596081</v>
      </c>
      <c r="Q74" s="197">
        <f t="shared" si="161"/>
        <v>238.39902127759154</v>
      </c>
      <c r="R74" s="197">
        <f t="shared" si="162"/>
        <v>746.80854485652776</v>
      </c>
      <c r="S74" s="197">
        <f t="shared" si="163"/>
        <v>-389.45924828056701</v>
      </c>
      <c r="T74" s="199">
        <f t="shared" si="164"/>
        <v>-151.06022700297544</v>
      </c>
      <c r="U74" s="196">
        <f t="shared" si="165"/>
        <v>9220.3836915344091</v>
      </c>
      <c r="V74" s="197">
        <f t="shared" si="166"/>
        <v>3383.3659574136159</v>
      </c>
      <c r="W74" s="197">
        <f t="shared" si="167"/>
        <v>12069.134343942011</v>
      </c>
      <c r="X74" s="197">
        <f t="shared" si="168"/>
        <v>-2848.750652407602</v>
      </c>
      <c r="Y74" s="199">
        <f t="shared" si="169"/>
        <v>534.6153050060135</v>
      </c>
      <c r="Z74" s="197"/>
      <c r="AB74" s="900">
        <v>12</v>
      </c>
      <c r="AC74" s="902" t="s">
        <v>560</v>
      </c>
      <c r="AD74" s="760">
        <f>'Arable Inputs'!$G$18</f>
        <v>2.1</v>
      </c>
      <c r="AE74" s="760">
        <f>'Arable Inputs'!$G$25+0.5*'Arable Inputs'!$G$25</f>
        <v>353.32500000000005</v>
      </c>
      <c r="AH74" s="762">
        <f>AD74*AE74</f>
        <v>741.98250000000007</v>
      </c>
      <c r="AI74" s="197">
        <f>'Arable NPV'!$E154</f>
        <v>330</v>
      </c>
      <c r="AJ74" s="197">
        <f t="shared" si="170"/>
        <v>1071.9825000000001</v>
      </c>
      <c r="AK74" s="197">
        <f>'Arable NPV'!$G154</f>
        <v>255.07731473684206</v>
      </c>
      <c r="AL74" s="197">
        <f>'Arable NPV'!$H154</f>
        <v>778.68036799999993</v>
      </c>
      <c r="AM74" s="197">
        <f t="shared" si="171"/>
        <v>1033.7576827368421</v>
      </c>
      <c r="AN74" s="197">
        <f t="shared" si="172"/>
        <v>-291.775182736842</v>
      </c>
      <c r="AO74" s="197">
        <f t="shared" si="173"/>
        <v>38.224817263158002</v>
      </c>
      <c r="AP74" s="196">
        <f t="shared" si="174"/>
        <v>536.02394486394121</v>
      </c>
      <c r="AQ74" s="197">
        <f t="shared" si="175"/>
        <v>238.39902127759154</v>
      </c>
      <c r="AR74" s="197">
        <f t="shared" si="176"/>
        <v>746.80854485652776</v>
      </c>
      <c r="AS74" s="197">
        <f t="shared" si="177"/>
        <v>-210.78459999258655</v>
      </c>
      <c r="AT74" s="199">
        <f t="shared" si="178"/>
        <v>27.614421285005012</v>
      </c>
      <c r="AU74" s="196">
        <f t="shared" si="179"/>
        <v>13830.575537301611</v>
      </c>
      <c r="AV74" s="197">
        <f t="shared" si="180"/>
        <v>3383.3659574136159</v>
      </c>
      <c r="AW74" s="197">
        <f t="shared" si="181"/>
        <v>12069.134343942011</v>
      </c>
      <c r="AX74" s="197">
        <f t="shared" si="182"/>
        <v>1761.441193359602</v>
      </c>
      <c r="AY74" s="199">
        <f t="shared" si="183"/>
        <v>5144.8071507732184</v>
      </c>
      <c r="BB74" s="900">
        <v>12</v>
      </c>
      <c r="BC74" s="902" t="s">
        <v>560</v>
      </c>
      <c r="BD74" s="760">
        <f>'Arable Inputs'!$G$18</f>
        <v>2.1</v>
      </c>
      <c r="BE74" s="760">
        <f>'Arable Inputs'!$G$25-0.5*'Arable Inputs'!$G$25</f>
        <v>117.77500000000001</v>
      </c>
      <c r="BH74" s="762">
        <f>BD74*BE74</f>
        <v>247.32750000000001</v>
      </c>
      <c r="BI74" s="197">
        <f>'Arable NPV'!$E154</f>
        <v>330</v>
      </c>
      <c r="BJ74" s="197">
        <f t="shared" si="184"/>
        <v>577.32749999999999</v>
      </c>
      <c r="BK74" s="197">
        <f>'Arable NPV'!$G154</f>
        <v>255.07731473684206</v>
      </c>
      <c r="BL74" s="197">
        <f>'Arable NPV'!$H154</f>
        <v>778.68036799999993</v>
      </c>
      <c r="BM74" s="197">
        <f t="shared" si="185"/>
        <v>1033.7576827368421</v>
      </c>
      <c r="BN74" s="197">
        <f t="shared" si="186"/>
        <v>-786.43018273684208</v>
      </c>
      <c r="BO74" s="197">
        <f t="shared" si="187"/>
        <v>-456.43018273684208</v>
      </c>
      <c r="BP74" s="196">
        <f t="shared" si="188"/>
        <v>178.6746482879804</v>
      </c>
      <c r="BQ74" s="197">
        <f t="shared" si="189"/>
        <v>238.39902127759154</v>
      </c>
      <c r="BR74" s="197">
        <f t="shared" si="190"/>
        <v>746.80854485652776</v>
      </c>
      <c r="BS74" s="197">
        <f t="shared" si="191"/>
        <v>-568.13389656854736</v>
      </c>
      <c r="BT74" s="199">
        <f t="shared" si="192"/>
        <v>-329.73487529095581</v>
      </c>
      <c r="BU74" s="196">
        <f t="shared" si="193"/>
        <v>4610.1918457672045</v>
      </c>
      <c r="BV74" s="197">
        <f t="shared" si="194"/>
        <v>3383.3659574136159</v>
      </c>
      <c r="BW74" s="197">
        <f t="shared" si="195"/>
        <v>12069.134343942011</v>
      </c>
      <c r="BX74" s="197">
        <f t="shared" si="196"/>
        <v>-7458.9424981748061</v>
      </c>
      <c r="BY74" s="199">
        <f t="shared" si="197"/>
        <v>-4075.5765407611898</v>
      </c>
      <c r="CB74" s="900">
        <v>12</v>
      </c>
      <c r="CC74" s="902" t="s">
        <v>560</v>
      </c>
      <c r="CD74" s="760">
        <f>'Arable Inputs'!$G$18</f>
        <v>2.1</v>
      </c>
      <c r="CE74" s="760">
        <f>'Arable Inputs'!$G$25+'Arable Inputs'!$G$25</f>
        <v>471.1</v>
      </c>
      <c r="CH74" s="762">
        <f>CD74*CE74</f>
        <v>989.31000000000006</v>
      </c>
      <c r="CI74" s="197">
        <f>'Arable NPV'!$E154</f>
        <v>330</v>
      </c>
      <c r="CJ74" s="197">
        <f t="shared" si="198"/>
        <v>1319.31</v>
      </c>
      <c r="CK74" s="197">
        <f>'Arable NPV'!$G154</f>
        <v>255.07731473684206</v>
      </c>
      <c r="CL74" s="197">
        <f>'Arable NPV'!$H154</f>
        <v>778.68036799999993</v>
      </c>
      <c r="CM74" s="197">
        <f t="shared" si="199"/>
        <v>1033.7576827368421</v>
      </c>
      <c r="CN74" s="197">
        <f t="shared" si="200"/>
        <v>-44.447682736842012</v>
      </c>
      <c r="CO74" s="197">
        <f t="shared" si="201"/>
        <v>285.55231726315787</v>
      </c>
      <c r="CP74" s="196">
        <f t="shared" si="202"/>
        <v>714.69859315192161</v>
      </c>
      <c r="CQ74" s="197">
        <f t="shared" si="203"/>
        <v>238.39902127759154</v>
      </c>
      <c r="CR74" s="197">
        <f t="shared" si="204"/>
        <v>746.80854485652776</v>
      </c>
      <c r="CS74" s="197">
        <f t="shared" si="205"/>
        <v>-32.109951704606175</v>
      </c>
      <c r="CT74" s="199">
        <f t="shared" si="206"/>
        <v>206.28906957298531</v>
      </c>
      <c r="CU74" s="196">
        <f t="shared" si="207"/>
        <v>18440.767383068818</v>
      </c>
      <c r="CV74" s="197">
        <f t="shared" si="208"/>
        <v>3383.3659574136159</v>
      </c>
      <c r="CW74" s="197">
        <f t="shared" si="209"/>
        <v>12069.134343942011</v>
      </c>
      <c r="CX74" s="197">
        <f t="shared" si="210"/>
        <v>6371.6330391268057</v>
      </c>
      <c r="CY74" s="199">
        <f t="shared" si="211"/>
        <v>9754.9989965404202</v>
      </c>
      <c r="DB74" s="204">
        <f t="shared" si="226"/>
        <v>12</v>
      </c>
      <c r="DC74" s="902" t="s">
        <v>560</v>
      </c>
      <c r="DD74" s="760">
        <f>'Arable Inputs'!$G$18</f>
        <v>2.1</v>
      </c>
      <c r="DE74" s="760">
        <f>'Arable Inputs'!$G$25-'Arable Inputs'!$G$25</f>
        <v>0</v>
      </c>
      <c r="DH74" s="762">
        <f>DD74*DE74</f>
        <v>0</v>
      </c>
      <c r="DI74" s="197">
        <f>'Arable NPV'!$E154</f>
        <v>330</v>
      </c>
      <c r="DJ74" s="197">
        <f t="shared" si="212"/>
        <v>330</v>
      </c>
      <c r="DK74" s="197">
        <f>'Arable NPV'!$G154</f>
        <v>255.07731473684206</v>
      </c>
      <c r="DL74" s="197">
        <f>'Arable NPV'!$H154</f>
        <v>778.68036799999993</v>
      </c>
      <c r="DM74" s="197">
        <f t="shared" si="213"/>
        <v>1033.7576827368421</v>
      </c>
      <c r="DN74" s="197">
        <f t="shared" si="214"/>
        <v>-1033.7576827368421</v>
      </c>
      <c r="DO74" s="197">
        <f t="shared" si="215"/>
        <v>-703.75768273684207</v>
      </c>
      <c r="DP74" s="196">
        <f t="shared" si="216"/>
        <v>0</v>
      </c>
      <c r="DQ74" s="197">
        <f t="shared" si="217"/>
        <v>238.39902127759154</v>
      </c>
      <c r="DR74" s="197">
        <f t="shared" si="218"/>
        <v>746.80854485652776</v>
      </c>
      <c r="DS74" s="197">
        <f t="shared" si="219"/>
        <v>-746.80854485652776</v>
      </c>
      <c r="DT74" s="199">
        <f t="shared" si="220"/>
        <v>-508.40952357893616</v>
      </c>
      <c r="DU74" s="196">
        <f t="shared" si="221"/>
        <v>0</v>
      </c>
      <c r="DV74" s="197">
        <f t="shared" si="222"/>
        <v>3383.3659574136159</v>
      </c>
      <c r="DW74" s="197">
        <f t="shared" si="223"/>
        <v>12069.134343942011</v>
      </c>
      <c r="DX74" s="197">
        <f t="shared" si="224"/>
        <v>-12069.134343942011</v>
      </c>
      <c r="DY74" s="199">
        <f t="shared" si="225"/>
        <v>-8685.7683865283943</v>
      </c>
    </row>
    <row r="75" spans="2:129" x14ac:dyDescent="0.3">
      <c r="B75" s="900">
        <v>13</v>
      </c>
      <c r="C75" s="902" t="s">
        <v>255</v>
      </c>
      <c r="D75" s="760">
        <f>'Arable Inputs'!$H$18</f>
        <v>9.4</v>
      </c>
      <c r="E75" s="760">
        <f>'Arable Inputs'!$H$25</f>
        <v>94.285714285714292</v>
      </c>
      <c r="H75" s="762">
        <f>D75*E75</f>
        <v>886.28571428571433</v>
      </c>
      <c r="I75" s="197">
        <f>'Arable NPV'!$E155</f>
        <v>330</v>
      </c>
      <c r="J75" s="197">
        <f t="shared" si="156"/>
        <v>1216.2857142857142</v>
      </c>
      <c r="K75" s="197">
        <f>'Arable NPV'!$G155</f>
        <v>566.71194999999989</v>
      </c>
      <c r="L75" s="197">
        <f>'Arable NPV'!$H155</f>
        <v>691.46913599999993</v>
      </c>
      <c r="M75" s="197">
        <f t="shared" si="157"/>
        <v>1258.1810859999998</v>
      </c>
      <c r="N75" s="197">
        <f t="shared" si="158"/>
        <v>-371.89537171428549</v>
      </c>
      <c r="O75" s="197">
        <f t="shared" si="159"/>
        <v>-41.895371714285602</v>
      </c>
      <c r="P75" s="196">
        <f t="shared" si="160"/>
        <v>621.622968102458</v>
      </c>
      <c r="Q75" s="197">
        <f t="shared" si="161"/>
        <v>231.45536046368116</v>
      </c>
      <c r="R75" s="197">
        <f t="shared" si="162"/>
        <v>882.46289935974482</v>
      </c>
      <c r="S75" s="197">
        <f t="shared" si="163"/>
        <v>-260.83993125728682</v>
      </c>
      <c r="T75" s="199">
        <f t="shared" si="164"/>
        <v>-29.384570793605715</v>
      </c>
      <c r="U75" s="196">
        <f t="shared" si="165"/>
        <v>9842.006659636867</v>
      </c>
      <c r="V75" s="197">
        <f t="shared" si="166"/>
        <v>3614.8213178772971</v>
      </c>
      <c r="W75" s="197">
        <f t="shared" si="167"/>
        <v>12951.597243301756</v>
      </c>
      <c r="X75" s="197">
        <f t="shared" si="168"/>
        <v>-3109.590583664889</v>
      </c>
      <c r="Y75" s="199">
        <f t="shared" si="169"/>
        <v>505.23073421240781</v>
      </c>
      <c r="Z75" s="197"/>
      <c r="AB75" s="900">
        <v>13</v>
      </c>
      <c r="AC75" s="902" t="s">
        <v>28</v>
      </c>
      <c r="AD75" s="760">
        <f>'Arable Inputs'!$H$18</f>
        <v>9.4</v>
      </c>
      <c r="AE75" s="760">
        <f>'Arable Inputs'!$H$25+0.5*'Arable Inputs'!$H$25</f>
        <v>141.42857142857144</v>
      </c>
      <c r="AH75" s="762">
        <f>AD75*AE75</f>
        <v>1329.4285714285716</v>
      </c>
      <c r="AI75" s="197">
        <f>'Arable NPV'!$E155</f>
        <v>330</v>
      </c>
      <c r="AJ75" s="197">
        <f t="shared" si="170"/>
        <v>1659.4285714285716</v>
      </c>
      <c r="AK75" s="197">
        <f>'Arable NPV'!$G155</f>
        <v>566.71194999999989</v>
      </c>
      <c r="AL75" s="197">
        <f>'Arable NPV'!$H155</f>
        <v>691.46913599999993</v>
      </c>
      <c r="AM75" s="197">
        <f t="shared" si="171"/>
        <v>1258.1810859999998</v>
      </c>
      <c r="AN75" s="197">
        <f t="shared" si="172"/>
        <v>71.247485428571736</v>
      </c>
      <c r="AO75" s="197">
        <f t="shared" si="173"/>
        <v>401.24748542857174</v>
      </c>
      <c r="AP75" s="196">
        <f t="shared" si="174"/>
        <v>932.43445215368706</v>
      </c>
      <c r="AQ75" s="197">
        <f t="shared" si="175"/>
        <v>231.45536046368116</v>
      </c>
      <c r="AR75" s="197">
        <f t="shared" si="176"/>
        <v>882.46289935974482</v>
      </c>
      <c r="AS75" s="197">
        <f t="shared" si="177"/>
        <v>49.971552793942251</v>
      </c>
      <c r="AT75" s="199">
        <f t="shared" si="178"/>
        <v>281.42691325762343</v>
      </c>
      <c r="AU75" s="196">
        <f t="shared" si="179"/>
        <v>14763.009989455299</v>
      </c>
      <c r="AV75" s="197">
        <f t="shared" si="180"/>
        <v>3614.8213178772971</v>
      </c>
      <c r="AW75" s="197">
        <f t="shared" si="181"/>
        <v>12951.597243301756</v>
      </c>
      <c r="AX75" s="197">
        <f t="shared" si="182"/>
        <v>1811.4127461535443</v>
      </c>
      <c r="AY75" s="199">
        <f t="shared" si="183"/>
        <v>5426.2340640308421</v>
      </c>
      <c r="BB75" s="900">
        <v>13</v>
      </c>
      <c r="BC75" s="902" t="s">
        <v>28</v>
      </c>
      <c r="BD75" s="760">
        <f>'Arable Inputs'!$H$18</f>
        <v>9.4</v>
      </c>
      <c r="BE75" s="760">
        <f>'Arable Inputs'!$H$25-0.5*'Arable Inputs'!$H$25</f>
        <v>47.142857142857146</v>
      </c>
      <c r="BH75" s="762">
        <f>BD75*BE75</f>
        <v>443.14285714285717</v>
      </c>
      <c r="BI75" s="197">
        <f>'Arable NPV'!$E155</f>
        <v>330</v>
      </c>
      <c r="BJ75" s="197">
        <f t="shared" si="184"/>
        <v>773.14285714285711</v>
      </c>
      <c r="BK75" s="197">
        <f>'Arable NPV'!$G155</f>
        <v>566.71194999999989</v>
      </c>
      <c r="BL75" s="197">
        <f>'Arable NPV'!$H155</f>
        <v>691.46913599999993</v>
      </c>
      <c r="BM75" s="197">
        <f t="shared" si="185"/>
        <v>1258.1810859999998</v>
      </c>
      <c r="BN75" s="197">
        <f t="shared" si="186"/>
        <v>-815.03822885714271</v>
      </c>
      <c r="BO75" s="197">
        <f t="shared" si="187"/>
        <v>-485.03822885714271</v>
      </c>
      <c r="BP75" s="196">
        <f t="shared" si="188"/>
        <v>310.811484051229</v>
      </c>
      <c r="BQ75" s="197">
        <f t="shared" si="189"/>
        <v>231.45536046368116</v>
      </c>
      <c r="BR75" s="197">
        <f t="shared" si="190"/>
        <v>882.46289935974482</v>
      </c>
      <c r="BS75" s="197">
        <f t="shared" si="191"/>
        <v>-571.65141530851588</v>
      </c>
      <c r="BT75" s="199">
        <f t="shared" si="192"/>
        <v>-340.19605484483469</v>
      </c>
      <c r="BU75" s="196">
        <f t="shared" si="193"/>
        <v>4921.0033298184335</v>
      </c>
      <c r="BV75" s="197">
        <f t="shared" si="194"/>
        <v>3614.8213178772971</v>
      </c>
      <c r="BW75" s="197">
        <f t="shared" si="195"/>
        <v>12951.597243301756</v>
      </c>
      <c r="BX75" s="197">
        <f t="shared" si="196"/>
        <v>-8030.5939134833225</v>
      </c>
      <c r="BY75" s="199">
        <f t="shared" si="197"/>
        <v>-4415.7725956060249</v>
      </c>
      <c r="CB75" s="900">
        <v>13</v>
      </c>
      <c r="CC75" s="902" t="s">
        <v>28</v>
      </c>
      <c r="CD75" s="760">
        <f>'Arable Inputs'!$H$18</f>
        <v>9.4</v>
      </c>
      <c r="CE75" s="760">
        <f>'Arable Inputs'!$H$25+'Arable Inputs'!$H$25</f>
        <v>188.57142857142858</v>
      </c>
      <c r="CH75" s="762">
        <f>CD75*CE75</f>
        <v>1772.5714285714287</v>
      </c>
      <c r="CI75" s="197">
        <f>'Arable NPV'!$E155</f>
        <v>330</v>
      </c>
      <c r="CJ75" s="197">
        <f t="shared" si="198"/>
        <v>2102.5714285714284</v>
      </c>
      <c r="CK75" s="197">
        <f>'Arable NPV'!$G155</f>
        <v>566.71194999999989</v>
      </c>
      <c r="CL75" s="197">
        <f>'Arable NPV'!$H155</f>
        <v>691.46913599999993</v>
      </c>
      <c r="CM75" s="197">
        <f t="shared" si="199"/>
        <v>1258.1810859999998</v>
      </c>
      <c r="CN75" s="197">
        <f t="shared" si="200"/>
        <v>514.39034257142885</v>
      </c>
      <c r="CO75" s="197">
        <f t="shared" si="201"/>
        <v>844.39034257142862</v>
      </c>
      <c r="CP75" s="196">
        <f t="shared" si="202"/>
        <v>1243.245936204916</v>
      </c>
      <c r="CQ75" s="197">
        <f t="shared" si="203"/>
        <v>231.45536046368116</v>
      </c>
      <c r="CR75" s="197">
        <f t="shared" si="204"/>
        <v>882.46289935974482</v>
      </c>
      <c r="CS75" s="197">
        <f t="shared" si="205"/>
        <v>360.78303684517118</v>
      </c>
      <c r="CT75" s="199">
        <f t="shared" si="206"/>
        <v>592.2383973088522</v>
      </c>
      <c r="CU75" s="196">
        <f t="shared" si="207"/>
        <v>19684.013319273734</v>
      </c>
      <c r="CV75" s="197">
        <f t="shared" si="208"/>
        <v>3614.8213178772971</v>
      </c>
      <c r="CW75" s="197">
        <f t="shared" si="209"/>
        <v>12951.597243301756</v>
      </c>
      <c r="CX75" s="197">
        <f t="shared" si="210"/>
        <v>6732.4160759719771</v>
      </c>
      <c r="CY75" s="199">
        <f t="shared" si="211"/>
        <v>10347.237393849273</v>
      </c>
      <c r="DB75" s="204">
        <f t="shared" si="226"/>
        <v>13</v>
      </c>
      <c r="DC75" s="902" t="s">
        <v>28</v>
      </c>
      <c r="DD75" s="760">
        <f>'Arable Inputs'!$H$18</f>
        <v>9.4</v>
      </c>
      <c r="DE75" s="760">
        <f>'Arable Inputs'!$H$25-'Arable Inputs'!$H$25</f>
        <v>0</v>
      </c>
      <c r="DH75" s="762">
        <f>DD75*DE75</f>
        <v>0</v>
      </c>
      <c r="DI75" s="197">
        <f>'Arable NPV'!$E155</f>
        <v>330</v>
      </c>
      <c r="DJ75" s="197">
        <f t="shared" si="212"/>
        <v>330</v>
      </c>
      <c r="DK75" s="197">
        <f>'Arable NPV'!$G155</f>
        <v>566.71194999999989</v>
      </c>
      <c r="DL75" s="197">
        <f>'Arable NPV'!$H155</f>
        <v>691.46913599999993</v>
      </c>
      <c r="DM75" s="197">
        <f t="shared" si="213"/>
        <v>1258.1810859999998</v>
      </c>
      <c r="DN75" s="197">
        <f t="shared" si="214"/>
        <v>-1258.1810859999998</v>
      </c>
      <c r="DO75" s="197">
        <f t="shared" si="215"/>
        <v>-928.18108599999982</v>
      </c>
      <c r="DP75" s="196">
        <f t="shared" si="216"/>
        <v>0</v>
      </c>
      <c r="DQ75" s="197">
        <f t="shared" si="217"/>
        <v>231.45536046368116</v>
      </c>
      <c r="DR75" s="197">
        <f t="shared" si="218"/>
        <v>882.46289935974482</v>
      </c>
      <c r="DS75" s="197">
        <f t="shared" si="219"/>
        <v>-882.46289935974482</v>
      </c>
      <c r="DT75" s="199">
        <f t="shared" si="220"/>
        <v>-651.00753889606369</v>
      </c>
      <c r="DU75" s="196">
        <f t="shared" si="221"/>
        <v>0</v>
      </c>
      <c r="DV75" s="197">
        <f t="shared" si="222"/>
        <v>3614.8213178772971</v>
      </c>
      <c r="DW75" s="197">
        <f t="shared" si="223"/>
        <v>12951.597243301756</v>
      </c>
      <c r="DX75" s="197">
        <f t="shared" si="224"/>
        <v>-12951.597243301756</v>
      </c>
      <c r="DY75" s="199">
        <f t="shared" si="225"/>
        <v>-9336.7759254244575</v>
      </c>
    </row>
    <row r="76" spans="2:129" x14ac:dyDescent="0.3">
      <c r="B76" s="900">
        <v>14</v>
      </c>
      <c r="C76" s="902" t="s">
        <v>5</v>
      </c>
      <c r="D76" s="760">
        <f>'Arable Inputs'!$F$18</f>
        <v>2.6</v>
      </c>
      <c r="E76" s="760">
        <f>'Arable Inputs'!$F$25</f>
        <v>196.99</v>
      </c>
      <c r="F76" s="760">
        <f>'Arable Inputs'!$F$19</f>
        <v>2.6</v>
      </c>
      <c r="G76" s="760">
        <f>'Arable Inputs'!$F$26</f>
        <v>42.374999999999993</v>
      </c>
      <c r="H76" s="762">
        <f>D76*E76+F76*G76</f>
        <v>622.34900000000005</v>
      </c>
      <c r="I76" s="197">
        <f>'Arable NPV'!$E156</f>
        <v>330</v>
      </c>
      <c r="J76" s="197">
        <f t="shared" si="156"/>
        <v>952.34900000000005</v>
      </c>
      <c r="K76" s="197">
        <f>'Arable NPV'!$G156</f>
        <v>327.77441459954235</v>
      </c>
      <c r="L76" s="197">
        <f>'Arable NPV'!$H156</f>
        <v>704.91322685714283</v>
      </c>
      <c r="M76" s="197">
        <f t="shared" si="157"/>
        <v>1032.6876414566852</v>
      </c>
      <c r="N76" s="197">
        <f t="shared" si="158"/>
        <v>-410.3386414566852</v>
      </c>
      <c r="O76" s="197">
        <f t="shared" si="159"/>
        <v>-80.338641456685195</v>
      </c>
      <c r="P76" s="196">
        <f t="shared" si="160"/>
        <v>423.78938549341433</v>
      </c>
      <c r="Q76" s="197">
        <f t="shared" si="161"/>
        <v>224.71394219774871</v>
      </c>
      <c r="R76" s="197">
        <f t="shared" si="162"/>
        <v>703.21003324432422</v>
      </c>
      <c r="S76" s="197">
        <f t="shared" si="163"/>
        <v>-279.42064775090995</v>
      </c>
      <c r="T76" s="199">
        <f t="shared" si="164"/>
        <v>-54.706705553161257</v>
      </c>
      <c r="U76" s="196">
        <f t="shared" si="165"/>
        <v>10265.796045130281</v>
      </c>
      <c r="V76" s="197">
        <f t="shared" si="166"/>
        <v>3839.5352600750457</v>
      </c>
      <c r="W76" s="197">
        <f t="shared" si="167"/>
        <v>13654.80727654608</v>
      </c>
      <c r="X76" s="197">
        <f t="shared" si="168"/>
        <v>-3389.0112314157991</v>
      </c>
      <c r="Y76" s="199">
        <f t="shared" si="169"/>
        <v>450.52402865924654</v>
      </c>
      <c r="Z76" s="197"/>
      <c r="AB76" s="900">
        <v>14</v>
      </c>
      <c r="AC76" s="902" t="s">
        <v>5</v>
      </c>
      <c r="AD76" s="760">
        <f>'Arable Inputs'!$F$18</f>
        <v>2.6</v>
      </c>
      <c r="AE76" s="760">
        <f>'Arable Inputs'!$F$25+0.5*'Arable Inputs'!$F$25</f>
        <v>295.48500000000001</v>
      </c>
      <c r="AF76" s="760">
        <f>'Arable Inputs'!$F$19</f>
        <v>2.6</v>
      </c>
      <c r="AG76" s="760">
        <f>'Arable Inputs'!$F$26+0.5*'Arable Inputs'!$F$26</f>
        <v>63.562499999999986</v>
      </c>
      <c r="AH76" s="762">
        <f>AD76*AE76+AF76*AG76</f>
        <v>933.52350000000001</v>
      </c>
      <c r="AI76" s="197">
        <f>'Arable NPV'!$E156</f>
        <v>330</v>
      </c>
      <c r="AJ76" s="197">
        <f t="shared" si="170"/>
        <v>1263.5235</v>
      </c>
      <c r="AK76" s="197">
        <f>'Arable NPV'!$G156</f>
        <v>327.77441459954235</v>
      </c>
      <c r="AL76" s="197">
        <f>'Arable NPV'!$H156</f>
        <v>704.91322685714283</v>
      </c>
      <c r="AM76" s="197">
        <f t="shared" si="171"/>
        <v>1032.6876414566852</v>
      </c>
      <c r="AN76" s="197">
        <f t="shared" si="172"/>
        <v>-99.164141456685229</v>
      </c>
      <c r="AO76" s="197">
        <f t="shared" si="173"/>
        <v>230.83585854331477</v>
      </c>
      <c r="AP76" s="196">
        <f t="shared" si="174"/>
        <v>635.68407824012138</v>
      </c>
      <c r="AQ76" s="197">
        <f t="shared" si="175"/>
        <v>224.71394219774871</v>
      </c>
      <c r="AR76" s="197">
        <f t="shared" si="176"/>
        <v>703.21003324432422</v>
      </c>
      <c r="AS76" s="197">
        <f t="shared" si="177"/>
        <v>-67.525955004202856</v>
      </c>
      <c r="AT76" s="199">
        <f t="shared" si="178"/>
        <v>157.18798719354587</v>
      </c>
      <c r="AU76" s="196">
        <f t="shared" si="179"/>
        <v>15398.69406769542</v>
      </c>
      <c r="AV76" s="197">
        <f t="shared" si="180"/>
        <v>3839.5352600750457</v>
      </c>
      <c r="AW76" s="197">
        <f t="shared" si="181"/>
        <v>13654.80727654608</v>
      </c>
      <c r="AX76" s="197">
        <f t="shared" si="182"/>
        <v>1743.8867911493414</v>
      </c>
      <c r="AY76" s="199">
        <f t="shared" si="183"/>
        <v>5583.4220512243883</v>
      </c>
      <c r="BB76" s="900">
        <v>14</v>
      </c>
      <c r="BC76" s="902" t="s">
        <v>5</v>
      </c>
      <c r="BD76" s="760">
        <f>'Arable Inputs'!$F$18</f>
        <v>2.6</v>
      </c>
      <c r="BE76" s="760">
        <f>'Arable Inputs'!$F$25-0.5*'Arable Inputs'!$F$25</f>
        <v>98.495000000000005</v>
      </c>
      <c r="BF76" s="760">
        <f>'Arable Inputs'!$F$19</f>
        <v>2.6</v>
      </c>
      <c r="BG76" s="760">
        <f>'Arable Inputs'!$F$26-0.5*'Arable Inputs'!$F$26</f>
        <v>21.187499999999996</v>
      </c>
      <c r="BH76" s="762">
        <f>BD76*BE76+BF76*BG76</f>
        <v>311.17450000000002</v>
      </c>
      <c r="BI76" s="197">
        <f>'Arable NPV'!$E156</f>
        <v>330</v>
      </c>
      <c r="BJ76" s="197">
        <f t="shared" si="184"/>
        <v>641.17450000000008</v>
      </c>
      <c r="BK76" s="197">
        <f>'Arable NPV'!$G156</f>
        <v>327.77441459954235</v>
      </c>
      <c r="BL76" s="197">
        <f>'Arable NPV'!$H156</f>
        <v>704.91322685714283</v>
      </c>
      <c r="BM76" s="197">
        <f t="shared" si="185"/>
        <v>1032.6876414566852</v>
      </c>
      <c r="BN76" s="197">
        <f t="shared" si="186"/>
        <v>-721.51314145668516</v>
      </c>
      <c r="BO76" s="197">
        <f t="shared" si="187"/>
        <v>-391.51314145668516</v>
      </c>
      <c r="BP76" s="196">
        <f t="shared" si="188"/>
        <v>211.89469274670716</v>
      </c>
      <c r="BQ76" s="197">
        <f t="shared" si="189"/>
        <v>224.71394219774871</v>
      </c>
      <c r="BR76" s="197">
        <f t="shared" si="190"/>
        <v>703.21003324432422</v>
      </c>
      <c r="BS76" s="197">
        <f t="shared" si="191"/>
        <v>-491.31534049761706</v>
      </c>
      <c r="BT76" s="199">
        <f t="shared" si="192"/>
        <v>-266.60139829986838</v>
      </c>
      <c r="BU76" s="196">
        <f t="shared" si="193"/>
        <v>5132.8980225651403</v>
      </c>
      <c r="BV76" s="197">
        <f t="shared" si="194"/>
        <v>3839.5352600750457</v>
      </c>
      <c r="BW76" s="197">
        <f t="shared" si="195"/>
        <v>13654.80727654608</v>
      </c>
      <c r="BX76" s="197">
        <f t="shared" si="196"/>
        <v>-8521.909253980939</v>
      </c>
      <c r="BY76" s="199">
        <f t="shared" si="197"/>
        <v>-4682.3739939058933</v>
      </c>
      <c r="CB76" s="900">
        <v>14</v>
      </c>
      <c r="CC76" s="902" t="s">
        <v>5</v>
      </c>
      <c r="CD76" s="760">
        <f>'Arable Inputs'!$F$18</f>
        <v>2.6</v>
      </c>
      <c r="CE76" s="760">
        <f>'Arable Inputs'!$F$25+'Arable Inputs'!$F$25</f>
        <v>393.98</v>
      </c>
      <c r="CF76" s="760">
        <f>'Arable Inputs'!$F$19</f>
        <v>2.6</v>
      </c>
      <c r="CG76" s="760">
        <f>'Arable Inputs'!$F$26+'Arable Inputs'!$F$26</f>
        <v>84.749999999999986</v>
      </c>
      <c r="CH76" s="762">
        <f>CD76*CE76+CF76*CG76</f>
        <v>1244.6980000000001</v>
      </c>
      <c r="CI76" s="197">
        <f>'Arable NPV'!$E156</f>
        <v>330</v>
      </c>
      <c r="CJ76" s="197">
        <f t="shared" si="198"/>
        <v>1574.6980000000001</v>
      </c>
      <c r="CK76" s="197">
        <f>'Arable NPV'!$G156</f>
        <v>327.77441459954235</v>
      </c>
      <c r="CL76" s="197">
        <f>'Arable NPV'!$H156</f>
        <v>704.91322685714283</v>
      </c>
      <c r="CM76" s="197">
        <f t="shared" si="199"/>
        <v>1032.6876414566852</v>
      </c>
      <c r="CN76" s="197">
        <f t="shared" si="200"/>
        <v>212.01035854331485</v>
      </c>
      <c r="CO76" s="197">
        <f t="shared" si="201"/>
        <v>542.01035854331485</v>
      </c>
      <c r="CP76" s="196">
        <f t="shared" si="202"/>
        <v>847.57877098682866</v>
      </c>
      <c r="CQ76" s="197">
        <f t="shared" si="203"/>
        <v>224.71394219774871</v>
      </c>
      <c r="CR76" s="197">
        <f t="shared" si="204"/>
        <v>703.21003324432422</v>
      </c>
      <c r="CS76" s="197">
        <f t="shared" si="205"/>
        <v>144.36873774250435</v>
      </c>
      <c r="CT76" s="199">
        <f t="shared" si="206"/>
        <v>369.08267994025306</v>
      </c>
      <c r="CU76" s="196">
        <f t="shared" si="207"/>
        <v>20531.592090260561</v>
      </c>
      <c r="CV76" s="197">
        <f t="shared" si="208"/>
        <v>3839.5352600750457</v>
      </c>
      <c r="CW76" s="197">
        <f t="shared" si="209"/>
        <v>13654.80727654608</v>
      </c>
      <c r="CX76" s="197">
        <f t="shared" si="210"/>
        <v>6876.7848137144811</v>
      </c>
      <c r="CY76" s="199">
        <f t="shared" si="211"/>
        <v>10716.320073789526</v>
      </c>
      <c r="DB76" s="204">
        <f t="shared" si="226"/>
        <v>14</v>
      </c>
      <c r="DC76" s="902" t="s">
        <v>5</v>
      </c>
      <c r="DD76" s="760">
        <f>'Arable Inputs'!$F$18</f>
        <v>2.6</v>
      </c>
      <c r="DE76" s="760">
        <f>'Arable Inputs'!$F$25-'Arable Inputs'!$F$25</f>
        <v>0</v>
      </c>
      <c r="DF76" s="760">
        <f>'Arable Inputs'!$F$19</f>
        <v>2.6</v>
      </c>
      <c r="DG76" s="760">
        <f>'Arable Inputs'!$F$26-'Arable Inputs'!$F$26</f>
        <v>0</v>
      </c>
      <c r="DH76" s="762">
        <f>DD76*DE76+DF76*DG76</f>
        <v>0</v>
      </c>
      <c r="DI76" s="197">
        <f>'Arable NPV'!$E156</f>
        <v>330</v>
      </c>
      <c r="DJ76" s="197">
        <f t="shared" si="212"/>
        <v>330</v>
      </c>
      <c r="DK76" s="197">
        <f>'Arable NPV'!$G156</f>
        <v>327.77441459954235</v>
      </c>
      <c r="DL76" s="197">
        <f>'Arable NPV'!$H156</f>
        <v>704.91322685714283</v>
      </c>
      <c r="DM76" s="197">
        <f t="shared" si="213"/>
        <v>1032.6876414566852</v>
      </c>
      <c r="DN76" s="197">
        <f t="shared" si="214"/>
        <v>-1032.6876414566852</v>
      </c>
      <c r="DO76" s="197">
        <f t="shared" si="215"/>
        <v>-702.68764145668524</v>
      </c>
      <c r="DP76" s="196">
        <f t="shared" si="216"/>
        <v>0</v>
      </c>
      <c r="DQ76" s="197">
        <f t="shared" si="217"/>
        <v>224.71394219774871</v>
      </c>
      <c r="DR76" s="197">
        <f t="shared" si="218"/>
        <v>703.21003324432422</v>
      </c>
      <c r="DS76" s="197">
        <f t="shared" si="219"/>
        <v>-703.21003324432422</v>
      </c>
      <c r="DT76" s="199">
        <f t="shared" si="220"/>
        <v>-478.49609104657554</v>
      </c>
      <c r="DU76" s="196">
        <f t="shared" si="221"/>
        <v>0</v>
      </c>
      <c r="DV76" s="197">
        <f t="shared" si="222"/>
        <v>3839.5352600750457</v>
      </c>
      <c r="DW76" s="197">
        <f t="shared" si="223"/>
        <v>13654.80727654608</v>
      </c>
      <c r="DX76" s="197">
        <f t="shared" si="224"/>
        <v>-13654.80727654608</v>
      </c>
      <c r="DY76" s="199">
        <f t="shared" si="225"/>
        <v>-9815.2720164710336</v>
      </c>
    </row>
    <row r="77" spans="2:129" x14ac:dyDescent="0.3">
      <c r="B77" s="900">
        <v>15</v>
      </c>
      <c r="C77" s="902" t="s">
        <v>559</v>
      </c>
      <c r="D77" s="760">
        <f>'Arable Inputs'!$E$18</f>
        <v>3.1</v>
      </c>
      <c r="E77" s="760">
        <f>'Arable Inputs'!$E$25</f>
        <v>310.75</v>
      </c>
      <c r="H77" s="762">
        <f>D77*E77</f>
        <v>963.32500000000005</v>
      </c>
      <c r="I77" s="197">
        <f>'Arable NPV'!$E157</f>
        <v>330</v>
      </c>
      <c r="J77" s="197">
        <f t="shared" si="156"/>
        <v>1293.325</v>
      </c>
      <c r="K77" s="197">
        <f>'Arable NPV'!$G157</f>
        <v>300.32802631578949</v>
      </c>
      <c r="L77" s="197">
        <f>'Arable NPV'!$H157</f>
        <v>547.62448399999994</v>
      </c>
      <c r="M77" s="197">
        <f t="shared" si="157"/>
        <v>847.95251031578937</v>
      </c>
      <c r="N77" s="197">
        <f t="shared" si="158"/>
        <v>115.37248968421068</v>
      </c>
      <c r="O77" s="197">
        <f t="shared" si="159"/>
        <v>445.37248968421068</v>
      </c>
      <c r="P77" s="196">
        <f t="shared" si="160"/>
        <v>636.87131029022146</v>
      </c>
      <c r="Q77" s="197">
        <f t="shared" si="161"/>
        <v>218.16887592014436</v>
      </c>
      <c r="R77" s="197">
        <f t="shared" si="162"/>
        <v>560.59650305836476</v>
      </c>
      <c r="S77" s="197">
        <f t="shared" si="163"/>
        <v>76.274807231856641</v>
      </c>
      <c r="T77" s="199">
        <f t="shared" si="164"/>
        <v>294.44368315200097</v>
      </c>
      <c r="U77" s="196">
        <f t="shared" si="165"/>
        <v>10902.667355420503</v>
      </c>
      <c r="V77" s="197">
        <f t="shared" si="166"/>
        <v>4057.70413599519</v>
      </c>
      <c r="W77" s="197">
        <f t="shared" si="167"/>
        <v>14215.403779604445</v>
      </c>
      <c r="X77" s="197">
        <f t="shared" si="168"/>
        <v>-3312.7364241839423</v>
      </c>
      <c r="Y77" s="199">
        <f t="shared" si="169"/>
        <v>744.96771181124745</v>
      </c>
      <c r="Z77" s="197"/>
      <c r="AB77" s="900">
        <v>15</v>
      </c>
      <c r="AC77" s="902" t="s">
        <v>559</v>
      </c>
      <c r="AD77" s="760">
        <f>'Arable Inputs'!$E$18</f>
        <v>3.1</v>
      </c>
      <c r="AE77" s="760">
        <f>'Arable Inputs'!$E$25+0.5*'Arable Inputs'!$E$25</f>
        <v>466.125</v>
      </c>
      <c r="AH77" s="762">
        <f>AD77*AE77</f>
        <v>1444.9875</v>
      </c>
      <c r="AI77" s="197">
        <f>'Arable NPV'!$E157</f>
        <v>330</v>
      </c>
      <c r="AJ77" s="197">
        <f t="shared" si="170"/>
        <v>1774.9875</v>
      </c>
      <c r="AK77" s="197">
        <f>'Arable NPV'!$G157</f>
        <v>300.32802631578949</v>
      </c>
      <c r="AL77" s="197">
        <f>'Arable NPV'!$H157</f>
        <v>547.62448399999994</v>
      </c>
      <c r="AM77" s="197">
        <f t="shared" si="171"/>
        <v>847.95251031578937</v>
      </c>
      <c r="AN77" s="197">
        <f t="shared" si="172"/>
        <v>597.03498968421059</v>
      </c>
      <c r="AO77" s="197">
        <f t="shared" si="173"/>
        <v>927.03498968421059</v>
      </c>
      <c r="AP77" s="196">
        <f t="shared" si="174"/>
        <v>955.30696543533202</v>
      </c>
      <c r="AQ77" s="197">
        <f t="shared" si="175"/>
        <v>218.16887592014436</v>
      </c>
      <c r="AR77" s="197">
        <f t="shared" si="176"/>
        <v>560.59650305836476</v>
      </c>
      <c r="AS77" s="197">
        <f t="shared" si="177"/>
        <v>394.71046237696726</v>
      </c>
      <c r="AT77" s="199">
        <f t="shared" si="178"/>
        <v>612.87933829711164</v>
      </c>
      <c r="AU77" s="196">
        <f t="shared" si="179"/>
        <v>16354.001033130751</v>
      </c>
      <c r="AV77" s="197">
        <f t="shared" si="180"/>
        <v>4057.70413599519</v>
      </c>
      <c r="AW77" s="197">
        <f t="shared" si="181"/>
        <v>14215.403779604445</v>
      </c>
      <c r="AX77" s="197">
        <f t="shared" si="182"/>
        <v>2138.5972535263086</v>
      </c>
      <c r="AY77" s="199">
        <f t="shared" si="183"/>
        <v>6196.3013895214999</v>
      </c>
      <c r="BB77" s="900">
        <v>15</v>
      </c>
      <c r="BC77" s="902" t="s">
        <v>559</v>
      </c>
      <c r="BD77" s="760">
        <f>'Arable Inputs'!$E$18</f>
        <v>3.1</v>
      </c>
      <c r="BE77" s="760">
        <f>'Arable Inputs'!$E$25-0.5*'Arable Inputs'!$E$25</f>
        <v>155.375</v>
      </c>
      <c r="BH77" s="762">
        <f>BD77*BE77</f>
        <v>481.66250000000002</v>
      </c>
      <c r="BI77" s="197">
        <f>'Arable NPV'!$E157</f>
        <v>330</v>
      </c>
      <c r="BJ77" s="197">
        <f t="shared" si="184"/>
        <v>811.66250000000002</v>
      </c>
      <c r="BK77" s="197">
        <f>'Arable NPV'!$G157</f>
        <v>300.32802631578949</v>
      </c>
      <c r="BL77" s="197">
        <f>'Arable NPV'!$H157</f>
        <v>547.62448399999994</v>
      </c>
      <c r="BM77" s="197">
        <f t="shared" si="185"/>
        <v>847.95251031578937</v>
      </c>
      <c r="BN77" s="197">
        <f t="shared" si="186"/>
        <v>-366.29001031578935</v>
      </c>
      <c r="BO77" s="197">
        <f t="shared" si="187"/>
        <v>-36.290010315789345</v>
      </c>
      <c r="BP77" s="196">
        <f t="shared" si="188"/>
        <v>318.43565514511073</v>
      </c>
      <c r="BQ77" s="197">
        <f t="shared" si="189"/>
        <v>218.16887592014436</v>
      </c>
      <c r="BR77" s="197">
        <f t="shared" si="190"/>
        <v>560.59650305836476</v>
      </c>
      <c r="BS77" s="197">
        <f t="shared" si="191"/>
        <v>-242.16084791325406</v>
      </c>
      <c r="BT77" s="199">
        <f t="shared" si="192"/>
        <v>-23.991971993109711</v>
      </c>
      <c r="BU77" s="196">
        <f t="shared" si="193"/>
        <v>5451.3336777102513</v>
      </c>
      <c r="BV77" s="197">
        <f t="shared" si="194"/>
        <v>4057.70413599519</v>
      </c>
      <c r="BW77" s="197">
        <f t="shared" si="195"/>
        <v>14215.403779604445</v>
      </c>
      <c r="BX77" s="197">
        <f t="shared" si="196"/>
        <v>-8764.0701018941927</v>
      </c>
      <c r="BY77" s="199">
        <f t="shared" si="197"/>
        <v>-4706.3659658990027</v>
      </c>
      <c r="CB77" s="900">
        <v>15</v>
      </c>
      <c r="CC77" s="902" t="s">
        <v>559</v>
      </c>
      <c r="CD77" s="760">
        <f>'Arable Inputs'!$E$18</f>
        <v>3.1</v>
      </c>
      <c r="CE77" s="760">
        <f>'Arable Inputs'!$E$25+'Arable Inputs'!$E$25</f>
        <v>621.5</v>
      </c>
      <c r="CH77" s="762">
        <f>CD77*CE77</f>
        <v>1926.65</v>
      </c>
      <c r="CI77" s="197">
        <f>'Arable NPV'!$E157</f>
        <v>330</v>
      </c>
      <c r="CJ77" s="197">
        <f t="shared" si="198"/>
        <v>2256.65</v>
      </c>
      <c r="CK77" s="197">
        <f>'Arable NPV'!$G157</f>
        <v>300.32802631578949</v>
      </c>
      <c r="CL77" s="197">
        <f>'Arable NPV'!$H157</f>
        <v>547.62448399999994</v>
      </c>
      <c r="CM77" s="197">
        <f t="shared" si="199"/>
        <v>847.95251031578937</v>
      </c>
      <c r="CN77" s="197">
        <f t="shared" si="200"/>
        <v>1078.6974896842107</v>
      </c>
      <c r="CO77" s="197">
        <f t="shared" si="201"/>
        <v>1408.6974896842107</v>
      </c>
      <c r="CP77" s="196">
        <f t="shared" si="202"/>
        <v>1273.7426205804429</v>
      </c>
      <c r="CQ77" s="197">
        <f t="shared" si="203"/>
        <v>218.16887592014436</v>
      </c>
      <c r="CR77" s="197">
        <f t="shared" si="204"/>
        <v>560.59650305836476</v>
      </c>
      <c r="CS77" s="197">
        <f t="shared" si="205"/>
        <v>713.14611752207804</v>
      </c>
      <c r="CT77" s="199">
        <f t="shared" si="206"/>
        <v>931.31499344222243</v>
      </c>
      <c r="CU77" s="196">
        <f t="shared" si="207"/>
        <v>21805.334710841005</v>
      </c>
      <c r="CV77" s="197">
        <f t="shared" si="208"/>
        <v>4057.70413599519</v>
      </c>
      <c r="CW77" s="197">
        <f t="shared" si="209"/>
        <v>14215.403779604445</v>
      </c>
      <c r="CX77" s="197">
        <f t="shared" si="210"/>
        <v>7589.9309312365594</v>
      </c>
      <c r="CY77" s="199">
        <f t="shared" si="211"/>
        <v>11647.635067231748</v>
      </c>
      <c r="DB77" s="204">
        <f t="shared" si="226"/>
        <v>15</v>
      </c>
      <c r="DC77" s="902" t="s">
        <v>559</v>
      </c>
      <c r="DD77" s="760">
        <f>'Arable Inputs'!$E$18</f>
        <v>3.1</v>
      </c>
      <c r="DE77" s="760">
        <f>'Arable Inputs'!$E$25-'Arable Inputs'!$E$25</f>
        <v>0</v>
      </c>
      <c r="DH77" s="762">
        <f>DD77*DE77</f>
        <v>0</v>
      </c>
      <c r="DI77" s="197">
        <f>'Arable NPV'!$E157</f>
        <v>330</v>
      </c>
      <c r="DJ77" s="197">
        <f t="shared" si="212"/>
        <v>330</v>
      </c>
      <c r="DK77" s="197">
        <f>'Arable NPV'!$G157</f>
        <v>300.32802631578949</v>
      </c>
      <c r="DL77" s="197">
        <f>'Arable NPV'!$H157</f>
        <v>547.62448399999994</v>
      </c>
      <c r="DM77" s="197">
        <f t="shared" si="213"/>
        <v>847.95251031578937</v>
      </c>
      <c r="DN77" s="197">
        <f t="shared" si="214"/>
        <v>-847.95251031578937</v>
      </c>
      <c r="DO77" s="197">
        <f t="shared" si="215"/>
        <v>-517.95251031578937</v>
      </c>
      <c r="DP77" s="196">
        <f t="shared" si="216"/>
        <v>0</v>
      </c>
      <c r="DQ77" s="197">
        <f t="shared" si="217"/>
        <v>218.16887592014436</v>
      </c>
      <c r="DR77" s="197">
        <f t="shared" si="218"/>
        <v>560.59650305836476</v>
      </c>
      <c r="DS77" s="197">
        <f t="shared" si="219"/>
        <v>-560.59650305836476</v>
      </c>
      <c r="DT77" s="199">
        <f t="shared" si="220"/>
        <v>-342.42762713822043</v>
      </c>
      <c r="DU77" s="196">
        <f t="shared" si="221"/>
        <v>0</v>
      </c>
      <c r="DV77" s="197">
        <f t="shared" si="222"/>
        <v>4057.70413599519</v>
      </c>
      <c r="DW77" s="197">
        <f t="shared" si="223"/>
        <v>14215.403779604445</v>
      </c>
      <c r="DX77" s="197">
        <f t="shared" si="224"/>
        <v>-14215.403779604445</v>
      </c>
      <c r="DY77" s="199">
        <f t="shared" si="225"/>
        <v>-10157.699643609254</v>
      </c>
    </row>
    <row r="78" spans="2:129" x14ac:dyDescent="0.3">
      <c r="B78" s="901">
        <v>16</v>
      </c>
      <c r="C78" s="903" t="s">
        <v>4</v>
      </c>
      <c r="D78" s="761">
        <f>'Arable Inputs'!$D$18</f>
        <v>5.5</v>
      </c>
      <c r="E78" s="761">
        <f>'Arable Inputs'!$D$25</f>
        <v>210</v>
      </c>
      <c r="F78" s="761">
        <f>'Arable Inputs'!$D$19</f>
        <v>3.9</v>
      </c>
      <c r="G78" s="761">
        <f>'Arable Inputs'!$D$26</f>
        <v>73.449999999999989</v>
      </c>
      <c r="H78" s="207">
        <f>D78*E78+F78*G78</f>
        <v>1441.4549999999999</v>
      </c>
      <c r="I78" s="207">
        <f>'Arable NPV'!$E158</f>
        <v>330</v>
      </c>
      <c r="J78" s="207">
        <f t="shared" si="156"/>
        <v>1771.4549999999999</v>
      </c>
      <c r="K78" s="207">
        <f>'Arable NPV'!$G158</f>
        <v>622.34710631578946</v>
      </c>
      <c r="L78" s="207">
        <f>'Arable NPV'!$H158</f>
        <v>943.00233600000001</v>
      </c>
      <c r="M78" s="207">
        <f t="shared" si="157"/>
        <v>1565.3494423157895</v>
      </c>
      <c r="N78" s="207">
        <f t="shared" si="158"/>
        <v>-123.89444231578955</v>
      </c>
      <c r="O78" s="207">
        <f t="shared" si="159"/>
        <v>206.10555768421045</v>
      </c>
      <c r="P78" s="208">
        <f t="shared" si="160"/>
        <v>925.21511338473567</v>
      </c>
      <c r="Q78" s="207">
        <f t="shared" si="161"/>
        <v>211.81444264091684</v>
      </c>
      <c r="R78" s="207">
        <f t="shared" si="162"/>
        <v>1004.7382414011786</v>
      </c>
      <c r="S78" s="207">
        <f t="shared" si="163"/>
        <v>-79.523128016442982</v>
      </c>
      <c r="T78" s="209">
        <f>O78/(1+$B$4)^(B78-1)</f>
        <v>132.29131462447384</v>
      </c>
      <c r="U78" s="208">
        <f t="shared" si="165"/>
        <v>11827.882468805239</v>
      </c>
      <c r="V78" s="207">
        <f t="shared" si="166"/>
        <v>4269.5185786361071</v>
      </c>
      <c r="W78" s="207">
        <f t="shared" si="167"/>
        <v>15220.142021005624</v>
      </c>
      <c r="X78" s="207">
        <f t="shared" si="168"/>
        <v>-3392.2595522003853</v>
      </c>
      <c r="Y78" s="209">
        <f t="shared" si="169"/>
        <v>877.25902643572135</v>
      </c>
      <c r="Z78" s="197"/>
      <c r="AB78" s="901">
        <v>16</v>
      </c>
      <c r="AC78" s="903" t="s">
        <v>4</v>
      </c>
      <c r="AD78" s="761">
        <f>'Arable Inputs'!$D$18</f>
        <v>5.5</v>
      </c>
      <c r="AE78" s="761">
        <f>'Arable Inputs'!$D$25+0.5*'Arable Inputs'!$D$25</f>
        <v>315</v>
      </c>
      <c r="AF78" s="761">
        <f>'Arable Inputs'!$D$19</f>
        <v>3.9</v>
      </c>
      <c r="AG78" s="761">
        <f>'Arable Inputs'!$D$26+0.5*'Arable Inputs'!$D$26</f>
        <v>110.17499999999998</v>
      </c>
      <c r="AH78" s="207">
        <f>AD78*AE78+AF78*AG78</f>
        <v>2162.1824999999999</v>
      </c>
      <c r="AI78" s="207">
        <f>'Arable NPV'!$E158</f>
        <v>330</v>
      </c>
      <c r="AJ78" s="207">
        <f t="shared" si="170"/>
        <v>2492.1824999999999</v>
      </c>
      <c r="AK78" s="207">
        <f>'Arable NPV'!$G158</f>
        <v>622.34710631578946</v>
      </c>
      <c r="AL78" s="207">
        <f>'Arable NPV'!$H158</f>
        <v>943.00233600000001</v>
      </c>
      <c r="AM78" s="207">
        <f t="shared" si="171"/>
        <v>1565.3494423157895</v>
      </c>
      <c r="AN78" s="207">
        <f t="shared" si="172"/>
        <v>596.83305768421042</v>
      </c>
      <c r="AO78" s="207">
        <f t="shared" si="173"/>
        <v>926.83305768421042</v>
      </c>
      <c r="AP78" s="208">
        <f t="shared" si="174"/>
        <v>1387.8226700771036</v>
      </c>
      <c r="AQ78" s="207">
        <f t="shared" si="175"/>
        <v>211.81444264091684</v>
      </c>
      <c r="AR78" s="207">
        <f t="shared" si="176"/>
        <v>1004.7382414011786</v>
      </c>
      <c r="AS78" s="207">
        <f t="shared" si="177"/>
        <v>383.08442867592481</v>
      </c>
      <c r="AT78" s="209">
        <f>AO78/(1+$B$4)^(AB78-1)</f>
        <v>594.89887131684168</v>
      </c>
      <c r="AU78" s="208">
        <f t="shared" si="179"/>
        <v>17741.823703207854</v>
      </c>
      <c r="AV78" s="207">
        <f t="shared" si="180"/>
        <v>4269.5185786361071</v>
      </c>
      <c r="AW78" s="207">
        <f t="shared" si="181"/>
        <v>15220.142021005624</v>
      </c>
      <c r="AX78" s="207">
        <f t="shared" si="182"/>
        <v>2521.6816822022333</v>
      </c>
      <c r="AY78" s="209">
        <f t="shared" si="183"/>
        <v>6791.2002608383418</v>
      </c>
      <c r="BB78" s="901">
        <v>16</v>
      </c>
      <c r="BC78" s="903" t="s">
        <v>4</v>
      </c>
      <c r="BD78" s="761">
        <f>'Arable Inputs'!$D$18</f>
        <v>5.5</v>
      </c>
      <c r="BE78" s="761">
        <f>'Arable Inputs'!$D$25-0.5*'Arable Inputs'!$D$25</f>
        <v>105</v>
      </c>
      <c r="BF78" s="761">
        <f>'Arable Inputs'!$D$19</f>
        <v>3.9</v>
      </c>
      <c r="BG78" s="761">
        <f>'Arable Inputs'!$D$26-0.5*'Arable Inputs'!$D$26</f>
        <v>36.724999999999994</v>
      </c>
      <c r="BH78" s="207">
        <f>BD78*BE78+BF78*BG78</f>
        <v>720.72749999999996</v>
      </c>
      <c r="BI78" s="207">
        <f>'Arable NPV'!$E158</f>
        <v>330</v>
      </c>
      <c r="BJ78" s="207">
        <f t="shared" si="184"/>
        <v>1050.7275</v>
      </c>
      <c r="BK78" s="207">
        <f>'Arable NPV'!$G158</f>
        <v>622.34710631578946</v>
      </c>
      <c r="BL78" s="207">
        <f>'Arable NPV'!$H158</f>
        <v>943.00233600000001</v>
      </c>
      <c r="BM78" s="207">
        <f>BK78+BL78</f>
        <v>1565.3494423157895</v>
      </c>
      <c r="BN78" s="207">
        <f t="shared" si="186"/>
        <v>-844.62194231578951</v>
      </c>
      <c r="BO78" s="207">
        <f t="shared" si="187"/>
        <v>-514.62194231578951</v>
      </c>
      <c r="BP78" s="208">
        <f t="shared" si="188"/>
        <v>462.60755669236784</v>
      </c>
      <c r="BQ78" s="207">
        <f t="shared" si="189"/>
        <v>211.81444264091684</v>
      </c>
      <c r="BR78" s="207">
        <f t="shared" si="190"/>
        <v>1004.7382414011786</v>
      </c>
      <c r="BS78" s="207">
        <f t="shared" si="191"/>
        <v>-542.1306847088108</v>
      </c>
      <c r="BT78" s="209">
        <f>BO78/(1+$B$4)^(BB78-1)</f>
        <v>-330.316242067894</v>
      </c>
      <c r="BU78" s="208">
        <f t="shared" si="193"/>
        <v>5913.9412344026196</v>
      </c>
      <c r="BV78" s="207">
        <f t="shared" si="194"/>
        <v>4269.5185786361071</v>
      </c>
      <c r="BW78" s="207">
        <f t="shared" si="195"/>
        <v>15220.142021005624</v>
      </c>
      <c r="BX78" s="207">
        <f t="shared" si="196"/>
        <v>-9306.2007866030035</v>
      </c>
      <c r="BY78" s="209">
        <f t="shared" si="197"/>
        <v>-5036.6822079668964</v>
      </c>
      <c r="CB78" s="901">
        <v>16</v>
      </c>
      <c r="CC78" s="903" t="s">
        <v>4</v>
      </c>
      <c r="CD78" s="761">
        <f>'Arable Inputs'!$D$18</f>
        <v>5.5</v>
      </c>
      <c r="CE78" s="761">
        <f>'Arable Inputs'!$D$25+'Arable Inputs'!$D$25</f>
        <v>420</v>
      </c>
      <c r="CF78" s="761">
        <f>'Arable Inputs'!$D$19</f>
        <v>3.9</v>
      </c>
      <c r="CG78" s="761">
        <f>'Arable Inputs'!$D$26+'Arable Inputs'!$D$26</f>
        <v>146.89999999999998</v>
      </c>
      <c r="CH78" s="207">
        <f>CD78*CE78+CF78*CG78</f>
        <v>2882.91</v>
      </c>
      <c r="CI78" s="207">
        <f>'Arable NPV'!$E158</f>
        <v>330</v>
      </c>
      <c r="CJ78" s="207">
        <f t="shared" si="198"/>
        <v>3212.91</v>
      </c>
      <c r="CK78" s="207">
        <f>'Arable NPV'!$G158</f>
        <v>622.34710631578946</v>
      </c>
      <c r="CL78" s="207">
        <f>'Arable NPV'!$H158</f>
        <v>943.00233600000001</v>
      </c>
      <c r="CM78" s="207">
        <f t="shared" si="199"/>
        <v>1565.3494423157895</v>
      </c>
      <c r="CN78" s="207">
        <f t="shared" si="200"/>
        <v>1317.5605576842104</v>
      </c>
      <c r="CO78" s="207">
        <f t="shared" si="201"/>
        <v>1647.5605576842104</v>
      </c>
      <c r="CP78" s="208">
        <f t="shared" si="202"/>
        <v>1850.4302267694713</v>
      </c>
      <c r="CQ78" s="207">
        <f t="shared" si="203"/>
        <v>211.81444264091684</v>
      </c>
      <c r="CR78" s="207">
        <f t="shared" si="204"/>
        <v>1004.7382414011786</v>
      </c>
      <c r="CS78" s="207">
        <f t="shared" si="205"/>
        <v>845.69198536829265</v>
      </c>
      <c r="CT78" s="209">
        <f>CO78/(1+$B$4)^(CB78-1)</f>
        <v>1057.5064280092095</v>
      </c>
      <c r="CU78" s="208">
        <f t="shared" si="207"/>
        <v>23655.764937610478</v>
      </c>
      <c r="CV78" s="207">
        <f t="shared" si="208"/>
        <v>4269.5185786361071</v>
      </c>
      <c r="CW78" s="207">
        <f t="shared" si="209"/>
        <v>15220.142021005624</v>
      </c>
      <c r="CX78" s="207">
        <f t="shared" si="210"/>
        <v>8435.6229166048524</v>
      </c>
      <c r="CY78" s="209">
        <f t="shared" si="211"/>
        <v>12705.141495240958</v>
      </c>
      <c r="DB78" s="206">
        <f t="shared" si="226"/>
        <v>16</v>
      </c>
      <c r="DC78" s="903" t="s">
        <v>4</v>
      </c>
      <c r="DD78" s="761">
        <f>'Arable Inputs'!$D$18</f>
        <v>5.5</v>
      </c>
      <c r="DE78" s="761">
        <f>'Arable Inputs'!$D$25-'Arable Inputs'!$D$25</f>
        <v>0</v>
      </c>
      <c r="DF78" s="761">
        <f>'Arable Inputs'!$D$19</f>
        <v>3.9</v>
      </c>
      <c r="DG78" s="761">
        <f>'Arable Inputs'!$D$26-'Arable Inputs'!$D$26</f>
        <v>0</v>
      </c>
      <c r="DH78" s="207">
        <f>DD78*DE78+DF78*DG78</f>
        <v>0</v>
      </c>
      <c r="DI78" s="207">
        <f>'Arable NPV'!$E158</f>
        <v>330</v>
      </c>
      <c r="DJ78" s="207">
        <f t="shared" si="212"/>
        <v>330</v>
      </c>
      <c r="DK78" s="207">
        <f>'Arable NPV'!$G158</f>
        <v>622.34710631578946</v>
      </c>
      <c r="DL78" s="207">
        <f>'Arable NPV'!$H158</f>
        <v>943.00233600000001</v>
      </c>
      <c r="DM78" s="207">
        <f t="shared" si="213"/>
        <v>1565.3494423157895</v>
      </c>
      <c r="DN78" s="207">
        <f t="shared" si="214"/>
        <v>-1565.3494423157895</v>
      </c>
      <c r="DO78" s="207">
        <f t="shared" si="215"/>
        <v>-1235.3494423157895</v>
      </c>
      <c r="DP78" s="208">
        <f t="shared" si="216"/>
        <v>0</v>
      </c>
      <c r="DQ78" s="207">
        <f t="shared" si="217"/>
        <v>211.81444264091684</v>
      </c>
      <c r="DR78" s="207">
        <f t="shared" si="218"/>
        <v>1004.7382414011786</v>
      </c>
      <c r="DS78" s="207">
        <f t="shared" si="219"/>
        <v>-1004.7382414011786</v>
      </c>
      <c r="DT78" s="209">
        <f>DO78/(1+$B$4)^(DB78-1)</f>
        <v>-792.92379876026177</v>
      </c>
      <c r="DU78" s="208">
        <f t="shared" si="221"/>
        <v>0</v>
      </c>
      <c r="DV78" s="207">
        <f t="shared" si="222"/>
        <v>4269.5185786361071</v>
      </c>
      <c r="DW78" s="207">
        <f t="shared" si="223"/>
        <v>15220.142021005624</v>
      </c>
      <c r="DX78" s="207">
        <f t="shared" si="224"/>
        <v>-15220.142021005624</v>
      </c>
      <c r="DY78" s="209">
        <f t="shared" si="225"/>
        <v>-10950.623442369515</v>
      </c>
    </row>
    <row r="84" spans="2:119" x14ac:dyDescent="0.3">
      <c r="B84" s="211" t="s">
        <v>91</v>
      </c>
      <c r="C84" s="763" t="s">
        <v>384</v>
      </c>
      <c r="D84" s="269" t="s">
        <v>395</v>
      </c>
      <c r="E84" s="906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Z84" s="211" t="s">
        <v>91</v>
      </c>
      <c r="AA84" s="211" t="s">
        <v>304</v>
      </c>
      <c r="AB84" s="909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X84" s="211" t="s">
        <v>91</v>
      </c>
      <c r="AY84" s="211" t="s">
        <v>315</v>
      </c>
      <c r="AZ84" s="908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91</v>
      </c>
      <c r="BW84" s="211" t="s">
        <v>316</v>
      </c>
      <c r="BX84" s="908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91</v>
      </c>
      <c r="CU84" s="211" t="s">
        <v>317</v>
      </c>
      <c r="CV84" s="908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108"/>
      <c r="F85" s="1108"/>
      <c r="G85" s="1108"/>
      <c r="H85" s="148"/>
      <c r="I85" s="931"/>
      <c r="J85" s="1108"/>
      <c r="K85" s="1108"/>
      <c r="L85" s="148"/>
      <c r="M85" s="148"/>
      <c r="N85" s="1109" t="s">
        <v>270</v>
      </c>
      <c r="O85" s="1110"/>
      <c r="P85" s="1110"/>
      <c r="Q85" s="1110"/>
      <c r="R85" s="1111"/>
      <c r="S85" s="1109" t="s">
        <v>271</v>
      </c>
      <c r="T85" s="1110"/>
      <c r="U85" s="1110"/>
      <c r="V85" s="1110"/>
      <c r="W85" s="1111"/>
      <c r="X85" s="1001"/>
      <c r="Z85" s="203"/>
      <c r="AA85" s="148"/>
      <c r="AB85" s="148"/>
      <c r="AC85" s="1108"/>
      <c r="AD85" s="1108"/>
      <c r="AE85" s="1108"/>
      <c r="AF85" s="148"/>
      <c r="AG85" s="931"/>
      <c r="AH85" s="1108"/>
      <c r="AI85" s="1108"/>
      <c r="AJ85" s="148"/>
      <c r="AK85" s="148"/>
      <c r="AL85" s="1109" t="s">
        <v>270</v>
      </c>
      <c r="AM85" s="1110"/>
      <c r="AN85" s="1110"/>
      <c r="AO85" s="1110"/>
      <c r="AP85" s="1111"/>
      <c r="AQ85" s="1109" t="s">
        <v>271</v>
      </c>
      <c r="AR85" s="1110"/>
      <c r="AS85" s="1110"/>
      <c r="AT85" s="1110"/>
      <c r="AU85" s="1111"/>
      <c r="AV85" s="1001"/>
      <c r="AX85" s="203"/>
      <c r="AY85" s="148"/>
      <c r="AZ85" s="148"/>
      <c r="BA85" s="1108"/>
      <c r="BB85" s="1108"/>
      <c r="BC85" s="1108"/>
      <c r="BD85" s="148"/>
      <c r="BE85" s="931"/>
      <c r="BF85" s="1108"/>
      <c r="BG85" s="1108"/>
      <c r="BH85" s="148"/>
      <c r="BI85" s="148"/>
      <c r="BJ85" s="1109" t="s">
        <v>270</v>
      </c>
      <c r="BK85" s="1110"/>
      <c r="BL85" s="1110"/>
      <c r="BM85" s="1110"/>
      <c r="BN85" s="1111"/>
      <c r="BO85" s="1109" t="s">
        <v>271</v>
      </c>
      <c r="BP85" s="1110"/>
      <c r="BQ85" s="1110"/>
      <c r="BR85" s="1110"/>
      <c r="BS85" s="1111"/>
      <c r="BV85" s="203"/>
      <c r="BW85" s="148"/>
      <c r="BX85" s="148"/>
      <c r="BY85" s="992"/>
      <c r="BZ85" s="992"/>
      <c r="CA85" s="992"/>
      <c r="CB85" s="148"/>
      <c r="CC85" s="931"/>
      <c r="CD85" s="992"/>
      <c r="CE85" s="992"/>
      <c r="CF85" s="148"/>
      <c r="CG85" s="148"/>
      <c r="CH85" s="993" t="s">
        <v>270</v>
      </c>
      <c r="CI85" s="994"/>
      <c r="CJ85" s="994"/>
      <c r="CK85" s="994"/>
      <c r="CL85" s="995"/>
      <c r="CM85" s="993" t="s">
        <v>271</v>
      </c>
      <c r="CN85" s="994"/>
      <c r="CO85" s="994"/>
      <c r="CP85" s="994"/>
      <c r="CQ85" s="995"/>
      <c r="CT85" s="203"/>
      <c r="CU85" s="148"/>
      <c r="CV85" s="148"/>
      <c r="CW85" s="992"/>
      <c r="CX85" s="992"/>
      <c r="CY85" s="992"/>
      <c r="CZ85" s="148"/>
      <c r="DA85" s="931"/>
      <c r="DB85" s="992"/>
      <c r="DC85" s="992"/>
      <c r="DD85" s="148"/>
      <c r="DE85" s="148"/>
      <c r="DF85" s="993" t="s">
        <v>270</v>
      </c>
      <c r="DG85" s="994"/>
      <c r="DH85" s="994"/>
      <c r="DI85" s="994"/>
      <c r="DJ85" s="995"/>
      <c r="DK85" s="993" t="s">
        <v>271</v>
      </c>
      <c r="DL85" s="994"/>
      <c r="DM85" s="994"/>
      <c r="DN85" s="994"/>
      <c r="DO85" s="995"/>
    </row>
    <row r="86" spans="2:119" ht="51" x14ac:dyDescent="0.3">
      <c r="B86" s="204" t="s">
        <v>272</v>
      </c>
      <c r="C86" s="205" t="s">
        <v>289</v>
      </c>
      <c r="D86" s="205" t="s">
        <v>290</v>
      </c>
      <c r="E86" s="171" t="s">
        <v>676</v>
      </c>
      <c r="F86" s="171" t="s">
        <v>672</v>
      </c>
      <c r="G86" s="171" t="s">
        <v>677</v>
      </c>
      <c r="H86" s="205" t="s">
        <v>287</v>
      </c>
      <c r="I86" s="935" t="str">
        <f>'Energy NPV'!U11</f>
        <v>Total Recurring Costs</v>
      </c>
      <c r="J86" s="205" t="s">
        <v>291</v>
      </c>
      <c r="K86" s="171" t="s">
        <v>276</v>
      </c>
      <c r="L86" s="171" t="s">
        <v>678</v>
      </c>
      <c r="M86" s="171" t="s">
        <v>679</v>
      </c>
      <c r="N86" s="195" t="s">
        <v>277</v>
      </c>
      <c r="O86" s="171" t="s">
        <v>680</v>
      </c>
      <c r="P86" s="171" t="s">
        <v>278</v>
      </c>
      <c r="Q86" s="171" t="s">
        <v>681</v>
      </c>
      <c r="R86" s="198" t="s">
        <v>279</v>
      </c>
      <c r="S86" s="195" t="s">
        <v>280</v>
      </c>
      <c r="T86" s="171" t="s">
        <v>682</v>
      </c>
      <c r="U86" s="171" t="s">
        <v>281</v>
      </c>
      <c r="V86" s="171" t="s">
        <v>683</v>
      </c>
      <c r="W86" s="198" t="s">
        <v>282</v>
      </c>
      <c r="X86" s="171"/>
      <c r="Z86" s="204" t="s">
        <v>272</v>
      </c>
      <c r="AA86" s="205" t="s">
        <v>289</v>
      </c>
      <c r="AB86" s="205" t="s">
        <v>290</v>
      </c>
      <c r="AC86" s="171" t="s">
        <v>676</v>
      </c>
      <c r="AD86" s="171" t="s">
        <v>672</v>
      </c>
      <c r="AE86" s="171" t="s">
        <v>677</v>
      </c>
      <c r="AF86" s="205" t="s">
        <v>287</v>
      </c>
      <c r="AG86" s="935" t="str">
        <f>'Energy NPV'!U11</f>
        <v>Total Recurring Costs</v>
      </c>
      <c r="AH86" s="205" t="s">
        <v>291</v>
      </c>
      <c r="AI86" s="171" t="s">
        <v>276</v>
      </c>
      <c r="AJ86" s="171" t="s">
        <v>678</v>
      </c>
      <c r="AK86" s="171" t="s">
        <v>679</v>
      </c>
      <c r="AL86" s="195" t="s">
        <v>277</v>
      </c>
      <c r="AM86" s="171" t="s">
        <v>680</v>
      </c>
      <c r="AN86" s="171" t="s">
        <v>278</v>
      </c>
      <c r="AO86" s="171" t="s">
        <v>681</v>
      </c>
      <c r="AP86" s="198" t="s">
        <v>279</v>
      </c>
      <c r="AQ86" s="195" t="s">
        <v>280</v>
      </c>
      <c r="AR86" s="171" t="s">
        <v>682</v>
      </c>
      <c r="AS86" s="171" t="s">
        <v>281</v>
      </c>
      <c r="AT86" s="171" t="s">
        <v>683</v>
      </c>
      <c r="AU86" s="198" t="s">
        <v>282</v>
      </c>
      <c r="AV86" s="171"/>
      <c r="AX86" s="204" t="s">
        <v>272</v>
      </c>
      <c r="AY86" s="205" t="s">
        <v>289</v>
      </c>
      <c r="AZ86" s="205" t="s">
        <v>290</v>
      </c>
      <c r="BA86" s="171" t="s">
        <v>676</v>
      </c>
      <c r="BB86" s="171" t="s">
        <v>672</v>
      </c>
      <c r="BC86" s="171" t="s">
        <v>677</v>
      </c>
      <c r="BD86" s="205" t="s">
        <v>287</v>
      </c>
      <c r="BE86" s="935" t="str">
        <f>'Energy NPV'!U11</f>
        <v>Total Recurring Costs</v>
      </c>
      <c r="BF86" s="205" t="s">
        <v>291</v>
      </c>
      <c r="BG86" s="171" t="s">
        <v>276</v>
      </c>
      <c r="BH86" s="171" t="s">
        <v>678</v>
      </c>
      <c r="BI86" s="171" t="s">
        <v>679</v>
      </c>
      <c r="BJ86" s="195" t="s">
        <v>277</v>
      </c>
      <c r="BK86" s="171" t="s">
        <v>680</v>
      </c>
      <c r="BL86" s="171" t="s">
        <v>278</v>
      </c>
      <c r="BM86" s="171" t="s">
        <v>681</v>
      </c>
      <c r="BN86" s="198" t="s">
        <v>279</v>
      </c>
      <c r="BO86" s="195" t="s">
        <v>280</v>
      </c>
      <c r="BP86" s="171" t="s">
        <v>682</v>
      </c>
      <c r="BQ86" s="171" t="s">
        <v>281</v>
      </c>
      <c r="BR86" s="171" t="s">
        <v>683</v>
      </c>
      <c r="BS86" s="198" t="s">
        <v>282</v>
      </c>
      <c r="BV86" s="204" t="s">
        <v>272</v>
      </c>
      <c r="BW86" s="205" t="s">
        <v>289</v>
      </c>
      <c r="BX86" s="205" t="s">
        <v>290</v>
      </c>
      <c r="BY86" s="171" t="s">
        <v>676</v>
      </c>
      <c r="BZ86" s="171" t="s">
        <v>672</v>
      </c>
      <c r="CA86" s="171" t="s">
        <v>677</v>
      </c>
      <c r="CB86" s="205" t="s">
        <v>287</v>
      </c>
      <c r="CC86" s="935" t="str">
        <f>'Energy NPV'!U11</f>
        <v>Total Recurring Costs</v>
      </c>
      <c r="CD86" s="205" t="s">
        <v>291</v>
      </c>
      <c r="CE86" s="171" t="s">
        <v>276</v>
      </c>
      <c r="CF86" s="171" t="s">
        <v>678</v>
      </c>
      <c r="CG86" s="171" t="s">
        <v>679</v>
      </c>
      <c r="CH86" s="195" t="s">
        <v>277</v>
      </c>
      <c r="CI86" s="171" t="s">
        <v>680</v>
      </c>
      <c r="CJ86" s="171" t="s">
        <v>278</v>
      </c>
      <c r="CK86" s="171" t="s">
        <v>681</v>
      </c>
      <c r="CL86" s="198" t="s">
        <v>279</v>
      </c>
      <c r="CM86" s="195" t="s">
        <v>280</v>
      </c>
      <c r="CN86" s="171" t="s">
        <v>682</v>
      </c>
      <c r="CO86" s="171" t="s">
        <v>281</v>
      </c>
      <c r="CP86" s="171" t="s">
        <v>683</v>
      </c>
      <c r="CQ86" s="198" t="s">
        <v>282</v>
      </c>
      <c r="CT86" s="204" t="s">
        <v>272</v>
      </c>
      <c r="CU86" s="205" t="s">
        <v>289</v>
      </c>
      <c r="CV86" s="205" t="s">
        <v>290</v>
      </c>
      <c r="CW86" s="171" t="s">
        <v>676</v>
      </c>
      <c r="CX86" s="171" t="s">
        <v>672</v>
      </c>
      <c r="CY86" s="171" t="s">
        <v>677</v>
      </c>
      <c r="CZ86" s="205" t="s">
        <v>287</v>
      </c>
      <c r="DA86" s="935" t="str">
        <f>'Energy NPV'!U11</f>
        <v>Total Recurring Costs</v>
      </c>
      <c r="DB86" s="205" t="s">
        <v>291</v>
      </c>
      <c r="DC86" s="171" t="s">
        <v>276</v>
      </c>
      <c r="DD86" s="171" t="s">
        <v>678</v>
      </c>
      <c r="DE86" s="171" t="s">
        <v>679</v>
      </c>
      <c r="DF86" s="195" t="s">
        <v>277</v>
      </c>
      <c r="DG86" s="171" t="s">
        <v>680</v>
      </c>
      <c r="DH86" s="171" t="s">
        <v>278</v>
      </c>
      <c r="DI86" s="171" t="s">
        <v>681</v>
      </c>
      <c r="DJ86" s="198" t="s">
        <v>279</v>
      </c>
      <c r="DK86" s="195" t="s">
        <v>280</v>
      </c>
      <c r="DL86" s="171" t="s">
        <v>682</v>
      </c>
      <c r="DM86" s="171" t="s">
        <v>281</v>
      </c>
      <c r="DN86" s="171" t="s">
        <v>683</v>
      </c>
      <c r="DO86" s="198" t="s">
        <v>282</v>
      </c>
    </row>
    <row r="87" spans="2:119" x14ac:dyDescent="0.3">
      <c r="B87" s="173"/>
      <c r="C87" s="226" t="s">
        <v>332</v>
      </c>
      <c r="D87" s="226" t="s">
        <v>569</v>
      </c>
      <c r="E87" s="201" t="s">
        <v>567</v>
      </c>
      <c r="F87" s="201" t="s">
        <v>567</v>
      </c>
      <c r="G87" s="201" t="s">
        <v>567</v>
      </c>
      <c r="H87" s="201" t="s">
        <v>567</v>
      </c>
      <c r="I87" s="969" t="str">
        <f>'Energy NPV'!U12</f>
        <v>(€ ha-1)</v>
      </c>
      <c r="J87" s="201" t="s">
        <v>567</v>
      </c>
      <c r="K87" s="201" t="s">
        <v>567</v>
      </c>
      <c r="L87" s="201" t="s">
        <v>567</v>
      </c>
      <c r="M87" s="202" t="s">
        <v>567</v>
      </c>
      <c r="N87" s="201" t="s">
        <v>567</v>
      </c>
      <c r="O87" s="201" t="s">
        <v>567</v>
      </c>
      <c r="P87" s="201" t="s">
        <v>567</v>
      </c>
      <c r="Q87" s="201" t="s">
        <v>567</v>
      </c>
      <c r="R87" s="202" t="s">
        <v>567</v>
      </c>
      <c r="S87" s="201" t="s">
        <v>567</v>
      </c>
      <c r="T87" s="201" t="s">
        <v>567</v>
      </c>
      <c r="U87" s="201" t="s">
        <v>567</v>
      </c>
      <c r="V87" s="201" t="s">
        <v>567</v>
      </c>
      <c r="W87" s="202" t="s">
        <v>567</v>
      </c>
      <c r="X87" s="1002"/>
      <c r="Z87" s="173"/>
      <c r="AA87" s="226" t="s">
        <v>332</v>
      </c>
      <c r="AB87" s="226" t="s">
        <v>569</v>
      </c>
      <c r="AC87" s="201" t="s">
        <v>567</v>
      </c>
      <c r="AD87" s="201" t="s">
        <v>567</v>
      </c>
      <c r="AE87" s="201" t="s">
        <v>567</v>
      </c>
      <c r="AF87" s="201" t="s">
        <v>567</v>
      </c>
      <c r="AG87" s="969" t="str">
        <f>'Energy NPV'!U12</f>
        <v>(€ ha-1)</v>
      </c>
      <c r="AH87" s="201" t="s">
        <v>567</v>
      </c>
      <c r="AI87" s="201" t="s">
        <v>567</v>
      </c>
      <c r="AJ87" s="201" t="s">
        <v>567</v>
      </c>
      <c r="AK87" s="202" t="s">
        <v>567</v>
      </c>
      <c r="AL87" s="201" t="s">
        <v>567</v>
      </c>
      <c r="AM87" s="201" t="s">
        <v>567</v>
      </c>
      <c r="AN87" s="201" t="s">
        <v>567</v>
      </c>
      <c r="AO87" s="201" t="s">
        <v>567</v>
      </c>
      <c r="AP87" s="202" t="s">
        <v>567</v>
      </c>
      <c r="AQ87" s="201" t="s">
        <v>567</v>
      </c>
      <c r="AR87" s="201" t="s">
        <v>567</v>
      </c>
      <c r="AS87" s="201" t="s">
        <v>567</v>
      </c>
      <c r="AT87" s="201" t="s">
        <v>567</v>
      </c>
      <c r="AU87" s="202" t="s">
        <v>567</v>
      </c>
      <c r="AV87" s="1002"/>
      <c r="AX87" s="173"/>
      <c r="AY87" s="226" t="s">
        <v>332</v>
      </c>
      <c r="AZ87" s="226" t="s">
        <v>569</v>
      </c>
      <c r="BA87" s="201" t="s">
        <v>567</v>
      </c>
      <c r="BB87" s="201" t="s">
        <v>567</v>
      </c>
      <c r="BC87" s="201" t="s">
        <v>567</v>
      </c>
      <c r="BD87" s="201" t="s">
        <v>567</v>
      </c>
      <c r="BE87" s="969" t="str">
        <f>'Energy NPV'!U12</f>
        <v>(€ ha-1)</v>
      </c>
      <c r="BF87" s="201" t="s">
        <v>567</v>
      </c>
      <c r="BG87" s="201" t="s">
        <v>567</v>
      </c>
      <c r="BH87" s="201" t="s">
        <v>567</v>
      </c>
      <c r="BI87" s="202" t="s">
        <v>567</v>
      </c>
      <c r="BJ87" s="201" t="s">
        <v>567</v>
      </c>
      <c r="BK87" s="201" t="s">
        <v>567</v>
      </c>
      <c r="BL87" s="201" t="s">
        <v>567</v>
      </c>
      <c r="BM87" s="201" t="s">
        <v>567</v>
      </c>
      <c r="BN87" s="202" t="s">
        <v>567</v>
      </c>
      <c r="BO87" s="201" t="s">
        <v>567</v>
      </c>
      <c r="BP87" s="201" t="s">
        <v>567</v>
      </c>
      <c r="BQ87" s="201" t="s">
        <v>567</v>
      </c>
      <c r="BR87" s="201" t="s">
        <v>567</v>
      </c>
      <c r="BS87" s="202" t="s">
        <v>567</v>
      </c>
      <c r="BV87" s="173"/>
      <c r="BW87" s="226" t="s">
        <v>332</v>
      </c>
      <c r="BX87" s="226" t="s">
        <v>569</v>
      </c>
      <c r="BY87" s="201" t="s">
        <v>567</v>
      </c>
      <c r="BZ87" s="201" t="s">
        <v>567</v>
      </c>
      <c r="CA87" s="201" t="s">
        <v>567</v>
      </c>
      <c r="CB87" s="201" t="s">
        <v>567</v>
      </c>
      <c r="CC87" s="969" t="str">
        <f>'Energy NPV'!U12</f>
        <v>(€ ha-1)</v>
      </c>
      <c r="CD87" s="201" t="s">
        <v>567</v>
      </c>
      <c r="CE87" s="201" t="s">
        <v>567</v>
      </c>
      <c r="CF87" s="201" t="s">
        <v>567</v>
      </c>
      <c r="CG87" s="202" t="s">
        <v>567</v>
      </c>
      <c r="CH87" s="201" t="s">
        <v>567</v>
      </c>
      <c r="CI87" s="201" t="s">
        <v>567</v>
      </c>
      <c r="CJ87" s="201" t="s">
        <v>567</v>
      </c>
      <c r="CK87" s="201" t="s">
        <v>567</v>
      </c>
      <c r="CL87" s="202" t="s">
        <v>567</v>
      </c>
      <c r="CM87" s="201" t="s">
        <v>567</v>
      </c>
      <c r="CN87" s="201" t="s">
        <v>567</v>
      </c>
      <c r="CO87" s="201" t="s">
        <v>567</v>
      </c>
      <c r="CP87" s="201" t="s">
        <v>567</v>
      </c>
      <c r="CQ87" s="202" t="s">
        <v>567</v>
      </c>
      <c r="CT87" s="173"/>
      <c r="CU87" s="226" t="s">
        <v>332</v>
      </c>
      <c r="CV87" s="226" t="s">
        <v>569</v>
      </c>
      <c r="CW87" s="201" t="s">
        <v>567</v>
      </c>
      <c r="CX87" s="201" t="s">
        <v>567</v>
      </c>
      <c r="CY87" s="201" t="s">
        <v>567</v>
      </c>
      <c r="CZ87" s="201" t="s">
        <v>567</v>
      </c>
      <c r="DA87" s="969" t="str">
        <f>'Energy NPV'!U12</f>
        <v>(€ ha-1)</v>
      </c>
      <c r="DB87" s="201" t="s">
        <v>567</v>
      </c>
      <c r="DC87" s="201" t="s">
        <v>567</v>
      </c>
      <c r="DD87" s="201" t="s">
        <v>567</v>
      </c>
      <c r="DE87" s="202" t="s">
        <v>567</v>
      </c>
      <c r="DF87" s="201" t="s">
        <v>567</v>
      </c>
      <c r="DG87" s="201" t="s">
        <v>567</v>
      </c>
      <c r="DH87" s="201" t="s">
        <v>567</v>
      </c>
      <c r="DI87" s="201" t="s">
        <v>567</v>
      </c>
      <c r="DJ87" s="202" t="s">
        <v>567</v>
      </c>
      <c r="DK87" s="201" t="s">
        <v>567</v>
      </c>
      <c r="DL87" s="201" t="s">
        <v>567</v>
      </c>
      <c r="DM87" s="201" t="s">
        <v>567</v>
      </c>
      <c r="DN87" s="201" t="s">
        <v>567</v>
      </c>
      <c r="DO87" s="202" t="s">
        <v>567</v>
      </c>
    </row>
    <row r="88" spans="2:119" x14ac:dyDescent="0.3">
      <c r="B88" s="899">
        <v>1</v>
      </c>
      <c r="C88" s="760">
        <f>'Energy NPV'!$D13</f>
        <v>0</v>
      </c>
      <c r="D88" s="197">
        <f>'Energy Inputs'!$D$58*$E$84</f>
        <v>43.75</v>
      </c>
      <c r="E88" s="197">
        <f>C88*D88</f>
        <v>0</v>
      </c>
      <c r="F88" s="197">
        <f>'Margins summary'!$Q$14</f>
        <v>330</v>
      </c>
      <c r="G88" s="197">
        <f>E88+F88</f>
        <v>330</v>
      </c>
      <c r="H88" s="197">
        <f>'Margins summary'!$P$20</f>
        <v>1887.233334</v>
      </c>
      <c r="I88" s="918">
        <f>'Energy NPV'!U13</f>
        <v>0</v>
      </c>
      <c r="J88" s="197"/>
      <c r="K88" s="197">
        <f>H88+I88+J88</f>
        <v>1887.233334</v>
      </c>
      <c r="L88" s="197">
        <f t="shared" ref="L88:L103" si="227">E88-K88</f>
        <v>-1887.233334</v>
      </c>
      <c r="M88" s="197">
        <f t="shared" ref="M88:M103" si="228">G88-K88</f>
        <v>-1557.233334</v>
      </c>
      <c r="N88" s="1034">
        <f>E88/((1+$B$4)^(B88-1))</f>
        <v>0</v>
      </c>
      <c r="O88" s="1035">
        <f>F88/((1+$B$4)^(B88-1))</f>
        <v>330</v>
      </c>
      <c r="P88" s="1035">
        <f>K88/((1+$B$4)^(B88-1))</f>
        <v>1887.233334</v>
      </c>
      <c r="Q88" s="213">
        <f>L88/((1+$B$4)^(B88-1))</f>
        <v>-1887.233334</v>
      </c>
      <c r="R88" s="929">
        <f>M88/((1+$B$4)^(B88-1))</f>
        <v>-1557.233334</v>
      </c>
      <c r="S88" s="196">
        <f>N88</f>
        <v>0</v>
      </c>
      <c r="T88" s="197">
        <f>O88</f>
        <v>330</v>
      </c>
      <c r="U88" s="197">
        <f>P88</f>
        <v>1887.233334</v>
      </c>
      <c r="V88" s="197">
        <f>Q88</f>
        <v>-1887.233334</v>
      </c>
      <c r="W88" s="199">
        <f>R88</f>
        <v>-1557.233334</v>
      </c>
      <c r="X88" s="197"/>
      <c r="Z88" s="899">
        <v>1</v>
      </c>
      <c r="AA88" s="759">
        <f>'Energy NPV'!$D13</f>
        <v>0</v>
      </c>
      <c r="AB88" s="197">
        <f>'Energy Inputs'!$D$58*$AB$84</f>
        <v>65.625</v>
      </c>
      <c r="AC88" s="197">
        <f>AA88*AB88</f>
        <v>0</v>
      </c>
      <c r="AD88" s="197">
        <f>'Margins summary'!$Q$14</f>
        <v>330</v>
      </c>
      <c r="AE88" s="197">
        <f>AC88+AD88</f>
        <v>330</v>
      </c>
      <c r="AF88" s="197">
        <f>'Margins summary'!$P$20</f>
        <v>1887.233334</v>
      </c>
      <c r="AG88" s="918">
        <f>'Energy NPV'!U13</f>
        <v>0</v>
      </c>
      <c r="AH88" s="197"/>
      <c r="AI88" s="197">
        <f>AF88+AG88+AH88</f>
        <v>1887.233334</v>
      </c>
      <c r="AJ88" s="197">
        <f t="shared" ref="AJ88:AJ103" si="229">AC88-AI88</f>
        <v>-1887.233334</v>
      </c>
      <c r="AK88" s="197">
        <f t="shared" ref="AK88:AK103" si="230">AE88-AI88</f>
        <v>-1557.233334</v>
      </c>
      <c r="AL88" s="1033">
        <f>AC88/((1+$B$4)^(Z88-1))</f>
        <v>0</v>
      </c>
      <c r="AM88" s="213">
        <f>AD88/((1+$B$4)^(Z88-1))</f>
        <v>330</v>
      </c>
      <c r="AN88" s="213">
        <f>AI88/((1+$B$4)^(Z88-1))</f>
        <v>1887.233334</v>
      </c>
      <c r="AO88" s="213">
        <f>AJ88/((1+$B$4)^(Z88-1))</f>
        <v>-1887.233334</v>
      </c>
      <c r="AP88" s="929">
        <f>AK88/((1+$B$4)^(Z88-1))</f>
        <v>-1557.233334</v>
      </c>
      <c r="AQ88" s="196">
        <f>AL88</f>
        <v>0</v>
      </c>
      <c r="AR88" s="197">
        <f>AM88</f>
        <v>330</v>
      </c>
      <c r="AS88" s="197">
        <f>AN88</f>
        <v>1887.233334</v>
      </c>
      <c r="AT88" s="197">
        <f>AO88</f>
        <v>-1887.233334</v>
      </c>
      <c r="AU88" s="199">
        <f>AP88</f>
        <v>-1557.233334</v>
      </c>
      <c r="AV88" s="197"/>
      <c r="AX88" s="899">
        <v>1</v>
      </c>
      <c r="AY88" s="759">
        <f>'Energy NPV'!$D13</f>
        <v>0</v>
      </c>
      <c r="AZ88" s="197">
        <f>'Energy Inputs'!$D$58*$AZ$84</f>
        <v>21.875</v>
      </c>
      <c r="BA88" s="197">
        <f>AY88*AZ88</f>
        <v>0</v>
      </c>
      <c r="BB88" s="197">
        <f>'Margins summary'!$Q$14</f>
        <v>330</v>
      </c>
      <c r="BC88" s="197">
        <f>BA88+BB88</f>
        <v>330</v>
      </c>
      <c r="BD88" s="197">
        <f>'Margins summary'!$P$20</f>
        <v>1887.233334</v>
      </c>
      <c r="BE88" s="918">
        <f>'Energy NPV'!U13</f>
        <v>0</v>
      </c>
      <c r="BF88" s="197"/>
      <c r="BG88" s="197">
        <f>BD88+BE88+BF88</f>
        <v>1887.233334</v>
      </c>
      <c r="BH88" s="197">
        <f t="shared" ref="BH88:BH103" si="231">BA88-BG88</f>
        <v>-1887.233334</v>
      </c>
      <c r="BI88" s="197">
        <f t="shared" ref="BI88:BI103" si="232">BC88-BG88</f>
        <v>-1557.233334</v>
      </c>
      <c r="BJ88" s="1033">
        <f>BA88/((1+$B$4)^(AX88-1))</f>
        <v>0</v>
      </c>
      <c r="BK88" s="213">
        <f>BB88/((1+$B$4)^(AX88-1))</f>
        <v>330</v>
      </c>
      <c r="BL88" s="213">
        <f>BG88/((1+$B$4)^(AX88-1))</f>
        <v>1887.233334</v>
      </c>
      <c r="BM88" s="213">
        <f>BH88/((1+$B$4)^(AX88-1))</f>
        <v>-1887.233334</v>
      </c>
      <c r="BN88" s="929">
        <f>BI88/((1+$B$4)^(AX88-1))</f>
        <v>-1557.233334</v>
      </c>
      <c r="BO88" s="196">
        <f>BJ88</f>
        <v>0</v>
      </c>
      <c r="BP88" s="197">
        <f>BK88</f>
        <v>330</v>
      </c>
      <c r="BQ88" s="197">
        <f>BL88</f>
        <v>1887.233334</v>
      </c>
      <c r="BR88" s="197">
        <f>BM88</f>
        <v>-1887.233334</v>
      </c>
      <c r="BS88" s="199">
        <f>BN88</f>
        <v>-1557.233334</v>
      </c>
      <c r="BV88" s="728">
        <v>1</v>
      </c>
      <c r="BW88" s="759">
        <f>'Energy NPV'!$D13</f>
        <v>0</v>
      </c>
      <c r="BX88" s="197">
        <f>'Energy Inputs'!$D$58*$BX$84</f>
        <v>87.5</v>
      </c>
      <c r="BY88" s="197">
        <f>BW88*BX88</f>
        <v>0</v>
      </c>
      <c r="BZ88" s="197">
        <f>'Margins summary'!$Q$14</f>
        <v>330</v>
      </c>
      <c r="CA88" s="197">
        <f>BY88+BZ88</f>
        <v>330</v>
      </c>
      <c r="CB88" s="197">
        <f>'Margins summary'!$P$20</f>
        <v>1887.233334</v>
      </c>
      <c r="CC88" s="918">
        <f>'Energy NPV'!U13</f>
        <v>0</v>
      </c>
      <c r="CD88" s="197"/>
      <c r="CE88" s="197">
        <f>CB88+CC88+CD88</f>
        <v>1887.233334</v>
      </c>
      <c r="CF88" s="197">
        <f t="shared" ref="CF88:CF103" si="233">BY88-CE88</f>
        <v>-1887.233334</v>
      </c>
      <c r="CG88" s="197">
        <f t="shared" ref="CG88:CG103" si="234">CA88-CE88</f>
        <v>-1557.233334</v>
      </c>
      <c r="CH88" s="1033">
        <f>BY88/((1+$B$4)^(BV88-1))</f>
        <v>0</v>
      </c>
      <c r="CI88" s="213">
        <f>BZ88/((1+$B$4)^(BV88-1))</f>
        <v>330</v>
      </c>
      <c r="CJ88" s="213">
        <f>CE88/((1+$B$4)^(BV88-1))</f>
        <v>1887.233334</v>
      </c>
      <c r="CK88" s="213">
        <f>CF88/((1+$B$4)^(BV88-1))</f>
        <v>-1887.233334</v>
      </c>
      <c r="CL88" s="929">
        <f>CG88/((1+$B$4)^(BV88-1))</f>
        <v>-1557.233334</v>
      </c>
      <c r="CM88" s="196">
        <f>CH88</f>
        <v>0</v>
      </c>
      <c r="CN88" s="197">
        <f>CI88</f>
        <v>330</v>
      </c>
      <c r="CO88" s="197">
        <f>CJ88</f>
        <v>1887.233334</v>
      </c>
      <c r="CP88" s="197">
        <f>CK88</f>
        <v>-1887.233334</v>
      </c>
      <c r="CQ88" s="199">
        <f>CL88</f>
        <v>-1557.233334</v>
      </c>
      <c r="CT88" s="204">
        <v>1</v>
      </c>
      <c r="CU88" s="759">
        <f>'Energy NPV'!$D13</f>
        <v>0</v>
      </c>
      <c r="CV88" s="197">
        <f>'Energy Inputs'!$D$58*$CV$84</f>
        <v>0</v>
      </c>
      <c r="CW88" s="197">
        <f>CU88*CV88</f>
        <v>0</v>
      </c>
      <c r="CX88" s="197">
        <f>'Margins summary'!$Q$14</f>
        <v>330</v>
      </c>
      <c r="CY88" s="197">
        <f>CW88+CX88</f>
        <v>330</v>
      </c>
      <c r="CZ88" s="197">
        <f>'Margins summary'!$P$20</f>
        <v>1887.233334</v>
      </c>
      <c r="DA88" s="918">
        <f>'Energy NPV'!U13</f>
        <v>0</v>
      </c>
      <c r="DB88" s="197"/>
      <c r="DC88" s="197">
        <f>CZ88+DA88+DB88</f>
        <v>1887.233334</v>
      </c>
      <c r="DD88" s="197">
        <f t="shared" ref="DD88:DD103" si="235">CW88-DC88</f>
        <v>-1887.233334</v>
      </c>
      <c r="DE88" s="197">
        <f t="shared" ref="DE88:DE103" si="236">CY88-DC88</f>
        <v>-1557.233334</v>
      </c>
      <c r="DF88" s="1033">
        <f>CW88/((1+$B$4)^(CT88-1))</f>
        <v>0</v>
      </c>
      <c r="DG88" s="213">
        <f>CX88/((1+$B$4)^(CT88-1))</f>
        <v>330</v>
      </c>
      <c r="DH88" s="213">
        <f>DC88/((1+$B$4)^(CT88-1))</f>
        <v>1887.233334</v>
      </c>
      <c r="DI88" s="213">
        <f>DD88/((1+$B$4)^(CT88-1))</f>
        <v>-1887.233334</v>
      </c>
      <c r="DJ88" s="929">
        <f>DE88/((1+$B$4)^(CT88-1))</f>
        <v>-1557.233334</v>
      </c>
      <c r="DK88" s="196">
        <f>DF88</f>
        <v>0</v>
      </c>
      <c r="DL88" s="197">
        <f>DG88</f>
        <v>330</v>
      </c>
      <c r="DM88" s="197">
        <f>DH88</f>
        <v>1887.233334</v>
      </c>
      <c r="DN88" s="197">
        <f>DI88</f>
        <v>-1887.233334</v>
      </c>
      <c r="DO88" s="199">
        <f>DJ88</f>
        <v>-1557.233334</v>
      </c>
    </row>
    <row r="89" spans="2:119" x14ac:dyDescent="0.3">
      <c r="B89" s="900">
        <v>2</v>
      </c>
      <c r="C89" s="760">
        <f>'Energy NPV'!$D14</f>
        <v>26</v>
      </c>
      <c r="D89" s="197">
        <f>'Energy Inputs'!$D$58*$E$84</f>
        <v>43.75</v>
      </c>
      <c r="E89" s="197">
        <f>C89*D89</f>
        <v>1137.5</v>
      </c>
      <c r="F89" s="197">
        <f>'Margins summary'!$Q$14</f>
        <v>330</v>
      </c>
      <c r="G89" s="197">
        <f t="shared" ref="G89:G103" si="237">E89+F89</f>
        <v>1467.5</v>
      </c>
      <c r="H89" s="197"/>
      <c r="I89" s="918">
        <f>'Energy NPV'!U14</f>
        <v>748.272334</v>
      </c>
      <c r="J89" s="197"/>
      <c r="K89" s="197">
        <f t="shared" ref="K89:K103" si="238">H89+I89+J89</f>
        <v>748.272334</v>
      </c>
      <c r="L89" s="197">
        <f t="shared" si="227"/>
        <v>389.227666</v>
      </c>
      <c r="M89" s="197">
        <f t="shared" si="228"/>
        <v>719.227666</v>
      </c>
      <c r="N89" s="1036">
        <f t="shared" ref="N89:N103" si="239">E89/((1+$B$4)^(B89-1))</f>
        <v>1104.3689320388348</v>
      </c>
      <c r="O89" s="1037">
        <f t="shared" ref="O89:O103" si="240">F89/((1+$B$4)^(B89-1))</f>
        <v>320.38834951456312</v>
      </c>
      <c r="P89" s="1037">
        <f t="shared" ref="P89:P103" si="241">K89/((1+$B$4)^(B89-1))</f>
        <v>726.47799417475721</v>
      </c>
      <c r="Q89" s="197">
        <f t="shared" ref="Q89:Q103" si="242">L89/((1+$B$4)^(B89-1))</f>
        <v>377.89093786407767</v>
      </c>
      <c r="R89" s="199">
        <f t="shared" ref="R89:R103" si="243">M89/((1+$B$4)^(B89-1))</f>
        <v>698.27928737864079</v>
      </c>
      <c r="S89" s="196">
        <f>S88+N89</f>
        <v>1104.3689320388348</v>
      </c>
      <c r="T89" s="197">
        <f t="shared" ref="T89:T103" si="244">T88+O89</f>
        <v>650.38834951456306</v>
      </c>
      <c r="U89" s="197">
        <f t="shared" ref="U89:U103" si="245">U88+P89</f>
        <v>2613.711328174757</v>
      </c>
      <c r="V89" s="197">
        <f t="shared" ref="V89:V103" si="246">V88+Q89</f>
        <v>-1509.3423961359224</v>
      </c>
      <c r="W89" s="199">
        <f t="shared" ref="W89:W103" si="247">W88+R89</f>
        <v>-858.95404662135923</v>
      </c>
      <c r="X89" s="197"/>
      <c r="Z89" s="900">
        <v>2</v>
      </c>
      <c r="AA89" s="759">
        <f>'Energy NPV'!$D14</f>
        <v>26</v>
      </c>
      <c r="AB89" s="197">
        <f>'Energy Inputs'!$D$58*$AB$84</f>
        <v>65.625</v>
      </c>
      <c r="AC89" s="197">
        <f>AA89*AB89</f>
        <v>1706.25</v>
      </c>
      <c r="AD89" s="197">
        <f>'Margins summary'!$Q$14</f>
        <v>330</v>
      </c>
      <c r="AE89" s="197">
        <f t="shared" ref="AE89:AE103" si="248">AC89+AD89</f>
        <v>2036.25</v>
      </c>
      <c r="AF89" s="197"/>
      <c r="AG89" s="918">
        <f>'Energy NPV'!U14</f>
        <v>748.272334</v>
      </c>
      <c r="AH89" s="197"/>
      <c r="AI89" s="197">
        <f t="shared" ref="AI89:AI103" si="249">AF89+AG89+AH89</f>
        <v>748.272334</v>
      </c>
      <c r="AJ89" s="197">
        <f t="shared" si="229"/>
        <v>957.977666</v>
      </c>
      <c r="AK89" s="197">
        <f t="shared" si="230"/>
        <v>1287.977666</v>
      </c>
      <c r="AL89" s="196">
        <f t="shared" ref="AL89:AL103" si="250">AC89/((1+$B$4)^(Z89-1))</f>
        <v>1656.5533980582525</v>
      </c>
      <c r="AM89" s="197">
        <f t="shared" ref="AM89:AM103" si="251">AD89/((1+$B$4)^(Z89-1))</f>
        <v>320.38834951456312</v>
      </c>
      <c r="AN89" s="197">
        <f t="shared" ref="AN89:AN103" si="252">AI89/((1+$B$4)^(Z89-1))</f>
        <v>726.47799417475721</v>
      </c>
      <c r="AO89" s="197">
        <f t="shared" ref="AO89:AO103" si="253">AJ89/((1+$B$4)^(Z89-1))</f>
        <v>930.07540388349514</v>
      </c>
      <c r="AP89" s="199">
        <f t="shared" ref="AP89:AP103" si="254">AK89/((1+$B$4)^(Z89-1))</f>
        <v>1250.4637533980583</v>
      </c>
      <c r="AQ89" s="196">
        <f>AQ88+AL89</f>
        <v>1656.5533980582525</v>
      </c>
      <c r="AR89" s="197">
        <f t="shared" ref="AR89:AR103" si="255">AR88+AM89</f>
        <v>650.38834951456306</v>
      </c>
      <c r="AS89" s="197">
        <f t="shared" ref="AS89:AS103" si="256">AS88+AN89</f>
        <v>2613.711328174757</v>
      </c>
      <c r="AT89" s="197">
        <f t="shared" ref="AT89:AT103" si="257">AT88+AO89</f>
        <v>-957.15793011650487</v>
      </c>
      <c r="AU89" s="199">
        <f t="shared" ref="AU89:AU103" si="258">AU88+AP89</f>
        <v>-306.7695806019417</v>
      </c>
      <c r="AV89" s="197"/>
      <c r="AX89" s="900">
        <v>2</v>
      </c>
      <c r="AY89" s="759">
        <f>'Energy NPV'!$D14</f>
        <v>26</v>
      </c>
      <c r="AZ89" s="197">
        <f>'Energy Inputs'!$D$58*$AZ$84</f>
        <v>21.875</v>
      </c>
      <c r="BA89" s="197">
        <f>AY89*AZ89</f>
        <v>568.75</v>
      </c>
      <c r="BB89" s="197">
        <f>'Margins summary'!$Q$14</f>
        <v>330</v>
      </c>
      <c r="BC89" s="197">
        <f t="shared" ref="BC89:BC103" si="259">BA89+BB89</f>
        <v>898.75</v>
      </c>
      <c r="BD89" s="197"/>
      <c r="BE89" s="918">
        <f>'Energy NPV'!U14</f>
        <v>748.272334</v>
      </c>
      <c r="BF89" s="197"/>
      <c r="BG89" s="197">
        <f t="shared" ref="BG89:BG103" si="260">BD89+BE89+BF89</f>
        <v>748.272334</v>
      </c>
      <c r="BH89" s="197">
        <f t="shared" si="231"/>
        <v>-179.522334</v>
      </c>
      <c r="BI89" s="197">
        <f t="shared" si="232"/>
        <v>150.477666</v>
      </c>
      <c r="BJ89" s="196">
        <f t="shared" ref="BJ89:BJ103" si="261">BA89/((1+$B$4)^(AX89-1))</f>
        <v>552.18446601941741</v>
      </c>
      <c r="BK89" s="197">
        <f t="shared" ref="BK89:BK103" si="262">BB89/((1+$B$4)^(AX89-1))</f>
        <v>320.38834951456312</v>
      </c>
      <c r="BL89" s="197">
        <f t="shared" ref="BL89:BL103" si="263">BG89/((1+$B$4)^(AX89-1))</f>
        <v>726.47799417475721</v>
      </c>
      <c r="BM89" s="197">
        <f t="shared" ref="BM89:BM103" si="264">BH89/((1+$B$4)^(AX89-1))</f>
        <v>-174.2935281553398</v>
      </c>
      <c r="BN89" s="199">
        <f t="shared" ref="BN89:BN103" si="265">BI89/((1+$B$4)^(AX89-1))</f>
        <v>146.09482135922329</v>
      </c>
      <c r="BO89" s="196">
        <f>BO88+BJ89</f>
        <v>552.18446601941741</v>
      </c>
      <c r="BP89" s="197">
        <f t="shared" ref="BP89:BP103" si="266">BP88+BK89</f>
        <v>650.38834951456306</v>
      </c>
      <c r="BQ89" s="197">
        <f t="shared" ref="BQ89:BQ103" si="267">BQ88+BL89</f>
        <v>2613.711328174757</v>
      </c>
      <c r="BR89" s="197">
        <f t="shared" ref="BR89:BR103" si="268">BR88+BM89</f>
        <v>-2061.5268621553396</v>
      </c>
      <c r="BS89" s="199">
        <f t="shared" ref="BS89:BS103" si="269">BS88+BN89</f>
        <v>-1411.1385126407768</v>
      </c>
      <c r="BV89" s="419">
        <v>2</v>
      </c>
      <c r="BW89" s="759">
        <f>'Energy NPV'!$D14</f>
        <v>26</v>
      </c>
      <c r="BX89" s="197">
        <f>'Energy Inputs'!$D$58*$BX$84</f>
        <v>87.5</v>
      </c>
      <c r="BY89" s="197">
        <f>BW89*BX89</f>
        <v>2275</v>
      </c>
      <c r="BZ89" s="197">
        <f>'Margins summary'!$Q$14</f>
        <v>330</v>
      </c>
      <c r="CA89" s="197">
        <f t="shared" ref="CA89:CA103" si="270">BY89+BZ89</f>
        <v>2605</v>
      </c>
      <c r="CB89" s="197"/>
      <c r="CC89" s="918">
        <f>'Energy NPV'!U14</f>
        <v>748.272334</v>
      </c>
      <c r="CD89" s="197"/>
      <c r="CE89" s="197">
        <f t="shared" ref="CE89:CE103" si="271">CB89+CC89+CD89</f>
        <v>748.272334</v>
      </c>
      <c r="CF89" s="197">
        <f t="shared" si="233"/>
        <v>1526.727666</v>
      </c>
      <c r="CG89" s="197">
        <f t="shared" si="234"/>
        <v>1856.727666</v>
      </c>
      <c r="CH89" s="196">
        <f t="shared" ref="CH89:CH103" si="272">BY89/((1+$B$4)^(BV89-1))</f>
        <v>2208.7378640776697</v>
      </c>
      <c r="CI89" s="197">
        <f t="shared" ref="CI89:CI103" si="273">BZ89/((1+$B$4)^(BV89-1))</f>
        <v>320.38834951456312</v>
      </c>
      <c r="CJ89" s="197">
        <f t="shared" ref="CJ89:CJ103" si="274">CE89/((1+$B$4)^(BV89-1))</f>
        <v>726.47799417475721</v>
      </c>
      <c r="CK89" s="197">
        <f t="shared" ref="CK89:CK103" si="275">CF89/((1+$B$4)^(BV89-1))</f>
        <v>1482.2598699029127</v>
      </c>
      <c r="CL89" s="199">
        <f t="shared" ref="CL89:CL103" si="276">CG89/((1+$B$4)^(BV89-1))</f>
        <v>1802.6482194174757</v>
      </c>
      <c r="CM89" s="196">
        <f>CM88+CH89</f>
        <v>2208.7378640776697</v>
      </c>
      <c r="CN89" s="197">
        <f t="shared" ref="CN89:CN103" si="277">CN88+CI89</f>
        <v>650.38834951456306</v>
      </c>
      <c r="CO89" s="197">
        <f t="shared" ref="CO89:CO103" si="278">CO88+CJ89</f>
        <v>2613.711328174757</v>
      </c>
      <c r="CP89" s="197">
        <f t="shared" ref="CP89:CP103" si="279">CP88+CK89</f>
        <v>-404.97346409708734</v>
      </c>
      <c r="CQ89" s="199">
        <f t="shared" ref="CQ89:CQ103" si="280">CQ88+CL89</f>
        <v>245.41488541747572</v>
      </c>
      <c r="CT89" s="204">
        <v>2</v>
      </c>
      <c r="CU89" s="759">
        <f>'Energy NPV'!$D14</f>
        <v>26</v>
      </c>
      <c r="CV89" s="197">
        <f>'Energy Inputs'!$D$58*$CV$84</f>
        <v>0</v>
      </c>
      <c r="CW89" s="197">
        <f>CU89*CV89</f>
        <v>0</v>
      </c>
      <c r="CX89" s="197">
        <f>'Margins summary'!$Q$14</f>
        <v>330</v>
      </c>
      <c r="CY89" s="197">
        <f t="shared" ref="CY89:CY97" si="281">CW89+CX89</f>
        <v>330</v>
      </c>
      <c r="CZ89" s="197"/>
      <c r="DA89" s="918">
        <f>'Energy NPV'!U14</f>
        <v>748.272334</v>
      </c>
      <c r="DB89" s="197"/>
      <c r="DC89" s="197">
        <f t="shared" ref="DC89:DC103" si="282">CZ89+DA89+DB89</f>
        <v>748.272334</v>
      </c>
      <c r="DD89" s="197">
        <f t="shared" si="235"/>
        <v>-748.272334</v>
      </c>
      <c r="DE89" s="197">
        <f t="shared" si="236"/>
        <v>-418.272334</v>
      </c>
      <c r="DF89" s="196">
        <f t="shared" ref="DF89:DF103" si="283">CW89/((1+$B$4)^(CT89-1))</f>
        <v>0</v>
      </c>
      <c r="DG89" s="197">
        <f t="shared" ref="DG89:DG103" si="284">CX89/((1+$B$4)^(CT89-1))</f>
        <v>320.38834951456312</v>
      </c>
      <c r="DH89" s="197">
        <f t="shared" ref="DH89:DH103" si="285">DC89/((1+$B$4)^(CT89-1))</f>
        <v>726.47799417475721</v>
      </c>
      <c r="DI89" s="197">
        <f t="shared" ref="DI89:DI103" si="286">DD89/((1+$B$4)^(CT89-1))</f>
        <v>-726.47799417475721</v>
      </c>
      <c r="DJ89" s="199">
        <f t="shared" ref="DJ89:DJ103" si="287">DE89/((1+$B$4)^(CT89-1))</f>
        <v>-406.08964466019415</v>
      </c>
      <c r="DK89" s="196">
        <f>DK88+DF89</f>
        <v>0</v>
      </c>
      <c r="DL89" s="197">
        <f t="shared" ref="DL89:DL103" si="288">DL88+DG89</f>
        <v>650.38834951456306</v>
      </c>
      <c r="DM89" s="197">
        <f t="shared" ref="DM89:DM103" si="289">DM88+DH89</f>
        <v>2613.711328174757</v>
      </c>
      <c r="DN89" s="197">
        <f t="shared" ref="DN89:DN103" si="290">DN88+DI89</f>
        <v>-2613.711328174757</v>
      </c>
      <c r="DO89" s="199">
        <f t="shared" ref="DO89:DO103" si="291">DO88+DJ89</f>
        <v>-1963.3229786601942</v>
      </c>
    </row>
    <row r="90" spans="2:119" x14ac:dyDescent="0.3">
      <c r="B90" s="900">
        <v>3</v>
      </c>
      <c r="C90" s="760">
        <f>'Energy NPV'!$D15</f>
        <v>0</v>
      </c>
      <c r="D90" s="197">
        <f>'Energy Inputs'!$D$58*$E$84</f>
        <v>43.75</v>
      </c>
      <c r="E90" s="197">
        <f t="shared" ref="E90:E103" si="292">C90*D90</f>
        <v>0</v>
      </c>
      <c r="F90" s="197">
        <f>'Margins summary'!$Q$14</f>
        <v>330</v>
      </c>
      <c r="G90" s="197">
        <f t="shared" si="237"/>
        <v>330</v>
      </c>
      <c r="H90" s="197"/>
      <c r="I90" s="918">
        <f>'Energy NPV'!U15</f>
        <v>110.53899999999999</v>
      </c>
      <c r="J90" s="197"/>
      <c r="K90" s="197">
        <f t="shared" si="238"/>
        <v>110.53899999999999</v>
      </c>
      <c r="L90" s="197">
        <f t="shared" si="227"/>
        <v>-110.53899999999999</v>
      </c>
      <c r="M90" s="197">
        <f t="shared" si="228"/>
        <v>219.46100000000001</v>
      </c>
      <c r="N90" s="1036">
        <f t="shared" si="239"/>
        <v>0</v>
      </c>
      <c r="O90" s="1037">
        <f t="shared" si="240"/>
        <v>311.05665001413894</v>
      </c>
      <c r="P90" s="1037">
        <f t="shared" si="241"/>
        <v>104.19360919973606</v>
      </c>
      <c r="Q90" s="197">
        <f t="shared" si="242"/>
        <v>-104.19360919973606</v>
      </c>
      <c r="R90" s="199">
        <f t="shared" si="243"/>
        <v>206.86304081440289</v>
      </c>
      <c r="S90" s="196">
        <f t="shared" ref="S90:S103" si="293">S89+N90</f>
        <v>1104.3689320388348</v>
      </c>
      <c r="T90" s="197">
        <f t="shared" si="244"/>
        <v>961.44499952870206</v>
      </c>
      <c r="U90" s="197">
        <f t="shared" si="245"/>
        <v>2717.9049373744929</v>
      </c>
      <c r="V90" s="197">
        <f t="shared" si="246"/>
        <v>-1613.5360053356585</v>
      </c>
      <c r="W90" s="199">
        <f t="shared" si="247"/>
        <v>-652.09100580695633</v>
      </c>
      <c r="X90" s="197"/>
      <c r="Z90" s="900">
        <v>3</v>
      </c>
      <c r="AA90" s="759">
        <f>'Energy NPV'!$D15</f>
        <v>0</v>
      </c>
      <c r="AB90" s="197">
        <f>'Energy Inputs'!$D$58*$AB$84</f>
        <v>65.625</v>
      </c>
      <c r="AC90" s="197">
        <f t="shared" ref="AC90:AC103" si="294">AA90*AB90</f>
        <v>0</v>
      </c>
      <c r="AD90" s="197">
        <f>'Margins summary'!$Q$14</f>
        <v>330</v>
      </c>
      <c r="AE90" s="197">
        <f t="shared" si="248"/>
        <v>330</v>
      </c>
      <c r="AF90" s="197"/>
      <c r="AG90" s="918">
        <f>'Energy NPV'!U15</f>
        <v>110.53899999999999</v>
      </c>
      <c r="AH90" s="197"/>
      <c r="AI90" s="197">
        <f t="shared" si="249"/>
        <v>110.53899999999999</v>
      </c>
      <c r="AJ90" s="197">
        <f t="shared" si="229"/>
        <v>-110.53899999999999</v>
      </c>
      <c r="AK90" s="197">
        <f t="shared" si="230"/>
        <v>219.46100000000001</v>
      </c>
      <c r="AL90" s="196">
        <f t="shared" si="250"/>
        <v>0</v>
      </c>
      <c r="AM90" s="197">
        <f t="shared" si="251"/>
        <v>311.05665001413894</v>
      </c>
      <c r="AN90" s="197">
        <f t="shared" si="252"/>
        <v>104.19360919973606</v>
      </c>
      <c r="AO90" s="197">
        <f t="shared" si="253"/>
        <v>-104.19360919973606</v>
      </c>
      <c r="AP90" s="199">
        <f t="shared" si="254"/>
        <v>206.86304081440289</v>
      </c>
      <c r="AQ90" s="196">
        <f t="shared" ref="AQ90:AQ102" si="295">AQ89+AL90</f>
        <v>1656.5533980582525</v>
      </c>
      <c r="AR90" s="197">
        <f t="shared" si="255"/>
        <v>961.44499952870206</v>
      </c>
      <c r="AS90" s="197">
        <f t="shared" si="256"/>
        <v>2717.9049373744929</v>
      </c>
      <c r="AT90" s="197">
        <f t="shared" si="257"/>
        <v>-1061.3515393162409</v>
      </c>
      <c r="AU90" s="199">
        <f t="shared" si="258"/>
        <v>-99.906539787538804</v>
      </c>
      <c r="AV90" s="197"/>
      <c r="AX90" s="900">
        <v>3</v>
      </c>
      <c r="AY90" s="759">
        <f>'Energy NPV'!$D15</f>
        <v>0</v>
      </c>
      <c r="AZ90" s="197">
        <f>'Energy Inputs'!$D$58*$AZ$84</f>
        <v>21.875</v>
      </c>
      <c r="BA90" s="197">
        <f t="shared" ref="BA90:BA103" si="296">AY90*AZ90</f>
        <v>0</v>
      </c>
      <c r="BB90" s="197">
        <f>'Margins summary'!$Q$14</f>
        <v>330</v>
      </c>
      <c r="BC90" s="197">
        <f t="shared" si="259"/>
        <v>330</v>
      </c>
      <c r="BD90" s="197"/>
      <c r="BE90" s="918">
        <f>'Energy NPV'!U15</f>
        <v>110.53899999999999</v>
      </c>
      <c r="BF90" s="197"/>
      <c r="BG90" s="197">
        <f t="shared" si="260"/>
        <v>110.53899999999999</v>
      </c>
      <c r="BH90" s="197">
        <f t="shared" si="231"/>
        <v>-110.53899999999999</v>
      </c>
      <c r="BI90" s="197">
        <f t="shared" si="232"/>
        <v>219.46100000000001</v>
      </c>
      <c r="BJ90" s="196">
        <f t="shared" si="261"/>
        <v>0</v>
      </c>
      <c r="BK90" s="197">
        <f t="shared" si="262"/>
        <v>311.05665001413894</v>
      </c>
      <c r="BL90" s="197">
        <f t="shared" si="263"/>
        <v>104.19360919973606</v>
      </c>
      <c r="BM90" s="197">
        <f t="shared" si="264"/>
        <v>-104.19360919973606</v>
      </c>
      <c r="BN90" s="199">
        <f t="shared" si="265"/>
        <v>206.86304081440289</v>
      </c>
      <c r="BO90" s="196">
        <f t="shared" ref="BO90:BO103" si="297">BO89+BJ90</f>
        <v>552.18446601941741</v>
      </c>
      <c r="BP90" s="197">
        <f t="shared" si="266"/>
        <v>961.44499952870206</v>
      </c>
      <c r="BQ90" s="197">
        <f t="shared" si="267"/>
        <v>2717.9049373744929</v>
      </c>
      <c r="BR90" s="197">
        <f t="shared" si="268"/>
        <v>-2165.7204713550755</v>
      </c>
      <c r="BS90" s="199">
        <f t="shared" si="269"/>
        <v>-1204.2754718263739</v>
      </c>
      <c r="BV90" s="419">
        <v>3</v>
      </c>
      <c r="BW90" s="759">
        <f>'Energy NPV'!$D15</f>
        <v>0</v>
      </c>
      <c r="BX90" s="197">
        <f>'Energy Inputs'!$D$58*$BX$84</f>
        <v>87.5</v>
      </c>
      <c r="BY90" s="197">
        <f t="shared" ref="BY90:BY103" si="298">BW90*BX90</f>
        <v>0</v>
      </c>
      <c r="BZ90" s="197">
        <f>'Margins summary'!$Q$14</f>
        <v>330</v>
      </c>
      <c r="CA90" s="197">
        <f t="shared" si="270"/>
        <v>330</v>
      </c>
      <c r="CB90" s="197"/>
      <c r="CC90" s="918">
        <f>'Energy NPV'!U15</f>
        <v>110.53899999999999</v>
      </c>
      <c r="CD90" s="197"/>
      <c r="CE90" s="197">
        <f t="shared" si="271"/>
        <v>110.53899999999999</v>
      </c>
      <c r="CF90" s="197">
        <f t="shared" si="233"/>
        <v>-110.53899999999999</v>
      </c>
      <c r="CG90" s="197">
        <f t="shared" si="234"/>
        <v>219.46100000000001</v>
      </c>
      <c r="CH90" s="196">
        <f t="shared" si="272"/>
        <v>0</v>
      </c>
      <c r="CI90" s="197">
        <f t="shared" si="273"/>
        <v>311.05665001413894</v>
      </c>
      <c r="CJ90" s="197">
        <f t="shared" si="274"/>
        <v>104.19360919973606</v>
      </c>
      <c r="CK90" s="197">
        <f t="shared" si="275"/>
        <v>-104.19360919973606</v>
      </c>
      <c r="CL90" s="199">
        <f t="shared" si="276"/>
        <v>206.86304081440289</v>
      </c>
      <c r="CM90" s="196">
        <f t="shared" ref="CM90:CM103" si="299">CM89+CH90</f>
        <v>2208.7378640776697</v>
      </c>
      <c r="CN90" s="197">
        <f t="shared" si="277"/>
        <v>961.44499952870206</v>
      </c>
      <c r="CO90" s="197">
        <f t="shared" si="278"/>
        <v>2717.9049373744929</v>
      </c>
      <c r="CP90" s="197">
        <f t="shared" si="279"/>
        <v>-509.16707329682339</v>
      </c>
      <c r="CQ90" s="199">
        <f t="shared" si="280"/>
        <v>452.27792623187861</v>
      </c>
      <c r="CT90" s="204">
        <f t="shared" ref="CT90:CT103" si="300">CT89+1</f>
        <v>3</v>
      </c>
      <c r="CU90" s="759">
        <f>'Energy NPV'!$D15</f>
        <v>0</v>
      </c>
      <c r="CV90" s="197">
        <f>'Energy Inputs'!$D$58*$CV$84</f>
        <v>0</v>
      </c>
      <c r="CW90" s="197">
        <f t="shared" ref="CW90:CW103" si="301">CU90*CV90</f>
        <v>0</v>
      </c>
      <c r="CX90" s="197">
        <f>'Margins summary'!$Q$14</f>
        <v>330</v>
      </c>
      <c r="CY90" s="197">
        <f t="shared" si="281"/>
        <v>330</v>
      </c>
      <c r="CZ90" s="197"/>
      <c r="DA90" s="918">
        <f>'Energy NPV'!U15</f>
        <v>110.53899999999999</v>
      </c>
      <c r="DB90" s="197"/>
      <c r="DC90" s="197">
        <f t="shared" si="282"/>
        <v>110.53899999999999</v>
      </c>
      <c r="DD90" s="197">
        <f t="shared" si="235"/>
        <v>-110.53899999999999</v>
      </c>
      <c r="DE90" s="197">
        <f t="shared" si="236"/>
        <v>219.46100000000001</v>
      </c>
      <c r="DF90" s="196">
        <f t="shared" si="283"/>
        <v>0</v>
      </c>
      <c r="DG90" s="197">
        <f t="shared" si="284"/>
        <v>311.05665001413894</v>
      </c>
      <c r="DH90" s="197">
        <f t="shared" si="285"/>
        <v>104.19360919973606</v>
      </c>
      <c r="DI90" s="197">
        <f t="shared" si="286"/>
        <v>-104.19360919973606</v>
      </c>
      <c r="DJ90" s="199">
        <f t="shared" si="287"/>
        <v>206.86304081440289</v>
      </c>
      <c r="DK90" s="196">
        <f t="shared" ref="DK90:DK103" si="302">DK89+DF90</f>
        <v>0</v>
      </c>
      <c r="DL90" s="197">
        <f t="shared" si="288"/>
        <v>961.44499952870206</v>
      </c>
      <c r="DM90" s="197">
        <f t="shared" si="289"/>
        <v>2717.9049373744929</v>
      </c>
      <c r="DN90" s="197">
        <f t="shared" si="290"/>
        <v>-2717.9049373744929</v>
      </c>
      <c r="DO90" s="199">
        <f t="shared" si="291"/>
        <v>-1756.4599378457913</v>
      </c>
    </row>
    <row r="91" spans="2:119" x14ac:dyDescent="0.3">
      <c r="B91" s="900">
        <v>4</v>
      </c>
      <c r="C91" s="760">
        <f>'Energy NPV'!$D16</f>
        <v>26</v>
      </c>
      <c r="D91" s="197">
        <f>'Energy Inputs'!$D$58*$E$84</f>
        <v>43.75</v>
      </c>
      <c r="E91" s="197">
        <f t="shared" si="292"/>
        <v>1137.5</v>
      </c>
      <c r="F91" s="197">
        <f>'Margins summary'!$Q$14</f>
        <v>330</v>
      </c>
      <c r="G91" s="197">
        <f t="shared" si="237"/>
        <v>1467.5</v>
      </c>
      <c r="H91" s="197"/>
      <c r="I91" s="918">
        <f>'Energy NPV'!U16</f>
        <v>637.73333400000001</v>
      </c>
      <c r="J91" s="197"/>
      <c r="K91" s="197">
        <f t="shared" si="238"/>
        <v>637.73333400000001</v>
      </c>
      <c r="L91" s="197">
        <f t="shared" si="227"/>
        <v>499.76666599999999</v>
      </c>
      <c r="M91" s="197">
        <f t="shared" si="228"/>
        <v>829.76666599999999</v>
      </c>
      <c r="N91" s="1036">
        <f t="shared" si="239"/>
        <v>1040.973637514219</v>
      </c>
      <c r="O91" s="1037">
        <f t="shared" si="240"/>
        <v>301.99674758654265</v>
      </c>
      <c r="P91" s="1037">
        <f t="shared" si="241"/>
        <v>583.61634150158272</v>
      </c>
      <c r="Q91" s="197">
        <f t="shared" si="242"/>
        <v>457.35729601263625</v>
      </c>
      <c r="R91" s="199">
        <f t="shared" si="243"/>
        <v>759.35404359917891</v>
      </c>
      <c r="S91" s="196">
        <f t="shared" si="293"/>
        <v>2145.3425695530541</v>
      </c>
      <c r="T91" s="197">
        <f t="shared" si="244"/>
        <v>1263.4417471152447</v>
      </c>
      <c r="U91" s="197">
        <f t="shared" si="245"/>
        <v>3301.5212788760755</v>
      </c>
      <c r="V91" s="197">
        <f t="shared" si="246"/>
        <v>-1156.1787093230223</v>
      </c>
      <c r="W91" s="199">
        <f t="shared" si="247"/>
        <v>107.26303779222258</v>
      </c>
      <c r="X91" s="197"/>
      <c r="Z91" s="900">
        <v>4</v>
      </c>
      <c r="AA91" s="759">
        <f>'Energy NPV'!$D16</f>
        <v>26</v>
      </c>
      <c r="AB91" s="197">
        <f>'Energy Inputs'!$D$58*$AB$84</f>
        <v>65.625</v>
      </c>
      <c r="AC91" s="197">
        <f t="shared" si="294"/>
        <v>1706.25</v>
      </c>
      <c r="AD91" s="197">
        <f>'Margins summary'!$Q$14</f>
        <v>330</v>
      </c>
      <c r="AE91" s="197">
        <f t="shared" si="248"/>
        <v>2036.25</v>
      </c>
      <c r="AF91" s="197"/>
      <c r="AG91" s="918">
        <f>'Energy NPV'!U16</f>
        <v>637.73333400000001</v>
      </c>
      <c r="AH91" s="197"/>
      <c r="AI91" s="197">
        <f t="shared" si="249"/>
        <v>637.73333400000001</v>
      </c>
      <c r="AJ91" s="197">
        <f t="shared" si="229"/>
        <v>1068.516666</v>
      </c>
      <c r="AK91" s="197">
        <f t="shared" si="230"/>
        <v>1398.516666</v>
      </c>
      <c r="AL91" s="196">
        <f t="shared" si="250"/>
        <v>1561.4604562713284</v>
      </c>
      <c r="AM91" s="197">
        <f t="shared" si="251"/>
        <v>301.99674758654265</v>
      </c>
      <c r="AN91" s="197">
        <f t="shared" si="252"/>
        <v>583.61634150158272</v>
      </c>
      <c r="AO91" s="197">
        <f t="shared" si="253"/>
        <v>977.84411476974572</v>
      </c>
      <c r="AP91" s="199">
        <f t="shared" si="254"/>
        <v>1279.8408623562884</v>
      </c>
      <c r="AQ91" s="196">
        <f t="shared" si="295"/>
        <v>3218.0138543295807</v>
      </c>
      <c r="AR91" s="197">
        <f t="shared" si="255"/>
        <v>1263.4417471152447</v>
      </c>
      <c r="AS91" s="197">
        <f t="shared" si="256"/>
        <v>3301.5212788760755</v>
      </c>
      <c r="AT91" s="197">
        <f t="shared" si="257"/>
        <v>-83.507424546495145</v>
      </c>
      <c r="AU91" s="199">
        <f t="shared" si="258"/>
        <v>1179.9343225687496</v>
      </c>
      <c r="AV91" s="197"/>
      <c r="AX91" s="900">
        <v>4</v>
      </c>
      <c r="AY91" s="759">
        <f>'Energy NPV'!$D16</f>
        <v>26</v>
      </c>
      <c r="AZ91" s="197">
        <f>'Energy Inputs'!$D$58*$AZ$84</f>
        <v>21.875</v>
      </c>
      <c r="BA91" s="197">
        <f t="shared" si="296"/>
        <v>568.75</v>
      </c>
      <c r="BB91" s="197">
        <f>'Margins summary'!$Q$14</f>
        <v>330</v>
      </c>
      <c r="BC91" s="197">
        <f t="shared" si="259"/>
        <v>898.75</v>
      </c>
      <c r="BD91" s="197"/>
      <c r="BE91" s="918">
        <f>'Energy NPV'!U16</f>
        <v>637.73333400000001</v>
      </c>
      <c r="BF91" s="197"/>
      <c r="BG91" s="197">
        <f t="shared" si="260"/>
        <v>637.73333400000001</v>
      </c>
      <c r="BH91" s="197">
        <f t="shared" si="231"/>
        <v>-68.983334000000013</v>
      </c>
      <c r="BI91" s="197">
        <f t="shared" si="232"/>
        <v>261.01666599999999</v>
      </c>
      <c r="BJ91" s="196">
        <f t="shared" si="261"/>
        <v>520.48681875710952</v>
      </c>
      <c r="BK91" s="197">
        <f t="shared" si="262"/>
        <v>301.99674758654265</v>
      </c>
      <c r="BL91" s="197">
        <f t="shared" si="263"/>
        <v>583.61634150158272</v>
      </c>
      <c r="BM91" s="197">
        <f t="shared" si="264"/>
        <v>-63.129522744473242</v>
      </c>
      <c r="BN91" s="199">
        <f t="shared" si="265"/>
        <v>238.86722484206942</v>
      </c>
      <c r="BO91" s="196">
        <f t="shared" si="297"/>
        <v>1072.671284776527</v>
      </c>
      <c r="BP91" s="197">
        <f t="shared" si="266"/>
        <v>1263.4417471152447</v>
      </c>
      <c r="BQ91" s="197">
        <f t="shared" si="267"/>
        <v>3301.5212788760755</v>
      </c>
      <c r="BR91" s="197">
        <f t="shared" si="268"/>
        <v>-2228.8499940995489</v>
      </c>
      <c r="BS91" s="199">
        <f t="shared" si="269"/>
        <v>-965.40824698430447</v>
      </c>
      <c r="BV91" s="419">
        <v>4</v>
      </c>
      <c r="BW91" s="759">
        <f>'Energy NPV'!$D16</f>
        <v>26</v>
      </c>
      <c r="BX91" s="197">
        <f>'Energy Inputs'!$D$58*$BX$84</f>
        <v>87.5</v>
      </c>
      <c r="BY91" s="197">
        <f t="shared" si="298"/>
        <v>2275</v>
      </c>
      <c r="BZ91" s="197">
        <f>'Margins summary'!$Q$14</f>
        <v>330</v>
      </c>
      <c r="CA91" s="197">
        <f t="shared" si="270"/>
        <v>2605</v>
      </c>
      <c r="CB91" s="197"/>
      <c r="CC91" s="918">
        <f>'Energy NPV'!U16</f>
        <v>637.73333400000001</v>
      </c>
      <c r="CD91" s="197"/>
      <c r="CE91" s="197">
        <f t="shared" si="271"/>
        <v>637.73333400000001</v>
      </c>
      <c r="CF91" s="197">
        <f t="shared" si="233"/>
        <v>1637.266666</v>
      </c>
      <c r="CG91" s="197">
        <f t="shared" si="234"/>
        <v>1967.266666</v>
      </c>
      <c r="CH91" s="196">
        <f t="shared" si="272"/>
        <v>2081.9472750284381</v>
      </c>
      <c r="CI91" s="197">
        <f t="shared" si="273"/>
        <v>301.99674758654265</v>
      </c>
      <c r="CJ91" s="197">
        <f t="shared" si="274"/>
        <v>583.61634150158272</v>
      </c>
      <c r="CK91" s="197">
        <f t="shared" si="275"/>
        <v>1498.3309335268552</v>
      </c>
      <c r="CL91" s="199">
        <f t="shared" si="276"/>
        <v>1800.3276811133978</v>
      </c>
      <c r="CM91" s="196">
        <f t="shared" si="299"/>
        <v>4290.6851391061082</v>
      </c>
      <c r="CN91" s="197">
        <f t="shared" si="277"/>
        <v>1263.4417471152447</v>
      </c>
      <c r="CO91" s="197">
        <f t="shared" si="278"/>
        <v>3301.5212788760755</v>
      </c>
      <c r="CP91" s="197">
        <f t="shared" si="279"/>
        <v>989.16386023003179</v>
      </c>
      <c r="CQ91" s="199">
        <f t="shared" si="280"/>
        <v>2252.6056073452764</v>
      </c>
      <c r="CT91" s="204">
        <f t="shared" si="300"/>
        <v>4</v>
      </c>
      <c r="CU91" s="759">
        <f>'Energy NPV'!$D16</f>
        <v>26</v>
      </c>
      <c r="CV91" s="197">
        <f>'Energy Inputs'!$D$58*$CV$84</f>
        <v>0</v>
      </c>
      <c r="CW91" s="197">
        <f t="shared" si="301"/>
        <v>0</v>
      </c>
      <c r="CX91" s="197">
        <f>'Margins summary'!$Q$14</f>
        <v>330</v>
      </c>
      <c r="CY91" s="197">
        <f t="shared" si="281"/>
        <v>330</v>
      </c>
      <c r="CZ91" s="197"/>
      <c r="DA91" s="918">
        <f>'Energy NPV'!U16</f>
        <v>637.73333400000001</v>
      </c>
      <c r="DB91" s="197"/>
      <c r="DC91" s="197">
        <f t="shared" si="282"/>
        <v>637.73333400000001</v>
      </c>
      <c r="DD91" s="197">
        <f t="shared" si="235"/>
        <v>-637.73333400000001</v>
      </c>
      <c r="DE91" s="197">
        <f t="shared" si="236"/>
        <v>-307.73333400000001</v>
      </c>
      <c r="DF91" s="196">
        <f t="shared" si="283"/>
        <v>0</v>
      </c>
      <c r="DG91" s="197">
        <f t="shared" si="284"/>
        <v>301.99674758654265</v>
      </c>
      <c r="DH91" s="197">
        <f t="shared" si="285"/>
        <v>583.61634150158272</v>
      </c>
      <c r="DI91" s="197">
        <f t="shared" si="286"/>
        <v>-583.61634150158272</v>
      </c>
      <c r="DJ91" s="199">
        <f t="shared" si="287"/>
        <v>-281.61959391504007</v>
      </c>
      <c r="DK91" s="196">
        <f t="shared" si="302"/>
        <v>0</v>
      </c>
      <c r="DL91" s="197">
        <f t="shared" si="288"/>
        <v>1263.4417471152447</v>
      </c>
      <c r="DM91" s="197">
        <f t="shared" si="289"/>
        <v>3301.5212788760755</v>
      </c>
      <c r="DN91" s="197">
        <f t="shared" si="290"/>
        <v>-3301.5212788760755</v>
      </c>
      <c r="DO91" s="199">
        <f t="shared" si="291"/>
        <v>-2038.0795317608313</v>
      </c>
    </row>
    <row r="92" spans="2:119" x14ac:dyDescent="0.3">
      <c r="B92" s="900">
        <v>5</v>
      </c>
      <c r="C92" s="760">
        <f>'Energy NPV'!$D17</f>
        <v>0</v>
      </c>
      <c r="D92" s="197">
        <f>'Energy Inputs'!$D$58*$E$84</f>
        <v>43.75</v>
      </c>
      <c r="E92" s="197">
        <f t="shared" si="292"/>
        <v>0</v>
      </c>
      <c r="F92" s="197">
        <f>'Margins summary'!$Q$14</f>
        <v>330</v>
      </c>
      <c r="G92" s="197">
        <f t="shared" si="237"/>
        <v>330</v>
      </c>
      <c r="H92" s="197"/>
      <c r="I92" s="918">
        <f>'Energy NPV'!U17</f>
        <v>0</v>
      </c>
      <c r="J92" s="197"/>
      <c r="K92" s="197">
        <f t="shared" si="238"/>
        <v>0</v>
      </c>
      <c r="L92" s="197">
        <f t="shared" si="227"/>
        <v>0</v>
      </c>
      <c r="M92" s="197">
        <f t="shared" si="228"/>
        <v>330</v>
      </c>
      <c r="N92" s="1036">
        <f t="shared" si="239"/>
        <v>0</v>
      </c>
      <c r="O92" s="1037">
        <f t="shared" si="240"/>
        <v>293.20072581217738</v>
      </c>
      <c r="P92" s="1037">
        <f t="shared" si="241"/>
        <v>0</v>
      </c>
      <c r="Q92" s="197">
        <f t="shared" si="242"/>
        <v>0</v>
      </c>
      <c r="R92" s="199">
        <f t="shared" si="243"/>
        <v>293.20072581217738</v>
      </c>
      <c r="S92" s="196">
        <f t="shared" si="293"/>
        <v>2145.3425695530541</v>
      </c>
      <c r="T92" s="197">
        <f t="shared" si="244"/>
        <v>1556.642472927422</v>
      </c>
      <c r="U92" s="197">
        <f t="shared" si="245"/>
        <v>3301.5212788760755</v>
      </c>
      <c r="V92" s="197">
        <f t="shared" si="246"/>
        <v>-1156.1787093230223</v>
      </c>
      <c r="W92" s="199">
        <f t="shared" si="247"/>
        <v>400.46376360439996</v>
      </c>
      <c r="X92" s="197"/>
      <c r="Z92" s="900">
        <v>5</v>
      </c>
      <c r="AA92" s="759">
        <f>'Energy NPV'!$D17</f>
        <v>0</v>
      </c>
      <c r="AB92" s="197">
        <f>'Energy Inputs'!$D$58*$AB$84</f>
        <v>65.625</v>
      </c>
      <c r="AC92" s="197">
        <f t="shared" si="294"/>
        <v>0</v>
      </c>
      <c r="AD92" s="197">
        <f>'Margins summary'!$Q$14</f>
        <v>330</v>
      </c>
      <c r="AE92" s="197">
        <f t="shared" si="248"/>
        <v>330</v>
      </c>
      <c r="AF92" s="197"/>
      <c r="AG92" s="918">
        <f>'Energy NPV'!U17</f>
        <v>0</v>
      </c>
      <c r="AH92" s="197"/>
      <c r="AI92" s="197">
        <f t="shared" si="249"/>
        <v>0</v>
      </c>
      <c r="AJ92" s="197">
        <f t="shared" si="229"/>
        <v>0</v>
      </c>
      <c r="AK92" s="197">
        <f t="shared" si="230"/>
        <v>330</v>
      </c>
      <c r="AL92" s="196">
        <f t="shared" si="250"/>
        <v>0</v>
      </c>
      <c r="AM92" s="197">
        <f t="shared" si="251"/>
        <v>293.20072581217738</v>
      </c>
      <c r="AN92" s="197">
        <f t="shared" si="252"/>
        <v>0</v>
      </c>
      <c r="AO92" s="197">
        <f t="shared" si="253"/>
        <v>0</v>
      </c>
      <c r="AP92" s="199">
        <f t="shared" si="254"/>
        <v>293.20072581217738</v>
      </c>
      <c r="AQ92" s="196">
        <f t="shared" si="295"/>
        <v>3218.0138543295807</v>
      </c>
      <c r="AR92" s="197">
        <f t="shared" si="255"/>
        <v>1556.642472927422</v>
      </c>
      <c r="AS92" s="197">
        <f t="shared" si="256"/>
        <v>3301.5212788760755</v>
      </c>
      <c r="AT92" s="197">
        <f t="shared" si="257"/>
        <v>-83.507424546495145</v>
      </c>
      <c r="AU92" s="199">
        <f t="shared" si="258"/>
        <v>1473.1350483809269</v>
      </c>
      <c r="AV92" s="197"/>
      <c r="AX92" s="900">
        <v>5</v>
      </c>
      <c r="AY92" s="759">
        <f>'Energy NPV'!$D17</f>
        <v>0</v>
      </c>
      <c r="AZ92" s="197">
        <f>'Energy Inputs'!$D$58*$AZ$84</f>
        <v>21.875</v>
      </c>
      <c r="BA92" s="197">
        <f t="shared" si="296"/>
        <v>0</v>
      </c>
      <c r="BB92" s="197">
        <f>'Margins summary'!$Q$14</f>
        <v>330</v>
      </c>
      <c r="BC92" s="197">
        <f t="shared" si="259"/>
        <v>330</v>
      </c>
      <c r="BD92" s="197"/>
      <c r="BE92" s="918">
        <f>'Energy NPV'!U17</f>
        <v>0</v>
      </c>
      <c r="BF92" s="197"/>
      <c r="BG92" s="197">
        <f t="shared" si="260"/>
        <v>0</v>
      </c>
      <c r="BH92" s="197">
        <f t="shared" si="231"/>
        <v>0</v>
      </c>
      <c r="BI92" s="197">
        <f t="shared" si="232"/>
        <v>330</v>
      </c>
      <c r="BJ92" s="196">
        <f t="shared" si="261"/>
        <v>0</v>
      </c>
      <c r="BK92" s="197">
        <f t="shared" si="262"/>
        <v>293.20072581217738</v>
      </c>
      <c r="BL92" s="197">
        <f t="shared" si="263"/>
        <v>0</v>
      </c>
      <c r="BM92" s="197">
        <f t="shared" si="264"/>
        <v>0</v>
      </c>
      <c r="BN92" s="199">
        <f t="shared" si="265"/>
        <v>293.20072581217738</v>
      </c>
      <c r="BO92" s="196">
        <f t="shared" si="297"/>
        <v>1072.671284776527</v>
      </c>
      <c r="BP92" s="197">
        <f t="shared" si="266"/>
        <v>1556.642472927422</v>
      </c>
      <c r="BQ92" s="197">
        <f t="shared" si="267"/>
        <v>3301.5212788760755</v>
      </c>
      <c r="BR92" s="197">
        <f t="shared" si="268"/>
        <v>-2228.8499940995489</v>
      </c>
      <c r="BS92" s="199">
        <f t="shared" si="269"/>
        <v>-672.20752117212714</v>
      </c>
      <c r="BV92" s="419">
        <v>5</v>
      </c>
      <c r="BW92" s="759">
        <f>'Energy NPV'!$D17</f>
        <v>0</v>
      </c>
      <c r="BX92" s="197">
        <f>'Energy Inputs'!$D$58*$BX$84</f>
        <v>87.5</v>
      </c>
      <c r="BY92" s="197">
        <f t="shared" si="298"/>
        <v>0</v>
      </c>
      <c r="BZ92" s="197">
        <f>'Margins summary'!$Q$14</f>
        <v>330</v>
      </c>
      <c r="CA92" s="197">
        <f t="shared" si="270"/>
        <v>330</v>
      </c>
      <c r="CB92" s="197"/>
      <c r="CC92" s="918">
        <f>'Energy NPV'!U17</f>
        <v>0</v>
      </c>
      <c r="CD92" s="197"/>
      <c r="CE92" s="197">
        <f t="shared" si="271"/>
        <v>0</v>
      </c>
      <c r="CF92" s="197">
        <f t="shared" si="233"/>
        <v>0</v>
      </c>
      <c r="CG92" s="197">
        <f t="shared" si="234"/>
        <v>330</v>
      </c>
      <c r="CH92" s="196">
        <f t="shared" si="272"/>
        <v>0</v>
      </c>
      <c r="CI92" s="197">
        <f t="shared" si="273"/>
        <v>293.20072581217738</v>
      </c>
      <c r="CJ92" s="197">
        <f t="shared" si="274"/>
        <v>0</v>
      </c>
      <c r="CK92" s="197">
        <f t="shared" si="275"/>
        <v>0</v>
      </c>
      <c r="CL92" s="199">
        <f t="shared" si="276"/>
        <v>293.20072581217738</v>
      </c>
      <c r="CM92" s="196">
        <f t="shared" si="299"/>
        <v>4290.6851391061082</v>
      </c>
      <c r="CN92" s="197">
        <f t="shared" si="277"/>
        <v>1556.642472927422</v>
      </c>
      <c r="CO92" s="197">
        <f t="shared" si="278"/>
        <v>3301.5212788760755</v>
      </c>
      <c r="CP92" s="197">
        <f t="shared" si="279"/>
        <v>989.16386023003179</v>
      </c>
      <c r="CQ92" s="199">
        <f t="shared" si="280"/>
        <v>2545.806333157454</v>
      </c>
      <c r="CT92" s="204">
        <f t="shared" si="300"/>
        <v>5</v>
      </c>
      <c r="CU92" s="759">
        <f>'Energy NPV'!$D17</f>
        <v>0</v>
      </c>
      <c r="CV92" s="197">
        <f>'Energy Inputs'!$D$58*$CV$84</f>
        <v>0</v>
      </c>
      <c r="CW92" s="197">
        <f t="shared" si="301"/>
        <v>0</v>
      </c>
      <c r="CX92" s="197">
        <f>'Margins summary'!$Q$14</f>
        <v>330</v>
      </c>
      <c r="CY92" s="197">
        <f t="shared" si="281"/>
        <v>330</v>
      </c>
      <c r="CZ92" s="197"/>
      <c r="DA92" s="918">
        <f>'Energy NPV'!U17</f>
        <v>0</v>
      </c>
      <c r="DB92" s="197"/>
      <c r="DC92" s="197">
        <f t="shared" si="282"/>
        <v>0</v>
      </c>
      <c r="DD92" s="197">
        <f t="shared" si="235"/>
        <v>0</v>
      </c>
      <c r="DE92" s="197">
        <f t="shared" si="236"/>
        <v>330</v>
      </c>
      <c r="DF92" s="196">
        <f t="shared" si="283"/>
        <v>0</v>
      </c>
      <c r="DG92" s="197">
        <f t="shared" si="284"/>
        <v>293.20072581217738</v>
      </c>
      <c r="DH92" s="197">
        <f t="shared" si="285"/>
        <v>0</v>
      </c>
      <c r="DI92" s="197">
        <f t="shared" si="286"/>
        <v>0</v>
      </c>
      <c r="DJ92" s="199">
        <f t="shared" si="287"/>
        <v>293.20072581217738</v>
      </c>
      <c r="DK92" s="196">
        <f t="shared" si="302"/>
        <v>0</v>
      </c>
      <c r="DL92" s="197">
        <f t="shared" si="288"/>
        <v>1556.642472927422</v>
      </c>
      <c r="DM92" s="197">
        <f t="shared" si="289"/>
        <v>3301.5212788760755</v>
      </c>
      <c r="DN92" s="197">
        <f t="shared" si="290"/>
        <v>-3301.5212788760755</v>
      </c>
      <c r="DO92" s="199">
        <f t="shared" si="291"/>
        <v>-1744.878805948654</v>
      </c>
    </row>
    <row r="93" spans="2:119" x14ac:dyDescent="0.3">
      <c r="B93" s="900">
        <v>6</v>
      </c>
      <c r="C93" s="760">
        <f>'Energy NPV'!$D18</f>
        <v>26</v>
      </c>
      <c r="D93" s="197">
        <f>'Energy Inputs'!$D$58*$E$84</f>
        <v>43.75</v>
      </c>
      <c r="E93" s="197">
        <f t="shared" si="292"/>
        <v>1137.5</v>
      </c>
      <c r="F93" s="197">
        <f>'Margins summary'!$Q$14</f>
        <v>330</v>
      </c>
      <c r="G93" s="197">
        <f t="shared" si="237"/>
        <v>1467.5</v>
      </c>
      <c r="H93" s="197"/>
      <c r="I93" s="918">
        <f>'Energy NPV'!U18</f>
        <v>637.73333400000001</v>
      </c>
      <c r="J93" s="197"/>
      <c r="K93" s="197">
        <f t="shared" si="238"/>
        <v>637.73333400000001</v>
      </c>
      <c r="L93" s="197">
        <f t="shared" si="227"/>
        <v>499.76666599999999</v>
      </c>
      <c r="M93" s="197">
        <f t="shared" si="228"/>
        <v>829.76666599999999</v>
      </c>
      <c r="N93" s="1036">
        <f t="shared" si="239"/>
        <v>981.21749223698669</v>
      </c>
      <c r="O93" s="1037">
        <f t="shared" si="240"/>
        <v>284.66089884677416</v>
      </c>
      <c r="P93" s="1037">
        <f t="shared" si="241"/>
        <v>550.11437600300007</v>
      </c>
      <c r="Q93" s="197">
        <f t="shared" si="242"/>
        <v>431.10311623398655</v>
      </c>
      <c r="R93" s="199">
        <f t="shared" si="243"/>
        <v>715.76401508076071</v>
      </c>
      <c r="S93" s="196">
        <f t="shared" si="293"/>
        <v>3126.5600617900409</v>
      </c>
      <c r="T93" s="197">
        <f t="shared" si="244"/>
        <v>1841.3033717741962</v>
      </c>
      <c r="U93" s="197">
        <f t="shared" si="245"/>
        <v>3851.6356548790754</v>
      </c>
      <c r="V93" s="197">
        <f t="shared" si="246"/>
        <v>-725.07559308903569</v>
      </c>
      <c r="W93" s="199">
        <f t="shared" si="247"/>
        <v>1116.2277786851607</v>
      </c>
      <c r="X93" s="197"/>
      <c r="Z93" s="900">
        <v>6</v>
      </c>
      <c r="AA93" s="759">
        <f>'Energy NPV'!$D18</f>
        <v>26</v>
      </c>
      <c r="AB93" s="197">
        <f>'Energy Inputs'!$D$58*$AB$84</f>
        <v>65.625</v>
      </c>
      <c r="AC93" s="197">
        <f t="shared" si="294"/>
        <v>1706.25</v>
      </c>
      <c r="AD93" s="197">
        <f>'Margins summary'!$Q$14</f>
        <v>330</v>
      </c>
      <c r="AE93" s="197">
        <f t="shared" si="248"/>
        <v>2036.25</v>
      </c>
      <c r="AF93" s="197"/>
      <c r="AG93" s="918">
        <f>'Energy NPV'!U18</f>
        <v>637.73333400000001</v>
      </c>
      <c r="AH93" s="197"/>
      <c r="AI93" s="197">
        <f t="shared" si="249"/>
        <v>637.73333400000001</v>
      </c>
      <c r="AJ93" s="197">
        <f t="shared" si="229"/>
        <v>1068.516666</v>
      </c>
      <c r="AK93" s="197">
        <f t="shared" si="230"/>
        <v>1398.516666</v>
      </c>
      <c r="AL93" s="196">
        <f t="shared" si="250"/>
        <v>1471.82623835548</v>
      </c>
      <c r="AM93" s="197">
        <f t="shared" si="251"/>
        <v>284.66089884677416</v>
      </c>
      <c r="AN93" s="197">
        <f t="shared" si="252"/>
        <v>550.11437600300007</v>
      </c>
      <c r="AO93" s="197">
        <f t="shared" si="253"/>
        <v>921.7118623524799</v>
      </c>
      <c r="AP93" s="199">
        <f t="shared" si="254"/>
        <v>1206.372761199254</v>
      </c>
      <c r="AQ93" s="196">
        <f t="shared" si="295"/>
        <v>4689.8400926850609</v>
      </c>
      <c r="AR93" s="197">
        <f t="shared" si="255"/>
        <v>1841.3033717741962</v>
      </c>
      <c r="AS93" s="197">
        <f t="shared" si="256"/>
        <v>3851.6356548790754</v>
      </c>
      <c r="AT93" s="197">
        <f t="shared" si="257"/>
        <v>838.20443780598475</v>
      </c>
      <c r="AU93" s="199">
        <f t="shared" si="258"/>
        <v>2679.5078095801809</v>
      </c>
      <c r="AV93" s="197"/>
      <c r="AX93" s="900">
        <v>6</v>
      </c>
      <c r="AY93" s="759">
        <f>'Energy NPV'!$D18</f>
        <v>26</v>
      </c>
      <c r="AZ93" s="197">
        <f>'Energy Inputs'!$D$58*$AZ$84</f>
        <v>21.875</v>
      </c>
      <c r="BA93" s="197">
        <f t="shared" si="296"/>
        <v>568.75</v>
      </c>
      <c r="BB93" s="197">
        <f>'Margins summary'!$Q$14</f>
        <v>330</v>
      </c>
      <c r="BC93" s="197">
        <f t="shared" si="259"/>
        <v>898.75</v>
      </c>
      <c r="BD93" s="197"/>
      <c r="BE93" s="918">
        <f>'Energy NPV'!U18</f>
        <v>637.73333400000001</v>
      </c>
      <c r="BF93" s="197"/>
      <c r="BG93" s="197">
        <f t="shared" si="260"/>
        <v>637.73333400000001</v>
      </c>
      <c r="BH93" s="197">
        <f t="shared" si="231"/>
        <v>-68.983334000000013</v>
      </c>
      <c r="BI93" s="197">
        <f t="shared" si="232"/>
        <v>261.01666599999999</v>
      </c>
      <c r="BJ93" s="196">
        <f t="shared" si="261"/>
        <v>490.60874611849334</v>
      </c>
      <c r="BK93" s="197">
        <f t="shared" si="262"/>
        <v>284.66089884677416</v>
      </c>
      <c r="BL93" s="197">
        <f t="shared" si="263"/>
        <v>550.11437600300007</v>
      </c>
      <c r="BM93" s="197">
        <f t="shared" si="264"/>
        <v>-59.505629884506789</v>
      </c>
      <c r="BN93" s="199">
        <f t="shared" si="265"/>
        <v>225.15526896226737</v>
      </c>
      <c r="BO93" s="196">
        <f t="shared" si="297"/>
        <v>1563.2800308950204</v>
      </c>
      <c r="BP93" s="197">
        <f t="shared" si="266"/>
        <v>1841.3033717741962</v>
      </c>
      <c r="BQ93" s="197">
        <f t="shared" si="267"/>
        <v>3851.6356548790754</v>
      </c>
      <c r="BR93" s="197">
        <f t="shared" si="268"/>
        <v>-2288.3556239840555</v>
      </c>
      <c r="BS93" s="199">
        <f t="shared" si="269"/>
        <v>-447.05225220985977</v>
      </c>
      <c r="BV93" s="419">
        <v>6</v>
      </c>
      <c r="BW93" s="759">
        <f>'Energy NPV'!$D18</f>
        <v>26</v>
      </c>
      <c r="BX93" s="197">
        <f>'Energy Inputs'!$D$58*$BX$84</f>
        <v>87.5</v>
      </c>
      <c r="BY93" s="197">
        <f t="shared" si="298"/>
        <v>2275</v>
      </c>
      <c r="BZ93" s="197">
        <f>'Margins summary'!$Q$14</f>
        <v>330</v>
      </c>
      <c r="CA93" s="197">
        <f t="shared" si="270"/>
        <v>2605</v>
      </c>
      <c r="CB93" s="197"/>
      <c r="CC93" s="918">
        <f>'Energy NPV'!U18</f>
        <v>637.73333400000001</v>
      </c>
      <c r="CD93" s="197"/>
      <c r="CE93" s="197">
        <f t="shared" si="271"/>
        <v>637.73333400000001</v>
      </c>
      <c r="CF93" s="197">
        <f t="shared" si="233"/>
        <v>1637.266666</v>
      </c>
      <c r="CG93" s="197">
        <f t="shared" si="234"/>
        <v>1967.266666</v>
      </c>
      <c r="CH93" s="196">
        <f t="shared" si="272"/>
        <v>1962.4349844739734</v>
      </c>
      <c r="CI93" s="197">
        <f t="shared" si="273"/>
        <v>284.66089884677416</v>
      </c>
      <c r="CJ93" s="197">
        <f t="shared" si="274"/>
        <v>550.11437600300007</v>
      </c>
      <c r="CK93" s="197">
        <f t="shared" si="275"/>
        <v>1412.3206084709732</v>
      </c>
      <c r="CL93" s="199">
        <f t="shared" si="276"/>
        <v>1696.9815073177474</v>
      </c>
      <c r="CM93" s="196">
        <f t="shared" si="299"/>
        <v>6253.1201235800818</v>
      </c>
      <c r="CN93" s="197">
        <f t="shared" si="277"/>
        <v>1841.3033717741962</v>
      </c>
      <c r="CO93" s="197">
        <f t="shared" si="278"/>
        <v>3851.6356548790754</v>
      </c>
      <c r="CP93" s="197">
        <f t="shared" si="279"/>
        <v>2401.484468701005</v>
      </c>
      <c r="CQ93" s="199">
        <f t="shared" si="280"/>
        <v>4242.7878404752009</v>
      </c>
      <c r="CT93" s="204">
        <f t="shared" si="300"/>
        <v>6</v>
      </c>
      <c r="CU93" s="759">
        <f>'Energy NPV'!$D18</f>
        <v>26</v>
      </c>
      <c r="CV93" s="197">
        <f>'Energy Inputs'!$D$58*$CV$84</f>
        <v>0</v>
      </c>
      <c r="CW93" s="197">
        <f t="shared" si="301"/>
        <v>0</v>
      </c>
      <c r="CX93" s="197">
        <f>'Margins summary'!$Q$14</f>
        <v>330</v>
      </c>
      <c r="CY93" s="197">
        <f t="shared" si="281"/>
        <v>330</v>
      </c>
      <c r="CZ93" s="197"/>
      <c r="DA93" s="918">
        <f>'Energy NPV'!U18</f>
        <v>637.73333400000001</v>
      </c>
      <c r="DB93" s="197"/>
      <c r="DC93" s="197">
        <f t="shared" si="282"/>
        <v>637.73333400000001</v>
      </c>
      <c r="DD93" s="197">
        <f t="shared" si="235"/>
        <v>-637.73333400000001</v>
      </c>
      <c r="DE93" s="197">
        <f t="shared" si="236"/>
        <v>-307.73333400000001</v>
      </c>
      <c r="DF93" s="196">
        <f t="shared" si="283"/>
        <v>0</v>
      </c>
      <c r="DG93" s="197">
        <f t="shared" si="284"/>
        <v>284.66089884677416</v>
      </c>
      <c r="DH93" s="197">
        <f t="shared" si="285"/>
        <v>550.11437600300007</v>
      </c>
      <c r="DI93" s="197">
        <f t="shared" si="286"/>
        <v>-550.11437600300007</v>
      </c>
      <c r="DJ93" s="199">
        <f t="shared" si="287"/>
        <v>-265.45347715622597</v>
      </c>
      <c r="DK93" s="196">
        <f t="shared" si="302"/>
        <v>0</v>
      </c>
      <c r="DL93" s="197">
        <f t="shared" si="288"/>
        <v>1841.3033717741962</v>
      </c>
      <c r="DM93" s="197">
        <f t="shared" si="289"/>
        <v>3851.6356548790754</v>
      </c>
      <c r="DN93" s="197">
        <f t="shared" si="290"/>
        <v>-3851.6356548790754</v>
      </c>
      <c r="DO93" s="199">
        <f t="shared" si="291"/>
        <v>-2010.3322831048799</v>
      </c>
    </row>
    <row r="94" spans="2:119" x14ac:dyDescent="0.3">
      <c r="B94" s="900">
        <v>7</v>
      </c>
      <c r="C94" s="760">
        <f>'Energy NPV'!$D19</f>
        <v>0</v>
      </c>
      <c r="D94" s="197">
        <f>'Energy Inputs'!$D$58*$E$84</f>
        <v>43.75</v>
      </c>
      <c r="E94" s="197">
        <f t="shared" si="292"/>
        <v>0</v>
      </c>
      <c r="F94" s="197">
        <f>'Margins summary'!$Q$14</f>
        <v>330</v>
      </c>
      <c r="G94" s="197">
        <f t="shared" si="237"/>
        <v>330</v>
      </c>
      <c r="H94" s="197"/>
      <c r="I94" s="918">
        <f>'Energy NPV'!U19</f>
        <v>0</v>
      </c>
      <c r="J94" s="197"/>
      <c r="K94" s="197">
        <f t="shared" si="238"/>
        <v>0</v>
      </c>
      <c r="L94" s="197">
        <f t="shared" si="227"/>
        <v>0</v>
      </c>
      <c r="M94" s="197">
        <f t="shared" si="228"/>
        <v>330</v>
      </c>
      <c r="N94" s="1036">
        <f t="shared" si="239"/>
        <v>0</v>
      </c>
      <c r="O94" s="1037">
        <f t="shared" si="240"/>
        <v>276.36980470560593</v>
      </c>
      <c r="P94" s="1037">
        <f t="shared" si="241"/>
        <v>0</v>
      </c>
      <c r="Q94" s="197">
        <f t="shared" si="242"/>
        <v>0</v>
      </c>
      <c r="R94" s="199">
        <f t="shared" si="243"/>
        <v>276.36980470560593</v>
      </c>
      <c r="S94" s="196">
        <f t="shared" si="293"/>
        <v>3126.5600617900409</v>
      </c>
      <c r="T94" s="197">
        <f t="shared" si="244"/>
        <v>2117.6731764798024</v>
      </c>
      <c r="U94" s="197">
        <f t="shared" si="245"/>
        <v>3851.6356548790754</v>
      </c>
      <c r="V94" s="197">
        <f t="shared" si="246"/>
        <v>-725.07559308903569</v>
      </c>
      <c r="W94" s="199">
        <f t="shared" si="247"/>
        <v>1392.5975833907667</v>
      </c>
      <c r="X94" s="197"/>
      <c r="Z94" s="900">
        <v>7</v>
      </c>
      <c r="AA94" s="759">
        <f>'Energy NPV'!$D19</f>
        <v>0</v>
      </c>
      <c r="AB94" s="197">
        <f>'Energy Inputs'!$D$58*$AB$84</f>
        <v>65.625</v>
      </c>
      <c r="AC94" s="197">
        <f t="shared" si="294"/>
        <v>0</v>
      </c>
      <c r="AD94" s="197">
        <f>'Margins summary'!$Q$14</f>
        <v>330</v>
      </c>
      <c r="AE94" s="197">
        <f t="shared" si="248"/>
        <v>330</v>
      </c>
      <c r="AF94" s="197"/>
      <c r="AG94" s="918">
        <f>'Energy NPV'!U19</f>
        <v>0</v>
      </c>
      <c r="AH94" s="197"/>
      <c r="AI94" s="197">
        <f t="shared" si="249"/>
        <v>0</v>
      </c>
      <c r="AJ94" s="197">
        <f t="shared" si="229"/>
        <v>0</v>
      </c>
      <c r="AK94" s="197">
        <f t="shared" si="230"/>
        <v>330</v>
      </c>
      <c r="AL94" s="196">
        <f t="shared" si="250"/>
        <v>0</v>
      </c>
      <c r="AM94" s="197">
        <f t="shared" si="251"/>
        <v>276.36980470560593</v>
      </c>
      <c r="AN94" s="197">
        <f t="shared" si="252"/>
        <v>0</v>
      </c>
      <c r="AO94" s="197">
        <f t="shared" si="253"/>
        <v>0</v>
      </c>
      <c r="AP94" s="199">
        <f t="shared" si="254"/>
        <v>276.36980470560593</v>
      </c>
      <c r="AQ94" s="196">
        <f t="shared" si="295"/>
        <v>4689.8400926850609</v>
      </c>
      <c r="AR94" s="197">
        <f t="shared" si="255"/>
        <v>2117.6731764798024</v>
      </c>
      <c r="AS94" s="197">
        <f t="shared" si="256"/>
        <v>3851.6356548790754</v>
      </c>
      <c r="AT94" s="197">
        <f t="shared" si="257"/>
        <v>838.20443780598475</v>
      </c>
      <c r="AU94" s="199">
        <f t="shared" si="258"/>
        <v>2955.8776142857869</v>
      </c>
      <c r="AV94" s="197"/>
      <c r="AX94" s="900">
        <v>7</v>
      </c>
      <c r="AY94" s="759">
        <f>'Energy NPV'!$D19</f>
        <v>0</v>
      </c>
      <c r="AZ94" s="197">
        <f>'Energy Inputs'!$D$58*$AZ$84</f>
        <v>21.875</v>
      </c>
      <c r="BA94" s="197">
        <f t="shared" si="296"/>
        <v>0</v>
      </c>
      <c r="BB94" s="197">
        <f>'Margins summary'!$Q$14</f>
        <v>330</v>
      </c>
      <c r="BC94" s="197">
        <f t="shared" si="259"/>
        <v>330</v>
      </c>
      <c r="BD94" s="197"/>
      <c r="BE94" s="918">
        <f>'Energy NPV'!U19</f>
        <v>0</v>
      </c>
      <c r="BF94" s="197"/>
      <c r="BG94" s="197">
        <f t="shared" si="260"/>
        <v>0</v>
      </c>
      <c r="BH94" s="197">
        <f t="shared" si="231"/>
        <v>0</v>
      </c>
      <c r="BI94" s="197">
        <f t="shared" si="232"/>
        <v>330</v>
      </c>
      <c r="BJ94" s="196">
        <f t="shared" si="261"/>
        <v>0</v>
      </c>
      <c r="BK94" s="197">
        <f t="shared" si="262"/>
        <v>276.36980470560593</v>
      </c>
      <c r="BL94" s="197">
        <f t="shared" si="263"/>
        <v>0</v>
      </c>
      <c r="BM94" s="197">
        <f t="shared" si="264"/>
        <v>0</v>
      </c>
      <c r="BN94" s="199">
        <f t="shared" si="265"/>
        <v>276.36980470560593</v>
      </c>
      <c r="BO94" s="196">
        <f t="shared" si="297"/>
        <v>1563.2800308950204</v>
      </c>
      <c r="BP94" s="197">
        <f t="shared" si="266"/>
        <v>2117.6731764798024</v>
      </c>
      <c r="BQ94" s="197">
        <f t="shared" si="267"/>
        <v>3851.6356548790754</v>
      </c>
      <c r="BR94" s="197">
        <f t="shared" si="268"/>
        <v>-2288.3556239840555</v>
      </c>
      <c r="BS94" s="199">
        <f t="shared" si="269"/>
        <v>-170.68244750425384</v>
      </c>
      <c r="BV94" s="419">
        <v>7</v>
      </c>
      <c r="BW94" s="759">
        <f>'Energy NPV'!$D19</f>
        <v>0</v>
      </c>
      <c r="BX94" s="197">
        <f>'Energy Inputs'!$D$58*$BX$84</f>
        <v>87.5</v>
      </c>
      <c r="BY94" s="197">
        <f t="shared" si="298"/>
        <v>0</v>
      </c>
      <c r="BZ94" s="197">
        <f>'Margins summary'!$Q$14</f>
        <v>330</v>
      </c>
      <c r="CA94" s="197">
        <f t="shared" si="270"/>
        <v>330</v>
      </c>
      <c r="CB94" s="197"/>
      <c r="CC94" s="918">
        <f>'Energy NPV'!U19</f>
        <v>0</v>
      </c>
      <c r="CD94" s="197"/>
      <c r="CE94" s="197">
        <f t="shared" si="271"/>
        <v>0</v>
      </c>
      <c r="CF94" s="197">
        <f t="shared" si="233"/>
        <v>0</v>
      </c>
      <c r="CG94" s="197">
        <f t="shared" si="234"/>
        <v>330</v>
      </c>
      <c r="CH94" s="196">
        <f t="shared" si="272"/>
        <v>0</v>
      </c>
      <c r="CI94" s="197">
        <f t="shared" si="273"/>
        <v>276.36980470560593</v>
      </c>
      <c r="CJ94" s="197">
        <f t="shared" si="274"/>
        <v>0</v>
      </c>
      <c r="CK94" s="197">
        <f t="shared" si="275"/>
        <v>0</v>
      </c>
      <c r="CL94" s="199">
        <f t="shared" si="276"/>
        <v>276.36980470560593</v>
      </c>
      <c r="CM94" s="196">
        <f t="shared" si="299"/>
        <v>6253.1201235800818</v>
      </c>
      <c r="CN94" s="197">
        <f t="shared" si="277"/>
        <v>2117.6731764798024</v>
      </c>
      <c r="CO94" s="197">
        <f t="shared" si="278"/>
        <v>3851.6356548790754</v>
      </c>
      <c r="CP94" s="197">
        <f t="shared" si="279"/>
        <v>2401.484468701005</v>
      </c>
      <c r="CQ94" s="199">
        <f t="shared" si="280"/>
        <v>4519.1576451808069</v>
      </c>
      <c r="CT94" s="204">
        <f t="shared" si="300"/>
        <v>7</v>
      </c>
      <c r="CU94" s="759">
        <f>'Energy NPV'!$D19</f>
        <v>0</v>
      </c>
      <c r="CV94" s="197">
        <f>'Energy Inputs'!$D$58*$CV$84</f>
        <v>0</v>
      </c>
      <c r="CW94" s="197">
        <f t="shared" si="301"/>
        <v>0</v>
      </c>
      <c r="CX94" s="197">
        <f>'Margins summary'!$Q$14</f>
        <v>330</v>
      </c>
      <c r="CY94" s="197">
        <f t="shared" si="281"/>
        <v>330</v>
      </c>
      <c r="CZ94" s="197"/>
      <c r="DA94" s="918">
        <f>'Energy NPV'!U19</f>
        <v>0</v>
      </c>
      <c r="DB94" s="197"/>
      <c r="DC94" s="197">
        <f t="shared" si="282"/>
        <v>0</v>
      </c>
      <c r="DD94" s="197">
        <f t="shared" si="235"/>
        <v>0</v>
      </c>
      <c r="DE94" s="197">
        <f t="shared" si="236"/>
        <v>330</v>
      </c>
      <c r="DF94" s="196">
        <f t="shared" si="283"/>
        <v>0</v>
      </c>
      <c r="DG94" s="197">
        <f t="shared" si="284"/>
        <v>276.36980470560593</v>
      </c>
      <c r="DH94" s="197">
        <f t="shared" si="285"/>
        <v>0</v>
      </c>
      <c r="DI94" s="197">
        <f t="shared" si="286"/>
        <v>0</v>
      </c>
      <c r="DJ94" s="199">
        <f t="shared" si="287"/>
        <v>276.36980470560593</v>
      </c>
      <c r="DK94" s="196">
        <f t="shared" si="302"/>
        <v>0</v>
      </c>
      <c r="DL94" s="197">
        <f t="shared" si="288"/>
        <v>2117.6731764798024</v>
      </c>
      <c r="DM94" s="197">
        <f t="shared" si="289"/>
        <v>3851.6356548790754</v>
      </c>
      <c r="DN94" s="197">
        <f t="shared" si="290"/>
        <v>-3851.6356548790754</v>
      </c>
      <c r="DO94" s="199">
        <f t="shared" si="291"/>
        <v>-1733.962478399274</v>
      </c>
    </row>
    <row r="95" spans="2:119" x14ac:dyDescent="0.3">
      <c r="B95" s="900">
        <v>8</v>
      </c>
      <c r="C95" s="760">
        <f>'Energy NPV'!$D20</f>
        <v>26</v>
      </c>
      <c r="D95" s="197">
        <f>'Energy Inputs'!$D$58*$E$84</f>
        <v>43.75</v>
      </c>
      <c r="E95" s="197">
        <f t="shared" si="292"/>
        <v>1137.5</v>
      </c>
      <c r="F95" s="197">
        <f>'Margins summary'!$Q$14</f>
        <v>330</v>
      </c>
      <c r="G95" s="197">
        <f t="shared" si="237"/>
        <v>1467.5</v>
      </c>
      <c r="H95" s="197"/>
      <c r="I95" s="918">
        <f>'Energy NPV'!U20</f>
        <v>637.73333400000001</v>
      </c>
      <c r="J95" s="197"/>
      <c r="K95" s="197">
        <f t="shared" si="238"/>
        <v>637.73333400000001</v>
      </c>
      <c r="L95" s="197">
        <f t="shared" si="227"/>
        <v>499.76666599999999</v>
      </c>
      <c r="M95" s="197">
        <f t="shared" si="228"/>
        <v>829.76666599999999</v>
      </c>
      <c r="N95" s="1036">
        <f t="shared" si="239"/>
        <v>924.89159415306494</v>
      </c>
      <c r="O95" s="1037">
        <f t="shared" si="240"/>
        <v>268.32019874330672</v>
      </c>
      <c r="P95" s="1037">
        <f t="shared" si="241"/>
        <v>518.53556037609587</v>
      </c>
      <c r="Q95" s="197">
        <f t="shared" si="242"/>
        <v>406.35603377696907</v>
      </c>
      <c r="R95" s="199">
        <f t="shared" si="243"/>
        <v>674.67623252027579</v>
      </c>
      <c r="S95" s="196">
        <f t="shared" si="293"/>
        <v>4051.4516559431058</v>
      </c>
      <c r="T95" s="197">
        <f t="shared" si="244"/>
        <v>2385.9933752231091</v>
      </c>
      <c r="U95" s="197">
        <f t="shared" si="245"/>
        <v>4370.1712152551718</v>
      </c>
      <c r="V95" s="197">
        <f t="shared" si="246"/>
        <v>-318.71955931206662</v>
      </c>
      <c r="W95" s="199">
        <f t="shared" si="247"/>
        <v>2067.2738159110422</v>
      </c>
      <c r="X95" s="197"/>
      <c r="Z95" s="900">
        <v>8</v>
      </c>
      <c r="AA95" s="759">
        <f>'Energy NPV'!$D20</f>
        <v>26</v>
      </c>
      <c r="AB95" s="197">
        <f>'Energy Inputs'!$D$58*$AB$84</f>
        <v>65.625</v>
      </c>
      <c r="AC95" s="197">
        <f t="shared" si="294"/>
        <v>1706.25</v>
      </c>
      <c r="AD95" s="197">
        <f>'Margins summary'!$Q$14</f>
        <v>330</v>
      </c>
      <c r="AE95" s="197">
        <f t="shared" si="248"/>
        <v>2036.25</v>
      </c>
      <c r="AF95" s="197"/>
      <c r="AG95" s="918">
        <f>'Energy NPV'!U20</f>
        <v>637.73333400000001</v>
      </c>
      <c r="AH95" s="197"/>
      <c r="AI95" s="197">
        <f t="shared" si="249"/>
        <v>637.73333400000001</v>
      </c>
      <c r="AJ95" s="197">
        <f t="shared" si="229"/>
        <v>1068.516666</v>
      </c>
      <c r="AK95" s="197">
        <f t="shared" si="230"/>
        <v>1398.516666</v>
      </c>
      <c r="AL95" s="196">
        <f t="shared" si="250"/>
        <v>1387.3373912295974</v>
      </c>
      <c r="AM95" s="197">
        <f t="shared" si="251"/>
        <v>268.32019874330672</v>
      </c>
      <c r="AN95" s="197">
        <f t="shared" si="252"/>
        <v>518.53556037609587</v>
      </c>
      <c r="AO95" s="197">
        <f t="shared" si="253"/>
        <v>868.80183085350154</v>
      </c>
      <c r="AP95" s="199">
        <f t="shared" si="254"/>
        <v>1137.1220295968083</v>
      </c>
      <c r="AQ95" s="196">
        <f t="shared" si="295"/>
        <v>6077.1774839146583</v>
      </c>
      <c r="AR95" s="197">
        <f t="shared" si="255"/>
        <v>2385.9933752231091</v>
      </c>
      <c r="AS95" s="197">
        <f t="shared" si="256"/>
        <v>4370.1712152551718</v>
      </c>
      <c r="AT95" s="197">
        <f t="shared" si="257"/>
        <v>1707.0062686594863</v>
      </c>
      <c r="AU95" s="199">
        <f t="shared" si="258"/>
        <v>4092.9996438825951</v>
      </c>
      <c r="AV95" s="197"/>
      <c r="AX95" s="900">
        <v>8</v>
      </c>
      <c r="AY95" s="759">
        <f>'Energy NPV'!$D20</f>
        <v>26</v>
      </c>
      <c r="AZ95" s="197">
        <f>'Energy Inputs'!$D$58*$AZ$84</f>
        <v>21.875</v>
      </c>
      <c r="BA95" s="197">
        <f t="shared" si="296"/>
        <v>568.75</v>
      </c>
      <c r="BB95" s="197">
        <f>'Margins summary'!$Q$14</f>
        <v>330</v>
      </c>
      <c r="BC95" s="197">
        <f t="shared" si="259"/>
        <v>898.75</v>
      </c>
      <c r="BD95" s="197"/>
      <c r="BE95" s="918">
        <f>'Energy NPV'!U20</f>
        <v>637.73333400000001</v>
      </c>
      <c r="BF95" s="197"/>
      <c r="BG95" s="197">
        <f t="shared" si="260"/>
        <v>637.73333400000001</v>
      </c>
      <c r="BH95" s="197">
        <f t="shared" si="231"/>
        <v>-68.983334000000013</v>
      </c>
      <c r="BI95" s="197">
        <f t="shared" si="232"/>
        <v>261.01666599999999</v>
      </c>
      <c r="BJ95" s="196">
        <f t="shared" si="261"/>
        <v>462.44579707653247</v>
      </c>
      <c r="BK95" s="197">
        <f t="shared" si="262"/>
        <v>268.32019874330672</v>
      </c>
      <c r="BL95" s="197">
        <f t="shared" si="263"/>
        <v>518.53556037609587</v>
      </c>
      <c r="BM95" s="197">
        <f t="shared" si="264"/>
        <v>-56.089763299563373</v>
      </c>
      <c r="BN95" s="199">
        <f t="shared" si="265"/>
        <v>212.23043544374337</v>
      </c>
      <c r="BO95" s="196">
        <f t="shared" si="297"/>
        <v>2025.7258279715529</v>
      </c>
      <c r="BP95" s="197">
        <f t="shared" si="266"/>
        <v>2385.9933752231091</v>
      </c>
      <c r="BQ95" s="197">
        <f t="shared" si="267"/>
        <v>4370.1712152551718</v>
      </c>
      <c r="BR95" s="197">
        <f t="shared" si="268"/>
        <v>-2344.4453872836189</v>
      </c>
      <c r="BS95" s="199">
        <f t="shared" si="269"/>
        <v>41.547987939489531</v>
      </c>
      <c r="BV95" s="419">
        <v>8</v>
      </c>
      <c r="BW95" s="759">
        <f>'Energy NPV'!$D20</f>
        <v>26</v>
      </c>
      <c r="BX95" s="197">
        <f>'Energy Inputs'!$D$58*$BX$84</f>
        <v>87.5</v>
      </c>
      <c r="BY95" s="197">
        <f t="shared" si="298"/>
        <v>2275</v>
      </c>
      <c r="BZ95" s="197">
        <f>'Margins summary'!$Q$14</f>
        <v>330</v>
      </c>
      <c r="CA95" s="197">
        <f t="shared" si="270"/>
        <v>2605</v>
      </c>
      <c r="CB95" s="197"/>
      <c r="CC95" s="918">
        <f>'Energy NPV'!U20</f>
        <v>637.73333400000001</v>
      </c>
      <c r="CD95" s="197"/>
      <c r="CE95" s="197">
        <f t="shared" si="271"/>
        <v>637.73333400000001</v>
      </c>
      <c r="CF95" s="197">
        <f t="shared" si="233"/>
        <v>1637.266666</v>
      </c>
      <c r="CG95" s="197">
        <f t="shared" si="234"/>
        <v>1967.266666</v>
      </c>
      <c r="CH95" s="196">
        <f t="shared" si="272"/>
        <v>1849.7831883061299</v>
      </c>
      <c r="CI95" s="197">
        <f t="shared" si="273"/>
        <v>268.32019874330672</v>
      </c>
      <c r="CJ95" s="197">
        <f t="shared" si="274"/>
        <v>518.53556037609587</v>
      </c>
      <c r="CK95" s="197">
        <f t="shared" si="275"/>
        <v>1331.247627930034</v>
      </c>
      <c r="CL95" s="199">
        <f t="shared" si="276"/>
        <v>1599.5678266733407</v>
      </c>
      <c r="CM95" s="196">
        <f t="shared" si="299"/>
        <v>8102.9033118862117</v>
      </c>
      <c r="CN95" s="197">
        <f t="shared" si="277"/>
        <v>2385.9933752231091</v>
      </c>
      <c r="CO95" s="197">
        <f t="shared" si="278"/>
        <v>4370.1712152551718</v>
      </c>
      <c r="CP95" s="197">
        <f t="shared" si="279"/>
        <v>3732.732096631039</v>
      </c>
      <c r="CQ95" s="199">
        <f t="shared" si="280"/>
        <v>6118.7254718541481</v>
      </c>
      <c r="CT95" s="204">
        <f t="shared" si="300"/>
        <v>8</v>
      </c>
      <c r="CU95" s="759">
        <f>'Energy NPV'!$D20</f>
        <v>26</v>
      </c>
      <c r="CV95" s="197">
        <f>'Energy Inputs'!$D$58*$CV$84</f>
        <v>0</v>
      </c>
      <c r="CW95" s="197">
        <f t="shared" si="301"/>
        <v>0</v>
      </c>
      <c r="CX95" s="197">
        <f>'Margins summary'!$Q$14</f>
        <v>330</v>
      </c>
      <c r="CY95" s="197">
        <f t="shared" si="281"/>
        <v>330</v>
      </c>
      <c r="CZ95" s="197"/>
      <c r="DA95" s="918">
        <f>'Energy NPV'!U20</f>
        <v>637.73333400000001</v>
      </c>
      <c r="DB95" s="197"/>
      <c r="DC95" s="197">
        <f t="shared" si="282"/>
        <v>637.73333400000001</v>
      </c>
      <c r="DD95" s="197">
        <f t="shared" si="235"/>
        <v>-637.73333400000001</v>
      </c>
      <c r="DE95" s="197">
        <f t="shared" si="236"/>
        <v>-307.73333400000001</v>
      </c>
      <c r="DF95" s="196">
        <f t="shared" si="283"/>
        <v>0</v>
      </c>
      <c r="DG95" s="197">
        <f t="shared" si="284"/>
        <v>268.32019874330672</v>
      </c>
      <c r="DH95" s="197">
        <f t="shared" si="285"/>
        <v>518.53556037609587</v>
      </c>
      <c r="DI95" s="197">
        <f t="shared" si="286"/>
        <v>-518.53556037609587</v>
      </c>
      <c r="DJ95" s="199">
        <f t="shared" si="287"/>
        <v>-250.21536163278907</v>
      </c>
      <c r="DK95" s="196">
        <f t="shared" si="302"/>
        <v>0</v>
      </c>
      <c r="DL95" s="197">
        <f t="shared" si="288"/>
        <v>2385.9933752231091</v>
      </c>
      <c r="DM95" s="197">
        <f t="shared" si="289"/>
        <v>4370.1712152551718</v>
      </c>
      <c r="DN95" s="197">
        <f t="shared" si="290"/>
        <v>-4370.1712152551718</v>
      </c>
      <c r="DO95" s="199">
        <f t="shared" si="291"/>
        <v>-1984.1778400320632</v>
      </c>
    </row>
    <row r="96" spans="2:119" x14ac:dyDescent="0.3">
      <c r="B96" s="900">
        <v>9</v>
      </c>
      <c r="C96" s="760">
        <f>'Energy NPV'!$D21</f>
        <v>0</v>
      </c>
      <c r="D96" s="197">
        <f>'Energy Inputs'!$D$58*$E$84</f>
        <v>43.75</v>
      </c>
      <c r="E96" s="197">
        <f t="shared" si="292"/>
        <v>0</v>
      </c>
      <c r="F96" s="197">
        <f>'Margins summary'!$Q$14</f>
        <v>330</v>
      </c>
      <c r="G96" s="197">
        <f t="shared" si="237"/>
        <v>330</v>
      </c>
      <c r="H96" s="197"/>
      <c r="I96" s="918">
        <f>'Energy NPV'!U21</f>
        <v>0</v>
      </c>
      <c r="J96" s="197"/>
      <c r="K96" s="197">
        <f t="shared" si="238"/>
        <v>0</v>
      </c>
      <c r="L96" s="197">
        <f t="shared" si="227"/>
        <v>0</v>
      </c>
      <c r="M96" s="197">
        <f t="shared" si="228"/>
        <v>330</v>
      </c>
      <c r="N96" s="1036">
        <f t="shared" si="239"/>
        <v>0</v>
      </c>
      <c r="O96" s="1037">
        <f t="shared" si="240"/>
        <v>260.50504732359883</v>
      </c>
      <c r="P96" s="1037">
        <f t="shared" si="241"/>
        <v>0</v>
      </c>
      <c r="Q96" s="197">
        <f t="shared" si="242"/>
        <v>0</v>
      </c>
      <c r="R96" s="199">
        <f t="shared" si="243"/>
        <v>260.50504732359883</v>
      </c>
      <c r="S96" s="196">
        <f t="shared" si="293"/>
        <v>4051.4516559431058</v>
      </c>
      <c r="T96" s="197">
        <f t="shared" si="244"/>
        <v>2646.4984225467078</v>
      </c>
      <c r="U96" s="197">
        <f t="shared" si="245"/>
        <v>4370.1712152551718</v>
      </c>
      <c r="V96" s="197">
        <f t="shared" si="246"/>
        <v>-318.71955931206662</v>
      </c>
      <c r="W96" s="199">
        <f t="shared" si="247"/>
        <v>2327.778863234641</v>
      </c>
      <c r="X96" s="197"/>
      <c r="Z96" s="900">
        <v>9</v>
      </c>
      <c r="AA96" s="759">
        <f>'Energy NPV'!$D21</f>
        <v>0</v>
      </c>
      <c r="AB96" s="197">
        <f>'Energy Inputs'!$D$58*$AB$84</f>
        <v>65.625</v>
      </c>
      <c r="AC96" s="197">
        <f t="shared" si="294"/>
        <v>0</v>
      </c>
      <c r="AD96" s="197">
        <f>'Margins summary'!$Q$14</f>
        <v>330</v>
      </c>
      <c r="AE96" s="197">
        <f t="shared" si="248"/>
        <v>330</v>
      </c>
      <c r="AF96" s="197"/>
      <c r="AG96" s="918">
        <f>'Energy NPV'!U21</f>
        <v>0</v>
      </c>
      <c r="AH96" s="197"/>
      <c r="AI96" s="197">
        <f t="shared" si="249"/>
        <v>0</v>
      </c>
      <c r="AJ96" s="197">
        <f t="shared" si="229"/>
        <v>0</v>
      </c>
      <c r="AK96" s="197">
        <f t="shared" si="230"/>
        <v>330</v>
      </c>
      <c r="AL96" s="196">
        <f t="shared" si="250"/>
        <v>0</v>
      </c>
      <c r="AM96" s="197">
        <f t="shared" si="251"/>
        <v>260.50504732359883</v>
      </c>
      <c r="AN96" s="197">
        <f t="shared" si="252"/>
        <v>0</v>
      </c>
      <c r="AO96" s="197">
        <f t="shared" si="253"/>
        <v>0</v>
      </c>
      <c r="AP96" s="199">
        <f t="shared" si="254"/>
        <v>260.50504732359883</v>
      </c>
      <c r="AQ96" s="196">
        <f t="shared" si="295"/>
        <v>6077.1774839146583</v>
      </c>
      <c r="AR96" s="197">
        <f t="shared" si="255"/>
        <v>2646.4984225467078</v>
      </c>
      <c r="AS96" s="197">
        <f t="shared" si="256"/>
        <v>4370.1712152551718</v>
      </c>
      <c r="AT96" s="197">
        <f t="shared" si="257"/>
        <v>1707.0062686594863</v>
      </c>
      <c r="AU96" s="199">
        <f t="shared" si="258"/>
        <v>4353.5046912061944</v>
      </c>
      <c r="AV96" s="197"/>
      <c r="AX96" s="900">
        <v>9</v>
      </c>
      <c r="AY96" s="759">
        <f>'Energy NPV'!$D21</f>
        <v>0</v>
      </c>
      <c r="AZ96" s="197">
        <f>'Energy Inputs'!$D$58*$AZ$84</f>
        <v>21.875</v>
      </c>
      <c r="BA96" s="197">
        <f t="shared" si="296"/>
        <v>0</v>
      </c>
      <c r="BB96" s="197">
        <f>'Margins summary'!$Q$14</f>
        <v>330</v>
      </c>
      <c r="BC96" s="197">
        <f t="shared" si="259"/>
        <v>330</v>
      </c>
      <c r="BD96" s="197"/>
      <c r="BE96" s="918">
        <f>'Energy NPV'!U21</f>
        <v>0</v>
      </c>
      <c r="BF96" s="197"/>
      <c r="BG96" s="197">
        <f t="shared" si="260"/>
        <v>0</v>
      </c>
      <c r="BH96" s="197">
        <f t="shared" si="231"/>
        <v>0</v>
      </c>
      <c r="BI96" s="197">
        <f t="shared" si="232"/>
        <v>330</v>
      </c>
      <c r="BJ96" s="196">
        <f t="shared" si="261"/>
        <v>0</v>
      </c>
      <c r="BK96" s="197">
        <f t="shared" si="262"/>
        <v>260.50504732359883</v>
      </c>
      <c r="BL96" s="197">
        <f t="shared" si="263"/>
        <v>0</v>
      </c>
      <c r="BM96" s="197">
        <f t="shared" si="264"/>
        <v>0</v>
      </c>
      <c r="BN96" s="199">
        <f t="shared" si="265"/>
        <v>260.50504732359883</v>
      </c>
      <c r="BO96" s="196">
        <f t="shared" si="297"/>
        <v>2025.7258279715529</v>
      </c>
      <c r="BP96" s="197">
        <f t="shared" si="266"/>
        <v>2646.4984225467078</v>
      </c>
      <c r="BQ96" s="197">
        <f t="shared" si="267"/>
        <v>4370.1712152551718</v>
      </c>
      <c r="BR96" s="197">
        <f t="shared" si="268"/>
        <v>-2344.4453872836189</v>
      </c>
      <c r="BS96" s="199">
        <f t="shared" si="269"/>
        <v>302.05303526308836</v>
      </c>
      <c r="BV96" s="419">
        <v>9</v>
      </c>
      <c r="BW96" s="759">
        <f>'Energy NPV'!$D21</f>
        <v>0</v>
      </c>
      <c r="BX96" s="197">
        <f>'Energy Inputs'!$D$58*$BX$84</f>
        <v>87.5</v>
      </c>
      <c r="BY96" s="197">
        <f t="shared" si="298"/>
        <v>0</v>
      </c>
      <c r="BZ96" s="197">
        <f>'Margins summary'!$Q$14</f>
        <v>330</v>
      </c>
      <c r="CA96" s="197">
        <f t="shared" si="270"/>
        <v>330</v>
      </c>
      <c r="CB96" s="197"/>
      <c r="CC96" s="918">
        <f>'Energy NPV'!U21</f>
        <v>0</v>
      </c>
      <c r="CD96" s="197"/>
      <c r="CE96" s="197">
        <f t="shared" si="271"/>
        <v>0</v>
      </c>
      <c r="CF96" s="197">
        <f t="shared" si="233"/>
        <v>0</v>
      </c>
      <c r="CG96" s="197">
        <f t="shared" si="234"/>
        <v>330</v>
      </c>
      <c r="CH96" s="196">
        <f t="shared" si="272"/>
        <v>0</v>
      </c>
      <c r="CI96" s="197">
        <f t="shared" si="273"/>
        <v>260.50504732359883</v>
      </c>
      <c r="CJ96" s="197">
        <f t="shared" si="274"/>
        <v>0</v>
      </c>
      <c r="CK96" s="197">
        <f t="shared" si="275"/>
        <v>0</v>
      </c>
      <c r="CL96" s="199">
        <f t="shared" si="276"/>
        <v>260.50504732359883</v>
      </c>
      <c r="CM96" s="196">
        <f t="shared" si="299"/>
        <v>8102.9033118862117</v>
      </c>
      <c r="CN96" s="197">
        <f t="shared" si="277"/>
        <v>2646.4984225467078</v>
      </c>
      <c r="CO96" s="197">
        <f t="shared" si="278"/>
        <v>4370.1712152551718</v>
      </c>
      <c r="CP96" s="197">
        <f t="shared" si="279"/>
        <v>3732.732096631039</v>
      </c>
      <c r="CQ96" s="199">
        <f t="shared" si="280"/>
        <v>6379.2305191777468</v>
      </c>
      <c r="CT96" s="204">
        <f t="shared" si="300"/>
        <v>9</v>
      </c>
      <c r="CU96" s="759">
        <f>'Energy NPV'!$D21</f>
        <v>0</v>
      </c>
      <c r="CV96" s="197">
        <f>'Energy Inputs'!$D$58*$CV$84</f>
        <v>0</v>
      </c>
      <c r="CW96" s="197">
        <f t="shared" si="301"/>
        <v>0</v>
      </c>
      <c r="CX96" s="197">
        <f>'Margins summary'!$Q$14</f>
        <v>330</v>
      </c>
      <c r="CY96" s="197">
        <f t="shared" si="281"/>
        <v>330</v>
      </c>
      <c r="CZ96" s="197"/>
      <c r="DA96" s="918">
        <f>'Energy NPV'!U21</f>
        <v>0</v>
      </c>
      <c r="DB96" s="197"/>
      <c r="DC96" s="197">
        <f t="shared" si="282"/>
        <v>0</v>
      </c>
      <c r="DD96" s="197">
        <f t="shared" si="235"/>
        <v>0</v>
      </c>
      <c r="DE96" s="197">
        <f t="shared" si="236"/>
        <v>330</v>
      </c>
      <c r="DF96" s="196">
        <f t="shared" si="283"/>
        <v>0</v>
      </c>
      <c r="DG96" s="197">
        <f t="shared" si="284"/>
        <v>260.50504732359883</v>
      </c>
      <c r="DH96" s="197">
        <f t="shared" si="285"/>
        <v>0</v>
      </c>
      <c r="DI96" s="197">
        <f t="shared" si="286"/>
        <v>0</v>
      </c>
      <c r="DJ96" s="199">
        <f t="shared" si="287"/>
        <v>260.50504732359883</v>
      </c>
      <c r="DK96" s="196">
        <f t="shared" si="302"/>
        <v>0</v>
      </c>
      <c r="DL96" s="197">
        <f t="shared" si="288"/>
        <v>2646.4984225467078</v>
      </c>
      <c r="DM96" s="197">
        <f t="shared" si="289"/>
        <v>4370.1712152551718</v>
      </c>
      <c r="DN96" s="197">
        <f t="shared" si="290"/>
        <v>-4370.1712152551718</v>
      </c>
      <c r="DO96" s="199">
        <f t="shared" si="291"/>
        <v>-1723.6727927084644</v>
      </c>
    </row>
    <row r="97" spans="2:119" x14ac:dyDescent="0.3">
      <c r="B97" s="900">
        <v>10</v>
      </c>
      <c r="C97" s="760">
        <f>'Energy NPV'!$D22</f>
        <v>26</v>
      </c>
      <c r="D97" s="197">
        <f>'Energy Inputs'!$D$58*$E$84</f>
        <v>43.75</v>
      </c>
      <c r="E97" s="197">
        <f t="shared" si="292"/>
        <v>1137.5</v>
      </c>
      <c r="F97" s="197">
        <f>'Margins summary'!$Q$14</f>
        <v>330</v>
      </c>
      <c r="G97" s="197">
        <f t="shared" si="237"/>
        <v>1467.5</v>
      </c>
      <c r="H97" s="197"/>
      <c r="I97" s="918">
        <f>'Energy NPV'!U22</f>
        <v>637.73333400000001</v>
      </c>
      <c r="J97" s="197"/>
      <c r="K97" s="197">
        <f t="shared" si="238"/>
        <v>637.73333400000001</v>
      </c>
      <c r="L97" s="197">
        <f t="shared" si="227"/>
        <v>499.76666599999999</v>
      </c>
      <c r="M97" s="197">
        <f t="shared" si="228"/>
        <v>829.76666599999999</v>
      </c>
      <c r="N97" s="1036">
        <f t="shared" si="239"/>
        <v>871.79903304087566</v>
      </c>
      <c r="O97" s="1037">
        <f t="shared" si="240"/>
        <v>252.91752167339689</v>
      </c>
      <c r="P97" s="1037">
        <f t="shared" si="241"/>
        <v>488.76949795088683</v>
      </c>
      <c r="Q97" s="197">
        <f t="shared" si="242"/>
        <v>383.02953508998877</v>
      </c>
      <c r="R97" s="199">
        <f t="shared" si="243"/>
        <v>635.94705676338572</v>
      </c>
      <c r="S97" s="196">
        <f t="shared" si="293"/>
        <v>4923.2506889839815</v>
      </c>
      <c r="T97" s="197">
        <f t="shared" si="244"/>
        <v>2899.4159442201048</v>
      </c>
      <c r="U97" s="197">
        <f t="shared" si="245"/>
        <v>4858.9407132060587</v>
      </c>
      <c r="V97" s="197">
        <f t="shared" si="246"/>
        <v>64.309975777922148</v>
      </c>
      <c r="W97" s="199">
        <f t="shared" si="247"/>
        <v>2963.7259199980267</v>
      </c>
      <c r="X97" s="197"/>
      <c r="Z97" s="900">
        <v>10</v>
      </c>
      <c r="AA97" s="759">
        <f>'Energy NPV'!$D22</f>
        <v>26</v>
      </c>
      <c r="AB97" s="197">
        <f>'Energy Inputs'!$D$58*$AB$84</f>
        <v>65.625</v>
      </c>
      <c r="AC97" s="197">
        <f t="shared" si="294"/>
        <v>1706.25</v>
      </c>
      <c r="AD97" s="197">
        <f>'Margins summary'!$Q$14</f>
        <v>330</v>
      </c>
      <c r="AE97" s="197">
        <f t="shared" si="248"/>
        <v>2036.25</v>
      </c>
      <c r="AF97" s="197"/>
      <c r="AG97" s="918">
        <f>'Energy NPV'!U22</f>
        <v>637.73333400000001</v>
      </c>
      <c r="AH97" s="197"/>
      <c r="AI97" s="197">
        <f t="shared" si="249"/>
        <v>637.73333400000001</v>
      </c>
      <c r="AJ97" s="197">
        <f t="shared" si="229"/>
        <v>1068.516666</v>
      </c>
      <c r="AK97" s="197">
        <f t="shared" si="230"/>
        <v>1398.516666</v>
      </c>
      <c r="AL97" s="196">
        <f t="shared" si="250"/>
        <v>1307.6985495613135</v>
      </c>
      <c r="AM97" s="197">
        <f t="shared" si="251"/>
        <v>252.91752167339689</v>
      </c>
      <c r="AN97" s="197">
        <f t="shared" si="252"/>
        <v>488.76949795088683</v>
      </c>
      <c r="AO97" s="197">
        <f t="shared" si="253"/>
        <v>818.92905161042665</v>
      </c>
      <c r="AP97" s="199">
        <f t="shared" si="254"/>
        <v>1071.8465732838235</v>
      </c>
      <c r="AQ97" s="196">
        <f t="shared" si="295"/>
        <v>7384.8760334759718</v>
      </c>
      <c r="AR97" s="197">
        <f t="shared" si="255"/>
        <v>2899.4159442201048</v>
      </c>
      <c r="AS97" s="197">
        <f t="shared" si="256"/>
        <v>4858.9407132060587</v>
      </c>
      <c r="AT97" s="197">
        <f t="shared" si="257"/>
        <v>2525.9353202699131</v>
      </c>
      <c r="AU97" s="199">
        <f t="shared" si="258"/>
        <v>5425.3512644900184</v>
      </c>
      <c r="AV97" s="197"/>
      <c r="AX97" s="900">
        <v>10</v>
      </c>
      <c r="AY97" s="759">
        <f>'Energy NPV'!$D22</f>
        <v>26</v>
      </c>
      <c r="AZ97" s="197">
        <f>'Energy Inputs'!$D$58*$AZ$84</f>
        <v>21.875</v>
      </c>
      <c r="BA97" s="197">
        <f t="shared" si="296"/>
        <v>568.75</v>
      </c>
      <c r="BB97" s="197">
        <f>'Margins summary'!$Q$14</f>
        <v>330</v>
      </c>
      <c r="BC97" s="197">
        <f t="shared" si="259"/>
        <v>898.75</v>
      </c>
      <c r="BD97" s="197"/>
      <c r="BE97" s="918">
        <f>'Energy NPV'!U22</f>
        <v>637.73333400000001</v>
      </c>
      <c r="BF97" s="197"/>
      <c r="BG97" s="197">
        <f t="shared" si="260"/>
        <v>637.73333400000001</v>
      </c>
      <c r="BH97" s="197">
        <f t="shared" si="231"/>
        <v>-68.983334000000013</v>
      </c>
      <c r="BI97" s="197">
        <f t="shared" si="232"/>
        <v>261.01666599999999</v>
      </c>
      <c r="BJ97" s="196">
        <f t="shared" si="261"/>
        <v>435.89951652043783</v>
      </c>
      <c r="BK97" s="197">
        <f t="shared" si="262"/>
        <v>252.91752167339689</v>
      </c>
      <c r="BL97" s="197">
        <f t="shared" si="263"/>
        <v>488.76949795088683</v>
      </c>
      <c r="BM97" s="197">
        <f t="shared" si="264"/>
        <v>-52.86998143044903</v>
      </c>
      <c r="BN97" s="199">
        <f t="shared" si="265"/>
        <v>200.04754024294786</v>
      </c>
      <c r="BO97" s="196">
        <f t="shared" si="297"/>
        <v>2461.6253444919907</v>
      </c>
      <c r="BP97" s="197">
        <f t="shared" si="266"/>
        <v>2899.4159442201048</v>
      </c>
      <c r="BQ97" s="197">
        <f t="shared" si="267"/>
        <v>4858.9407132060587</v>
      </c>
      <c r="BR97" s="197">
        <f t="shared" si="268"/>
        <v>-2397.315368714068</v>
      </c>
      <c r="BS97" s="199">
        <f t="shared" si="269"/>
        <v>502.10057550603619</v>
      </c>
      <c r="BV97" s="419">
        <v>10</v>
      </c>
      <c r="BW97" s="759">
        <f>'Energy NPV'!$D22</f>
        <v>26</v>
      </c>
      <c r="BX97" s="197">
        <f>'Energy Inputs'!$D$58*$BX$84</f>
        <v>87.5</v>
      </c>
      <c r="BY97" s="197">
        <f t="shared" si="298"/>
        <v>2275</v>
      </c>
      <c r="BZ97" s="197">
        <f>'Margins summary'!$Q$14</f>
        <v>330</v>
      </c>
      <c r="CA97" s="197">
        <f t="shared" si="270"/>
        <v>2605</v>
      </c>
      <c r="CB97" s="197"/>
      <c r="CC97" s="918">
        <f>'Energy NPV'!U22</f>
        <v>637.73333400000001</v>
      </c>
      <c r="CD97" s="197"/>
      <c r="CE97" s="197">
        <f t="shared" si="271"/>
        <v>637.73333400000001</v>
      </c>
      <c r="CF97" s="197">
        <f t="shared" si="233"/>
        <v>1637.266666</v>
      </c>
      <c r="CG97" s="197">
        <f t="shared" si="234"/>
        <v>1967.266666</v>
      </c>
      <c r="CH97" s="196">
        <f t="shared" si="272"/>
        <v>1743.5980660817513</v>
      </c>
      <c r="CI97" s="197">
        <f t="shared" si="273"/>
        <v>252.91752167339689</v>
      </c>
      <c r="CJ97" s="197">
        <f t="shared" si="274"/>
        <v>488.76949795088683</v>
      </c>
      <c r="CK97" s="197">
        <f t="shared" si="275"/>
        <v>1254.8285681308644</v>
      </c>
      <c r="CL97" s="199">
        <f t="shared" si="276"/>
        <v>1507.7460898042614</v>
      </c>
      <c r="CM97" s="196">
        <f t="shared" si="299"/>
        <v>9846.501377967963</v>
      </c>
      <c r="CN97" s="197">
        <f t="shared" si="277"/>
        <v>2899.4159442201048</v>
      </c>
      <c r="CO97" s="197">
        <f t="shared" si="278"/>
        <v>4858.9407132060587</v>
      </c>
      <c r="CP97" s="197">
        <f t="shared" si="279"/>
        <v>4987.5606647619034</v>
      </c>
      <c r="CQ97" s="199">
        <f t="shared" si="280"/>
        <v>7886.9766089820077</v>
      </c>
      <c r="CT97" s="204">
        <f t="shared" si="300"/>
        <v>10</v>
      </c>
      <c r="CU97" s="759">
        <f>'Energy NPV'!$D22</f>
        <v>26</v>
      </c>
      <c r="CV97" s="197">
        <f>'Energy Inputs'!$D$58*$CV$84</f>
        <v>0</v>
      </c>
      <c r="CW97" s="197">
        <f t="shared" si="301"/>
        <v>0</v>
      </c>
      <c r="CX97" s="197">
        <f>'Margins summary'!$Q$14</f>
        <v>330</v>
      </c>
      <c r="CY97" s="197">
        <f t="shared" si="281"/>
        <v>330</v>
      </c>
      <c r="CZ97" s="197"/>
      <c r="DA97" s="918">
        <f>'Energy NPV'!U22</f>
        <v>637.73333400000001</v>
      </c>
      <c r="DB97" s="197"/>
      <c r="DC97" s="197">
        <f t="shared" si="282"/>
        <v>637.73333400000001</v>
      </c>
      <c r="DD97" s="197">
        <f t="shared" si="235"/>
        <v>-637.73333400000001</v>
      </c>
      <c r="DE97" s="197">
        <f t="shared" si="236"/>
        <v>-307.73333400000001</v>
      </c>
      <c r="DF97" s="196">
        <f t="shared" si="283"/>
        <v>0</v>
      </c>
      <c r="DG97" s="197">
        <f t="shared" si="284"/>
        <v>252.91752167339689</v>
      </c>
      <c r="DH97" s="197">
        <f t="shared" si="285"/>
        <v>488.76949795088683</v>
      </c>
      <c r="DI97" s="197">
        <f t="shared" si="286"/>
        <v>-488.76949795088683</v>
      </c>
      <c r="DJ97" s="199">
        <f t="shared" si="287"/>
        <v>-235.85197627748997</v>
      </c>
      <c r="DK97" s="196">
        <f t="shared" si="302"/>
        <v>0</v>
      </c>
      <c r="DL97" s="197">
        <f t="shared" si="288"/>
        <v>2899.4159442201048</v>
      </c>
      <c r="DM97" s="197">
        <f t="shared" si="289"/>
        <v>4858.9407132060587</v>
      </c>
      <c r="DN97" s="197">
        <f t="shared" si="290"/>
        <v>-4858.9407132060587</v>
      </c>
      <c r="DO97" s="199">
        <f t="shared" si="291"/>
        <v>-1959.5247689859543</v>
      </c>
    </row>
    <row r="98" spans="2:119" x14ac:dyDescent="0.3">
      <c r="B98" s="900">
        <v>11</v>
      </c>
      <c r="C98" s="760">
        <f>'Energy NPV'!$D23</f>
        <v>0</v>
      </c>
      <c r="D98" s="197">
        <f>'Energy Inputs'!$D$58*$E$84</f>
        <v>43.75</v>
      </c>
      <c r="E98" s="197">
        <f t="shared" si="292"/>
        <v>0</v>
      </c>
      <c r="F98" s="197"/>
      <c r="G98" s="197">
        <f t="shared" si="237"/>
        <v>0</v>
      </c>
      <c r="H98" s="197"/>
      <c r="I98" s="918">
        <f>'Energy NPV'!U23</f>
        <v>0</v>
      </c>
      <c r="J98" s="197"/>
      <c r="K98" s="197">
        <f t="shared" si="238"/>
        <v>0</v>
      </c>
      <c r="L98" s="197">
        <f t="shared" si="227"/>
        <v>0</v>
      </c>
      <c r="M98" s="197">
        <f t="shared" si="228"/>
        <v>0</v>
      </c>
      <c r="N98" s="1036">
        <f t="shared" si="239"/>
        <v>0</v>
      </c>
      <c r="O98" s="1037">
        <f t="shared" si="240"/>
        <v>0</v>
      </c>
      <c r="P98" s="1037">
        <f t="shared" si="241"/>
        <v>0</v>
      </c>
      <c r="Q98" s="197">
        <f t="shared" si="242"/>
        <v>0</v>
      </c>
      <c r="R98" s="199">
        <f t="shared" si="243"/>
        <v>0</v>
      </c>
      <c r="S98" s="196">
        <f t="shared" si="293"/>
        <v>4923.2506889839815</v>
      </c>
      <c r="T98" s="197">
        <f t="shared" si="244"/>
        <v>2899.4159442201048</v>
      </c>
      <c r="U98" s="197">
        <f t="shared" si="245"/>
        <v>4858.9407132060587</v>
      </c>
      <c r="V98" s="197">
        <f t="shared" si="246"/>
        <v>64.309975777922148</v>
      </c>
      <c r="W98" s="199">
        <f t="shared" si="247"/>
        <v>2963.7259199980267</v>
      </c>
      <c r="X98" s="197"/>
      <c r="Z98" s="900">
        <v>11</v>
      </c>
      <c r="AA98" s="759">
        <f>'Energy NPV'!$D23</f>
        <v>0</v>
      </c>
      <c r="AB98" s="197">
        <f>'Energy Inputs'!$D$58*$AB$84</f>
        <v>65.625</v>
      </c>
      <c r="AC98" s="197">
        <f t="shared" si="294"/>
        <v>0</v>
      </c>
      <c r="AD98" s="197"/>
      <c r="AE98" s="197">
        <f t="shared" si="248"/>
        <v>0</v>
      </c>
      <c r="AF98" s="197"/>
      <c r="AG98" s="918">
        <f>'Energy NPV'!U23</f>
        <v>0</v>
      </c>
      <c r="AH98" s="197"/>
      <c r="AI98" s="197">
        <f t="shared" si="249"/>
        <v>0</v>
      </c>
      <c r="AJ98" s="197">
        <f t="shared" si="229"/>
        <v>0</v>
      </c>
      <c r="AK98" s="197">
        <f t="shared" si="230"/>
        <v>0</v>
      </c>
      <c r="AL98" s="196">
        <f t="shared" si="250"/>
        <v>0</v>
      </c>
      <c r="AM98" s="197">
        <f t="shared" si="251"/>
        <v>0</v>
      </c>
      <c r="AN98" s="197">
        <f t="shared" si="252"/>
        <v>0</v>
      </c>
      <c r="AO98" s="197">
        <f t="shared" si="253"/>
        <v>0</v>
      </c>
      <c r="AP98" s="199">
        <f t="shared" si="254"/>
        <v>0</v>
      </c>
      <c r="AQ98" s="196">
        <f t="shared" si="295"/>
        <v>7384.8760334759718</v>
      </c>
      <c r="AR98" s="197">
        <f t="shared" si="255"/>
        <v>2899.4159442201048</v>
      </c>
      <c r="AS98" s="197">
        <f t="shared" si="256"/>
        <v>4858.9407132060587</v>
      </c>
      <c r="AT98" s="197">
        <f t="shared" si="257"/>
        <v>2525.9353202699131</v>
      </c>
      <c r="AU98" s="199">
        <f t="shared" si="258"/>
        <v>5425.3512644900184</v>
      </c>
      <c r="AV98" s="197"/>
      <c r="AX98" s="900">
        <v>11</v>
      </c>
      <c r="AY98" s="759">
        <f>'Energy NPV'!$D23</f>
        <v>0</v>
      </c>
      <c r="AZ98" s="197">
        <f>'Energy Inputs'!$D$58*$AZ$84</f>
        <v>21.875</v>
      </c>
      <c r="BA98" s="197">
        <f t="shared" si="296"/>
        <v>0</v>
      </c>
      <c r="BB98" s="197"/>
      <c r="BC98" s="197">
        <f t="shared" si="259"/>
        <v>0</v>
      </c>
      <c r="BD98" s="197"/>
      <c r="BE98" s="918">
        <f>'Energy NPV'!U23</f>
        <v>0</v>
      </c>
      <c r="BF98" s="197"/>
      <c r="BG98" s="197">
        <f t="shared" si="260"/>
        <v>0</v>
      </c>
      <c r="BH98" s="197">
        <f t="shared" si="231"/>
        <v>0</v>
      </c>
      <c r="BI98" s="197">
        <f t="shared" si="232"/>
        <v>0</v>
      </c>
      <c r="BJ98" s="196">
        <f t="shared" si="261"/>
        <v>0</v>
      </c>
      <c r="BK98" s="197">
        <f t="shared" si="262"/>
        <v>0</v>
      </c>
      <c r="BL98" s="197">
        <f t="shared" si="263"/>
        <v>0</v>
      </c>
      <c r="BM98" s="197">
        <f t="shared" si="264"/>
        <v>0</v>
      </c>
      <c r="BN98" s="199">
        <f t="shared" si="265"/>
        <v>0</v>
      </c>
      <c r="BO98" s="196">
        <f t="shared" si="297"/>
        <v>2461.6253444919907</v>
      </c>
      <c r="BP98" s="197">
        <f t="shared" si="266"/>
        <v>2899.4159442201048</v>
      </c>
      <c r="BQ98" s="197">
        <f t="shared" si="267"/>
        <v>4858.9407132060587</v>
      </c>
      <c r="BR98" s="197">
        <f t="shared" si="268"/>
        <v>-2397.315368714068</v>
      </c>
      <c r="BS98" s="199">
        <f t="shared" si="269"/>
        <v>502.10057550603619</v>
      </c>
      <c r="BV98" s="419">
        <v>11</v>
      </c>
      <c r="BW98" s="759">
        <f>'Energy NPV'!$D23</f>
        <v>0</v>
      </c>
      <c r="BX98" s="197">
        <f>'Energy Inputs'!$D$58*$BX$84</f>
        <v>87.5</v>
      </c>
      <c r="BY98" s="197">
        <f t="shared" si="298"/>
        <v>0</v>
      </c>
      <c r="BZ98" s="197"/>
      <c r="CA98" s="197">
        <f t="shared" si="270"/>
        <v>0</v>
      </c>
      <c r="CB98" s="197"/>
      <c r="CC98" s="918">
        <f>'Energy NPV'!U23</f>
        <v>0</v>
      </c>
      <c r="CD98" s="197"/>
      <c r="CE98" s="197">
        <f t="shared" si="271"/>
        <v>0</v>
      </c>
      <c r="CF98" s="197">
        <f t="shared" si="233"/>
        <v>0</v>
      </c>
      <c r="CG98" s="197">
        <f t="shared" si="234"/>
        <v>0</v>
      </c>
      <c r="CH98" s="196">
        <f t="shared" si="272"/>
        <v>0</v>
      </c>
      <c r="CI98" s="197">
        <f t="shared" si="273"/>
        <v>0</v>
      </c>
      <c r="CJ98" s="197">
        <f t="shared" si="274"/>
        <v>0</v>
      </c>
      <c r="CK98" s="197">
        <f t="shared" si="275"/>
        <v>0</v>
      </c>
      <c r="CL98" s="199">
        <f t="shared" si="276"/>
        <v>0</v>
      </c>
      <c r="CM98" s="196">
        <f t="shared" si="299"/>
        <v>9846.501377967963</v>
      </c>
      <c r="CN98" s="197">
        <f t="shared" si="277"/>
        <v>2899.4159442201048</v>
      </c>
      <c r="CO98" s="197">
        <f t="shared" si="278"/>
        <v>4858.9407132060587</v>
      </c>
      <c r="CP98" s="197">
        <f t="shared" si="279"/>
        <v>4987.5606647619034</v>
      </c>
      <c r="CQ98" s="199">
        <f t="shared" si="280"/>
        <v>7886.9766089820077</v>
      </c>
      <c r="CT98" s="204">
        <f t="shared" si="300"/>
        <v>11</v>
      </c>
      <c r="CU98" s="759">
        <f>'Energy NPV'!$D23</f>
        <v>0</v>
      </c>
      <c r="CV98" s="197">
        <f>'Energy Inputs'!$D$58*$CV$84</f>
        <v>0</v>
      </c>
      <c r="CW98" s="197">
        <f t="shared" si="301"/>
        <v>0</v>
      </c>
      <c r="CX98" s="197">
        <f>'Margins summary'!$Q$14</f>
        <v>330</v>
      </c>
      <c r="CY98" s="197"/>
      <c r="CZ98" s="197"/>
      <c r="DA98" s="918">
        <f>'Energy NPV'!U23</f>
        <v>0</v>
      </c>
      <c r="DB98" s="197"/>
      <c r="DC98" s="197">
        <f t="shared" si="282"/>
        <v>0</v>
      </c>
      <c r="DD98" s="197">
        <f t="shared" si="235"/>
        <v>0</v>
      </c>
      <c r="DE98" s="197">
        <f t="shared" si="236"/>
        <v>0</v>
      </c>
      <c r="DF98" s="196">
        <f t="shared" si="283"/>
        <v>0</v>
      </c>
      <c r="DG98" s="197">
        <f t="shared" si="284"/>
        <v>245.55099191591933</v>
      </c>
      <c r="DH98" s="197">
        <f t="shared" si="285"/>
        <v>0</v>
      </c>
      <c r="DI98" s="197">
        <f t="shared" si="286"/>
        <v>0</v>
      </c>
      <c r="DJ98" s="199">
        <f t="shared" si="287"/>
        <v>0</v>
      </c>
      <c r="DK98" s="196">
        <f t="shared" si="302"/>
        <v>0</v>
      </c>
      <c r="DL98" s="197">
        <f t="shared" si="288"/>
        <v>3144.9669361360243</v>
      </c>
      <c r="DM98" s="197">
        <f t="shared" si="289"/>
        <v>4858.9407132060587</v>
      </c>
      <c r="DN98" s="197">
        <f t="shared" si="290"/>
        <v>-4858.9407132060587</v>
      </c>
      <c r="DO98" s="199">
        <f t="shared" si="291"/>
        <v>-1959.5247689859543</v>
      </c>
    </row>
    <row r="99" spans="2:119" x14ac:dyDescent="0.3">
      <c r="B99" s="900">
        <v>12</v>
      </c>
      <c r="C99" s="760">
        <f>'Energy NPV'!$D24</f>
        <v>26</v>
      </c>
      <c r="D99" s="197">
        <f>'Energy Inputs'!$D$58*$E$84</f>
        <v>43.75</v>
      </c>
      <c r="E99" s="197">
        <f t="shared" si="292"/>
        <v>1137.5</v>
      </c>
      <c r="F99" s="197"/>
      <c r="G99" s="197">
        <f t="shared" si="237"/>
        <v>1137.5</v>
      </c>
      <c r="H99" s="197"/>
      <c r="I99" s="918">
        <f>'Energy NPV'!U24</f>
        <v>637.73333400000001</v>
      </c>
      <c r="J99" s="197"/>
      <c r="K99" s="197">
        <f t="shared" si="238"/>
        <v>637.73333400000001</v>
      </c>
      <c r="L99" s="197">
        <f t="shared" si="227"/>
        <v>499.76666599999999</v>
      </c>
      <c r="M99" s="197">
        <f t="shared" si="228"/>
        <v>499.76666599999999</v>
      </c>
      <c r="N99" s="1036">
        <f t="shared" si="239"/>
        <v>821.75420213109214</v>
      </c>
      <c r="O99" s="1037">
        <f t="shared" si="240"/>
        <v>0</v>
      </c>
      <c r="P99" s="1037">
        <f t="shared" si="241"/>
        <v>460.71212927786485</v>
      </c>
      <c r="Q99" s="197">
        <f t="shared" si="242"/>
        <v>361.04207285322724</v>
      </c>
      <c r="R99" s="199">
        <f t="shared" si="243"/>
        <v>361.04207285322724</v>
      </c>
      <c r="S99" s="196">
        <f t="shared" si="293"/>
        <v>5745.0048911150734</v>
      </c>
      <c r="T99" s="197">
        <f t="shared" si="244"/>
        <v>2899.4159442201048</v>
      </c>
      <c r="U99" s="197">
        <f t="shared" si="245"/>
        <v>5319.6528424839235</v>
      </c>
      <c r="V99" s="197">
        <f t="shared" si="246"/>
        <v>425.35204863114939</v>
      </c>
      <c r="W99" s="199">
        <f t="shared" si="247"/>
        <v>3324.7679928512539</v>
      </c>
      <c r="X99" s="197"/>
      <c r="Z99" s="900">
        <v>12</v>
      </c>
      <c r="AA99" s="759">
        <f>'Energy NPV'!$D24</f>
        <v>26</v>
      </c>
      <c r="AB99" s="197">
        <f>'Energy Inputs'!$D$58*$AB$84</f>
        <v>65.625</v>
      </c>
      <c r="AC99" s="197">
        <f t="shared" si="294"/>
        <v>1706.25</v>
      </c>
      <c r="AD99" s="197"/>
      <c r="AE99" s="197">
        <f t="shared" si="248"/>
        <v>1706.25</v>
      </c>
      <c r="AF99" s="197"/>
      <c r="AG99" s="918">
        <f>'Energy NPV'!U24</f>
        <v>637.73333400000001</v>
      </c>
      <c r="AH99" s="197"/>
      <c r="AI99" s="197">
        <f t="shared" si="249"/>
        <v>637.73333400000001</v>
      </c>
      <c r="AJ99" s="197">
        <f t="shared" si="229"/>
        <v>1068.516666</v>
      </c>
      <c r="AK99" s="197">
        <f t="shared" si="230"/>
        <v>1068.516666</v>
      </c>
      <c r="AL99" s="196">
        <f t="shared" si="250"/>
        <v>1232.6313031966381</v>
      </c>
      <c r="AM99" s="197">
        <f t="shared" si="251"/>
        <v>0</v>
      </c>
      <c r="AN99" s="197">
        <f t="shared" si="252"/>
        <v>460.71212927786485</v>
      </c>
      <c r="AO99" s="197">
        <f t="shared" si="253"/>
        <v>771.91917391877325</v>
      </c>
      <c r="AP99" s="199">
        <f t="shared" si="254"/>
        <v>771.91917391877325</v>
      </c>
      <c r="AQ99" s="196">
        <f t="shared" si="295"/>
        <v>8617.5073366726101</v>
      </c>
      <c r="AR99" s="197">
        <f t="shared" si="255"/>
        <v>2899.4159442201048</v>
      </c>
      <c r="AS99" s="197">
        <f t="shared" si="256"/>
        <v>5319.6528424839235</v>
      </c>
      <c r="AT99" s="197">
        <f t="shared" si="257"/>
        <v>3297.8544941886862</v>
      </c>
      <c r="AU99" s="199">
        <f t="shared" si="258"/>
        <v>6197.270438408792</v>
      </c>
      <c r="AV99" s="197"/>
      <c r="AX99" s="900">
        <v>12</v>
      </c>
      <c r="AY99" s="759">
        <f>'Energy NPV'!$D24</f>
        <v>26</v>
      </c>
      <c r="AZ99" s="197">
        <f>'Energy Inputs'!$D$58*$AZ$84</f>
        <v>21.875</v>
      </c>
      <c r="BA99" s="197">
        <f t="shared" si="296"/>
        <v>568.75</v>
      </c>
      <c r="BB99" s="197"/>
      <c r="BC99" s="197">
        <f t="shared" si="259"/>
        <v>568.75</v>
      </c>
      <c r="BD99" s="197"/>
      <c r="BE99" s="918">
        <f>'Energy NPV'!U24</f>
        <v>637.73333400000001</v>
      </c>
      <c r="BF99" s="197"/>
      <c r="BG99" s="197">
        <f t="shared" si="260"/>
        <v>637.73333400000001</v>
      </c>
      <c r="BH99" s="197">
        <f t="shared" si="231"/>
        <v>-68.983334000000013</v>
      </c>
      <c r="BI99" s="197">
        <f t="shared" si="232"/>
        <v>-68.983334000000013</v>
      </c>
      <c r="BJ99" s="196">
        <f t="shared" si="261"/>
        <v>410.87710106554607</v>
      </c>
      <c r="BK99" s="197">
        <f t="shared" si="262"/>
        <v>0</v>
      </c>
      <c r="BL99" s="197">
        <f t="shared" si="263"/>
        <v>460.71212927786485</v>
      </c>
      <c r="BM99" s="197">
        <f t="shared" si="264"/>
        <v>-49.835028212318811</v>
      </c>
      <c r="BN99" s="199">
        <f t="shared" si="265"/>
        <v>-49.835028212318811</v>
      </c>
      <c r="BO99" s="196">
        <f t="shared" si="297"/>
        <v>2872.5024455575367</v>
      </c>
      <c r="BP99" s="197">
        <f t="shared" si="266"/>
        <v>2899.4159442201048</v>
      </c>
      <c r="BQ99" s="197">
        <f t="shared" si="267"/>
        <v>5319.6528424839235</v>
      </c>
      <c r="BR99" s="197">
        <f t="shared" si="268"/>
        <v>-2447.1503969263867</v>
      </c>
      <c r="BS99" s="199">
        <f t="shared" si="269"/>
        <v>452.26554729371736</v>
      </c>
      <c r="BV99" s="419">
        <v>12</v>
      </c>
      <c r="BW99" s="759">
        <f>'Energy NPV'!$D24</f>
        <v>26</v>
      </c>
      <c r="BX99" s="197">
        <f>'Energy Inputs'!$D$58*$BX$84</f>
        <v>87.5</v>
      </c>
      <c r="BY99" s="197">
        <f t="shared" si="298"/>
        <v>2275</v>
      </c>
      <c r="BZ99" s="197"/>
      <c r="CA99" s="197">
        <f t="shared" si="270"/>
        <v>2275</v>
      </c>
      <c r="CB99" s="197"/>
      <c r="CC99" s="918">
        <f>'Energy NPV'!U24</f>
        <v>637.73333400000001</v>
      </c>
      <c r="CD99" s="197"/>
      <c r="CE99" s="197">
        <f t="shared" si="271"/>
        <v>637.73333400000001</v>
      </c>
      <c r="CF99" s="197">
        <f t="shared" si="233"/>
        <v>1637.266666</v>
      </c>
      <c r="CG99" s="197">
        <f t="shared" si="234"/>
        <v>1637.266666</v>
      </c>
      <c r="CH99" s="196">
        <f t="shared" si="272"/>
        <v>1643.5084042621843</v>
      </c>
      <c r="CI99" s="197">
        <f t="shared" si="273"/>
        <v>0</v>
      </c>
      <c r="CJ99" s="197">
        <f t="shared" si="274"/>
        <v>460.71212927786485</v>
      </c>
      <c r="CK99" s="197">
        <f t="shared" si="275"/>
        <v>1182.7962749843193</v>
      </c>
      <c r="CL99" s="199">
        <f t="shared" si="276"/>
        <v>1182.7962749843193</v>
      </c>
      <c r="CM99" s="196">
        <f t="shared" si="299"/>
        <v>11490.009782230147</v>
      </c>
      <c r="CN99" s="197">
        <f t="shared" si="277"/>
        <v>2899.4159442201048</v>
      </c>
      <c r="CO99" s="197">
        <f t="shared" si="278"/>
        <v>5319.6528424839235</v>
      </c>
      <c r="CP99" s="197">
        <f t="shared" si="279"/>
        <v>6170.3569397462225</v>
      </c>
      <c r="CQ99" s="199">
        <f t="shared" si="280"/>
        <v>9069.7728839663268</v>
      </c>
      <c r="CT99" s="204">
        <f t="shared" si="300"/>
        <v>12</v>
      </c>
      <c r="CU99" s="759">
        <f>'Energy NPV'!$D24</f>
        <v>26</v>
      </c>
      <c r="CV99" s="197">
        <f>'Energy Inputs'!$D$58*$CV$84</f>
        <v>0</v>
      </c>
      <c r="CW99" s="197">
        <f t="shared" si="301"/>
        <v>0</v>
      </c>
      <c r="CX99" s="197">
        <f>'Margins summary'!$Q$14</f>
        <v>330</v>
      </c>
      <c r="CY99" s="197"/>
      <c r="CZ99" s="197"/>
      <c r="DA99" s="918">
        <f>'Energy NPV'!U24</f>
        <v>637.73333400000001</v>
      </c>
      <c r="DB99" s="197"/>
      <c r="DC99" s="197">
        <f t="shared" si="282"/>
        <v>637.73333400000001</v>
      </c>
      <c r="DD99" s="197">
        <f t="shared" si="235"/>
        <v>-637.73333400000001</v>
      </c>
      <c r="DE99" s="197">
        <f t="shared" si="236"/>
        <v>-637.73333400000001</v>
      </c>
      <c r="DF99" s="196">
        <f t="shared" si="283"/>
        <v>0</v>
      </c>
      <c r="DG99" s="197">
        <f t="shared" si="284"/>
        <v>238.39902127759154</v>
      </c>
      <c r="DH99" s="197">
        <f t="shared" si="285"/>
        <v>460.71212927786485</v>
      </c>
      <c r="DI99" s="197">
        <f t="shared" si="286"/>
        <v>-460.71212927786485</v>
      </c>
      <c r="DJ99" s="199">
        <f t="shared" si="287"/>
        <v>-460.71212927786485</v>
      </c>
      <c r="DK99" s="196">
        <f t="shared" si="302"/>
        <v>0</v>
      </c>
      <c r="DL99" s="197">
        <f t="shared" si="288"/>
        <v>3383.3659574136159</v>
      </c>
      <c r="DM99" s="197">
        <f t="shared" si="289"/>
        <v>5319.6528424839235</v>
      </c>
      <c r="DN99" s="197">
        <f t="shared" si="290"/>
        <v>-5319.6528424839235</v>
      </c>
      <c r="DO99" s="199">
        <f t="shared" si="291"/>
        <v>-2420.2368982638191</v>
      </c>
    </row>
    <row r="100" spans="2:119" x14ac:dyDescent="0.3">
      <c r="B100" s="900">
        <v>13</v>
      </c>
      <c r="C100" s="760">
        <f>'Energy NPV'!$D25</f>
        <v>0</v>
      </c>
      <c r="D100" s="197">
        <f>'Energy Inputs'!$D$58*$E$84</f>
        <v>43.75</v>
      </c>
      <c r="E100" s="197">
        <f t="shared" si="292"/>
        <v>0</v>
      </c>
      <c r="F100" s="197"/>
      <c r="G100" s="197">
        <f t="shared" si="237"/>
        <v>0</v>
      </c>
      <c r="H100" s="197"/>
      <c r="I100" s="918">
        <f>'Energy NPV'!U25</f>
        <v>0</v>
      </c>
      <c r="J100" s="197"/>
      <c r="K100" s="197">
        <f t="shared" si="238"/>
        <v>0</v>
      </c>
      <c r="L100" s="197">
        <f t="shared" si="227"/>
        <v>0</v>
      </c>
      <c r="M100" s="197">
        <f t="shared" si="228"/>
        <v>0</v>
      </c>
      <c r="N100" s="1036">
        <f t="shared" si="239"/>
        <v>0</v>
      </c>
      <c r="O100" s="1037">
        <f t="shared" si="240"/>
        <v>0</v>
      </c>
      <c r="P100" s="1037">
        <f t="shared" si="241"/>
        <v>0</v>
      </c>
      <c r="Q100" s="197">
        <f t="shared" si="242"/>
        <v>0</v>
      </c>
      <c r="R100" s="199">
        <f t="shared" si="243"/>
        <v>0</v>
      </c>
      <c r="S100" s="196">
        <f t="shared" si="293"/>
        <v>5745.0048911150734</v>
      </c>
      <c r="T100" s="197">
        <f t="shared" si="244"/>
        <v>2899.4159442201048</v>
      </c>
      <c r="U100" s="197">
        <f t="shared" si="245"/>
        <v>5319.6528424839235</v>
      </c>
      <c r="V100" s="197">
        <f t="shared" si="246"/>
        <v>425.35204863114939</v>
      </c>
      <c r="W100" s="199">
        <f t="shared" si="247"/>
        <v>3324.7679928512539</v>
      </c>
      <c r="X100" s="197"/>
      <c r="Z100" s="900">
        <v>13</v>
      </c>
      <c r="AA100" s="759">
        <f>'Energy NPV'!$D25</f>
        <v>0</v>
      </c>
      <c r="AB100" s="197">
        <f>'Energy Inputs'!$D$58*$AB$84</f>
        <v>65.625</v>
      </c>
      <c r="AC100" s="197">
        <f t="shared" si="294"/>
        <v>0</v>
      </c>
      <c r="AD100" s="197"/>
      <c r="AE100" s="197">
        <f t="shared" si="248"/>
        <v>0</v>
      </c>
      <c r="AF100" s="197"/>
      <c r="AG100" s="918">
        <f>'Energy NPV'!U25</f>
        <v>0</v>
      </c>
      <c r="AH100" s="197"/>
      <c r="AI100" s="197">
        <f t="shared" si="249"/>
        <v>0</v>
      </c>
      <c r="AJ100" s="197">
        <f t="shared" si="229"/>
        <v>0</v>
      </c>
      <c r="AK100" s="197">
        <f t="shared" si="230"/>
        <v>0</v>
      </c>
      <c r="AL100" s="196">
        <f t="shared" si="250"/>
        <v>0</v>
      </c>
      <c r="AM100" s="197">
        <f t="shared" si="251"/>
        <v>0</v>
      </c>
      <c r="AN100" s="197">
        <f t="shared" si="252"/>
        <v>0</v>
      </c>
      <c r="AO100" s="197">
        <f t="shared" si="253"/>
        <v>0</v>
      </c>
      <c r="AP100" s="199">
        <f t="shared" si="254"/>
        <v>0</v>
      </c>
      <c r="AQ100" s="196">
        <f t="shared" si="295"/>
        <v>8617.5073366726101</v>
      </c>
      <c r="AR100" s="197">
        <f t="shared" si="255"/>
        <v>2899.4159442201048</v>
      </c>
      <c r="AS100" s="197">
        <f t="shared" si="256"/>
        <v>5319.6528424839235</v>
      </c>
      <c r="AT100" s="197">
        <f t="shared" si="257"/>
        <v>3297.8544941886862</v>
      </c>
      <c r="AU100" s="199">
        <f t="shared" si="258"/>
        <v>6197.270438408792</v>
      </c>
      <c r="AV100" s="197"/>
      <c r="AX100" s="900">
        <v>13</v>
      </c>
      <c r="AY100" s="759">
        <f>'Energy NPV'!$D25</f>
        <v>0</v>
      </c>
      <c r="AZ100" s="197">
        <f>'Energy Inputs'!$D$58*$AZ$84</f>
        <v>21.875</v>
      </c>
      <c r="BA100" s="197">
        <f t="shared" si="296"/>
        <v>0</v>
      </c>
      <c r="BB100" s="197"/>
      <c r="BC100" s="197">
        <f t="shared" si="259"/>
        <v>0</v>
      </c>
      <c r="BD100" s="197"/>
      <c r="BE100" s="918">
        <f>'Energy NPV'!U25</f>
        <v>0</v>
      </c>
      <c r="BF100" s="197"/>
      <c r="BG100" s="197">
        <f t="shared" si="260"/>
        <v>0</v>
      </c>
      <c r="BH100" s="197">
        <f t="shared" si="231"/>
        <v>0</v>
      </c>
      <c r="BI100" s="197">
        <f t="shared" si="232"/>
        <v>0</v>
      </c>
      <c r="BJ100" s="196">
        <f t="shared" si="261"/>
        <v>0</v>
      </c>
      <c r="BK100" s="197">
        <f t="shared" si="262"/>
        <v>0</v>
      </c>
      <c r="BL100" s="197">
        <f t="shared" si="263"/>
        <v>0</v>
      </c>
      <c r="BM100" s="197">
        <f t="shared" si="264"/>
        <v>0</v>
      </c>
      <c r="BN100" s="199">
        <f t="shared" si="265"/>
        <v>0</v>
      </c>
      <c r="BO100" s="196">
        <f t="shared" si="297"/>
        <v>2872.5024455575367</v>
      </c>
      <c r="BP100" s="197">
        <f t="shared" si="266"/>
        <v>2899.4159442201048</v>
      </c>
      <c r="BQ100" s="197">
        <f t="shared" si="267"/>
        <v>5319.6528424839235</v>
      </c>
      <c r="BR100" s="197">
        <f t="shared" si="268"/>
        <v>-2447.1503969263867</v>
      </c>
      <c r="BS100" s="199">
        <f t="shared" si="269"/>
        <v>452.26554729371736</v>
      </c>
      <c r="BV100" s="419">
        <v>13</v>
      </c>
      <c r="BW100" s="759">
        <f>'Energy NPV'!$D25</f>
        <v>0</v>
      </c>
      <c r="BX100" s="197">
        <f>'Energy Inputs'!$D$58*$BX$84</f>
        <v>87.5</v>
      </c>
      <c r="BY100" s="197">
        <f t="shared" si="298"/>
        <v>0</v>
      </c>
      <c r="BZ100" s="197"/>
      <c r="CA100" s="197">
        <f t="shared" si="270"/>
        <v>0</v>
      </c>
      <c r="CB100" s="197"/>
      <c r="CC100" s="918">
        <f>'Energy NPV'!U25</f>
        <v>0</v>
      </c>
      <c r="CD100" s="197"/>
      <c r="CE100" s="197">
        <f t="shared" si="271"/>
        <v>0</v>
      </c>
      <c r="CF100" s="197">
        <f t="shared" si="233"/>
        <v>0</v>
      </c>
      <c r="CG100" s="197">
        <f t="shared" si="234"/>
        <v>0</v>
      </c>
      <c r="CH100" s="196">
        <f t="shared" si="272"/>
        <v>0</v>
      </c>
      <c r="CI100" s="197">
        <f t="shared" si="273"/>
        <v>0</v>
      </c>
      <c r="CJ100" s="197">
        <f t="shared" si="274"/>
        <v>0</v>
      </c>
      <c r="CK100" s="197">
        <f t="shared" si="275"/>
        <v>0</v>
      </c>
      <c r="CL100" s="199">
        <f t="shared" si="276"/>
        <v>0</v>
      </c>
      <c r="CM100" s="196">
        <f t="shared" si="299"/>
        <v>11490.009782230147</v>
      </c>
      <c r="CN100" s="197">
        <f t="shared" si="277"/>
        <v>2899.4159442201048</v>
      </c>
      <c r="CO100" s="197">
        <f t="shared" si="278"/>
        <v>5319.6528424839235</v>
      </c>
      <c r="CP100" s="197">
        <f t="shared" si="279"/>
        <v>6170.3569397462225</v>
      </c>
      <c r="CQ100" s="199">
        <f t="shared" si="280"/>
        <v>9069.7728839663268</v>
      </c>
      <c r="CT100" s="204">
        <f t="shared" si="300"/>
        <v>13</v>
      </c>
      <c r="CU100" s="759">
        <f>'Energy NPV'!$D25</f>
        <v>0</v>
      </c>
      <c r="CV100" s="197">
        <f>'Energy Inputs'!$D$58*$CV$84</f>
        <v>0</v>
      </c>
      <c r="CW100" s="197">
        <f t="shared" si="301"/>
        <v>0</v>
      </c>
      <c r="CX100" s="197">
        <f>'Margins summary'!$Q$14</f>
        <v>330</v>
      </c>
      <c r="CY100" s="197"/>
      <c r="CZ100" s="197"/>
      <c r="DA100" s="918">
        <f>'Energy NPV'!U25</f>
        <v>0</v>
      </c>
      <c r="DB100" s="197"/>
      <c r="DC100" s="197">
        <f t="shared" si="282"/>
        <v>0</v>
      </c>
      <c r="DD100" s="197">
        <f t="shared" si="235"/>
        <v>0</v>
      </c>
      <c r="DE100" s="197">
        <f t="shared" si="236"/>
        <v>0</v>
      </c>
      <c r="DF100" s="196">
        <f t="shared" si="283"/>
        <v>0</v>
      </c>
      <c r="DG100" s="197">
        <f t="shared" si="284"/>
        <v>231.45536046368116</v>
      </c>
      <c r="DH100" s="197">
        <f t="shared" si="285"/>
        <v>0</v>
      </c>
      <c r="DI100" s="197">
        <f t="shared" si="286"/>
        <v>0</v>
      </c>
      <c r="DJ100" s="199">
        <f t="shared" si="287"/>
        <v>0</v>
      </c>
      <c r="DK100" s="196">
        <f t="shared" si="302"/>
        <v>0</v>
      </c>
      <c r="DL100" s="197">
        <f t="shared" si="288"/>
        <v>3614.8213178772971</v>
      </c>
      <c r="DM100" s="197">
        <f t="shared" si="289"/>
        <v>5319.6528424839235</v>
      </c>
      <c r="DN100" s="197">
        <f t="shared" si="290"/>
        <v>-5319.6528424839235</v>
      </c>
      <c r="DO100" s="199">
        <f t="shared" si="291"/>
        <v>-2420.2368982638191</v>
      </c>
    </row>
    <row r="101" spans="2:119" x14ac:dyDescent="0.3">
      <c r="B101" s="900">
        <v>14</v>
      </c>
      <c r="C101" s="760">
        <f>'Energy NPV'!$D26</f>
        <v>26</v>
      </c>
      <c r="D101" s="197">
        <f>'Energy Inputs'!$D$58*$E$84</f>
        <v>43.75</v>
      </c>
      <c r="E101" s="197">
        <f t="shared" si="292"/>
        <v>1137.5</v>
      </c>
      <c r="F101" s="197"/>
      <c r="G101" s="197">
        <f t="shared" si="237"/>
        <v>1137.5</v>
      </c>
      <c r="H101" s="197"/>
      <c r="I101" s="918">
        <f>'Energy NPV'!U26</f>
        <v>637.73333400000001</v>
      </c>
      <c r="J101" s="197"/>
      <c r="K101" s="197">
        <f t="shared" si="238"/>
        <v>637.73333400000001</v>
      </c>
      <c r="L101" s="197">
        <f t="shared" si="227"/>
        <v>499.76666599999999</v>
      </c>
      <c r="M101" s="197">
        <f t="shared" si="228"/>
        <v>499.76666599999999</v>
      </c>
      <c r="N101" s="1036">
        <f t="shared" si="239"/>
        <v>774.58214924223989</v>
      </c>
      <c r="O101" s="1037">
        <f t="shared" si="240"/>
        <v>0</v>
      </c>
      <c r="P101" s="1037">
        <f t="shared" si="241"/>
        <v>434.26536834561688</v>
      </c>
      <c r="Q101" s="197">
        <f t="shared" si="242"/>
        <v>340.31678089662296</v>
      </c>
      <c r="R101" s="199">
        <f t="shared" si="243"/>
        <v>340.31678089662296</v>
      </c>
      <c r="S101" s="196">
        <f t="shared" si="293"/>
        <v>6519.5870403573135</v>
      </c>
      <c r="T101" s="197">
        <f t="shared" si="244"/>
        <v>2899.4159442201048</v>
      </c>
      <c r="U101" s="197">
        <f t="shared" si="245"/>
        <v>5753.9182108295399</v>
      </c>
      <c r="V101" s="197">
        <f t="shared" si="246"/>
        <v>765.66882952777235</v>
      </c>
      <c r="W101" s="199">
        <f t="shared" si="247"/>
        <v>3665.0847737478771</v>
      </c>
      <c r="X101" s="197"/>
      <c r="Z101" s="900">
        <v>14</v>
      </c>
      <c r="AA101" s="759">
        <f>'Energy NPV'!$D26</f>
        <v>26</v>
      </c>
      <c r="AB101" s="197">
        <f>'Energy Inputs'!$D$58*$AB$84</f>
        <v>65.625</v>
      </c>
      <c r="AC101" s="197">
        <f t="shared" si="294"/>
        <v>1706.25</v>
      </c>
      <c r="AD101" s="197"/>
      <c r="AE101" s="197">
        <f t="shared" si="248"/>
        <v>1706.25</v>
      </c>
      <c r="AF101" s="197"/>
      <c r="AG101" s="918">
        <f>'Energy NPV'!U26</f>
        <v>637.73333400000001</v>
      </c>
      <c r="AH101" s="197"/>
      <c r="AI101" s="197">
        <f t="shared" si="249"/>
        <v>637.73333400000001</v>
      </c>
      <c r="AJ101" s="197">
        <f t="shared" si="229"/>
        <v>1068.516666</v>
      </c>
      <c r="AK101" s="197">
        <f t="shared" si="230"/>
        <v>1068.516666</v>
      </c>
      <c r="AL101" s="196">
        <f t="shared" si="250"/>
        <v>1161.8732238633597</v>
      </c>
      <c r="AM101" s="197">
        <f t="shared" si="251"/>
        <v>0</v>
      </c>
      <c r="AN101" s="197">
        <f t="shared" si="252"/>
        <v>434.26536834561688</v>
      </c>
      <c r="AO101" s="197">
        <f t="shared" si="253"/>
        <v>727.60785551774291</v>
      </c>
      <c r="AP101" s="199">
        <f t="shared" si="254"/>
        <v>727.60785551774291</v>
      </c>
      <c r="AQ101" s="196">
        <f t="shared" si="295"/>
        <v>9779.3805605359703</v>
      </c>
      <c r="AR101" s="197">
        <f t="shared" si="255"/>
        <v>2899.4159442201048</v>
      </c>
      <c r="AS101" s="197">
        <f t="shared" si="256"/>
        <v>5753.9182108295399</v>
      </c>
      <c r="AT101" s="197">
        <f t="shared" si="257"/>
        <v>4025.462349706429</v>
      </c>
      <c r="AU101" s="199">
        <f t="shared" si="258"/>
        <v>6924.8782939265348</v>
      </c>
      <c r="AV101" s="197"/>
      <c r="AX101" s="900">
        <v>14</v>
      </c>
      <c r="AY101" s="759">
        <f>'Energy NPV'!$D26</f>
        <v>26</v>
      </c>
      <c r="AZ101" s="197">
        <f>'Energy Inputs'!$D$58*$AZ$84</f>
        <v>21.875</v>
      </c>
      <c r="BA101" s="197">
        <f t="shared" si="296"/>
        <v>568.75</v>
      </c>
      <c r="BB101" s="197"/>
      <c r="BC101" s="197">
        <f t="shared" si="259"/>
        <v>568.75</v>
      </c>
      <c r="BD101" s="197"/>
      <c r="BE101" s="918">
        <f>'Energy NPV'!U26</f>
        <v>637.73333400000001</v>
      </c>
      <c r="BF101" s="197"/>
      <c r="BG101" s="197">
        <f t="shared" si="260"/>
        <v>637.73333400000001</v>
      </c>
      <c r="BH101" s="197">
        <f t="shared" si="231"/>
        <v>-68.983334000000013</v>
      </c>
      <c r="BI101" s="197">
        <f t="shared" si="232"/>
        <v>-68.983334000000013</v>
      </c>
      <c r="BJ101" s="196">
        <f t="shared" si="261"/>
        <v>387.29107462111995</v>
      </c>
      <c r="BK101" s="197">
        <f t="shared" si="262"/>
        <v>0</v>
      </c>
      <c r="BL101" s="197">
        <f t="shared" si="263"/>
        <v>434.26536834561688</v>
      </c>
      <c r="BM101" s="197">
        <f t="shared" si="264"/>
        <v>-46.97429372449696</v>
      </c>
      <c r="BN101" s="199">
        <f t="shared" si="265"/>
        <v>-46.97429372449696</v>
      </c>
      <c r="BO101" s="196">
        <f t="shared" si="297"/>
        <v>3259.7935201786568</v>
      </c>
      <c r="BP101" s="197">
        <f t="shared" si="266"/>
        <v>2899.4159442201048</v>
      </c>
      <c r="BQ101" s="197">
        <f t="shared" si="267"/>
        <v>5753.9182108295399</v>
      </c>
      <c r="BR101" s="197">
        <f t="shared" si="268"/>
        <v>-2494.1246906508836</v>
      </c>
      <c r="BS101" s="199">
        <f t="shared" si="269"/>
        <v>405.29125356922043</v>
      </c>
      <c r="BV101" s="419">
        <v>14</v>
      </c>
      <c r="BW101" s="759">
        <f>'Energy NPV'!$D26</f>
        <v>26</v>
      </c>
      <c r="BX101" s="197">
        <f>'Energy Inputs'!$D$58*$BX$84</f>
        <v>87.5</v>
      </c>
      <c r="BY101" s="197">
        <f t="shared" si="298"/>
        <v>2275</v>
      </c>
      <c r="BZ101" s="197"/>
      <c r="CA101" s="197">
        <f t="shared" si="270"/>
        <v>2275</v>
      </c>
      <c r="CB101" s="197"/>
      <c r="CC101" s="918">
        <f>'Energy NPV'!U26</f>
        <v>637.73333400000001</v>
      </c>
      <c r="CD101" s="197"/>
      <c r="CE101" s="197">
        <f t="shared" si="271"/>
        <v>637.73333400000001</v>
      </c>
      <c r="CF101" s="197">
        <f t="shared" si="233"/>
        <v>1637.266666</v>
      </c>
      <c r="CG101" s="197">
        <f t="shared" si="234"/>
        <v>1637.266666</v>
      </c>
      <c r="CH101" s="196">
        <f t="shared" si="272"/>
        <v>1549.1642984844798</v>
      </c>
      <c r="CI101" s="197">
        <f t="shared" si="273"/>
        <v>0</v>
      </c>
      <c r="CJ101" s="197">
        <f t="shared" si="274"/>
        <v>434.26536834561688</v>
      </c>
      <c r="CK101" s="197">
        <f t="shared" si="275"/>
        <v>1114.8989301388629</v>
      </c>
      <c r="CL101" s="199">
        <f t="shared" si="276"/>
        <v>1114.8989301388629</v>
      </c>
      <c r="CM101" s="196">
        <f t="shared" si="299"/>
        <v>13039.174080714627</v>
      </c>
      <c r="CN101" s="197">
        <f t="shared" si="277"/>
        <v>2899.4159442201048</v>
      </c>
      <c r="CO101" s="197">
        <f t="shared" si="278"/>
        <v>5753.9182108295399</v>
      </c>
      <c r="CP101" s="197">
        <f t="shared" si="279"/>
        <v>7285.2558698850853</v>
      </c>
      <c r="CQ101" s="199">
        <f t="shared" si="280"/>
        <v>10184.67181410519</v>
      </c>
      <c r="CT101" s="204">
        <f t="shared" si="300"/>
        <v>14</v>
      </c>
      <c r="CU101" s="759">
        <f>'Energy NPV'!$D26</f>
        <v>26</v>
      </c>
      <c r="CV101" s="197">
        <f>'Energy Inputs'!$D$58*$CV$84</f>
        <v>0</v>
      </c>
      <c r="CW101" s="197">
        <f t="shared" si="301"/>
        <v>0</v>
      </c>
      <c r="CX101" s="197">
        <f>'Margins summary'!$Q$14</f>
        <v>330</v>
      </c>
      <c r="CY101" s="197"/>
      <c r="CZ101" s="197"/>
      <c r="DA101" s="918">
        <f>'Energy NPV'!U26</f>
        <v>637.73333400000001</v>
      </c>
      <c r="DB101" s="197"/>
      <c r="DC101" s="197">
        <f t="shared" si="282"/>
        <v>637.73333400000001</v>
      </c>
      <c r="DD101" s="197">
        <f t="shared" si="235"/>
        <v>-637.73333400000001</v>
      </c>
      <c r="DE101" s="197">
        <f t="shared" si="236"/>
        <v>-637.73333400000001</v>
      </c>
      <c r="DF101" s="196">
        <f t="shared" si="283"/>
        <v>0</v>
      </c>
      <c r="DG101" s="197">
        <f t="shared" si="284"/>
        <v>224.71394219774871</v>
      </c>
      <c r="DH101" s="197">
        <f t="shared" si="285"/>
        <v>434.26536834561688</v>
      </c>
      <c r="DI101" s="197">
        <f t="shared" si="286"/>
        <v>-434.26536834561688</v>
      </c>
      <c r="DJ101" s="199">
        <f t="shared" si="287"/>
        <v>-434.26536834561688</v>
      </c>
      <c r="DK101" s="196">
        <f t="shared" si="302"/>
        <v>0</v>
      </c>
      <c r="DL101" s="197">
        <f t="shared" si="288"/>
        <v>3839.5352600750457</v>
      </c>
      <c r="DM101" s="197">
        <f t="shared" si="289"/>
        <v>5753.9182108295399</v>
      </c>
      <c r="DN101" s="197">
        <f t="shared" si="290"/>
        <v>-5753.9182108295399</v>
      </c>
      <c r="DO101" s="199">
        <f t="shared" si="291"/>
        <v>-2854.502266609436</v>
      </c>
    </row>
    <row r="102" spans="2:119" x14ac:dyDescent="0.3">
      <c r="B102" s="900">
        <v>15</v>
      </c>
      <c r="C102" s="760">
        <f>'Energy NPV'!$D27</f>
        <v>0</v>
      </c>
      <c r="D102" s="197">
        <f>'Energy Inputs'!$D$58*$E$84</f>
        <v>43.75</v>
      </c>
      <c r="E102" s="197">
        <f t="shared" si="292"/>
        <v>0</v>
      </c>
      <c r="F102" s="197"/>
      <c r="G102" s="197">
        <f t="shared" si="237"/>
        <v>0</v>
      </c>
      <c r="H102" s="197"/>
      <c r="I102" s="918">
        <f>'Energy NPV'!U27</f>
        <v>0</v>
      </c>
      <c r="J102" s="197"/>
      <c r="K102" s="197">
        <f t="shared" si="238"/>
        <v>0</v>
      </c>
      <c r="L102" s="197">
        <f t="shared" si="227"/>
        <v>0</v>
      </c>
      <c r="M102" s="197">
        <f t="shared" si="228"/>
        <v>0</v>
      </c>
      <c r="N102" s="1036">
        <f t="shared" si="239"/>
        <v>0</v>
      </c>
      <c r="O102" s="1037">
        <f t="shared" si="240"/>
        <v>0</v>
      </c>
      <c r="P102" s="1037">
        <f t="shared" si="241"/>
        <v>0</v>
      </c>
      <c r="Q102" s="197">
        <f t="shared" si="242"/>
        <v>0</v>
      </c>
      <c r="R102" s="199">
        <f t="shared" si="243"/>
        <v>0</v>
      </c>
      <c r="S102" s="196">
        <f t="shared" si="293"/>
        <v>6519.5870403573135</v>
      </c>
      <c r="T102" s="197">
        <f t="shared" si="244"/>
        <v>2899.4159442201048</v>
      </c>
      <c r="U102" s="197">
        <f t="shared" si="245"/>
        <v>5753.9182108295399</v>
      </c>
      <c r="V102" s="197">
        <f t="shared" si="246"/>
        <v>765.66882952777235</v>
      </c>
      <c r="W102" s="199">
        <f t="shared" si="247"/>
        <v>3665.0847737478771</v>
      </c>
      <c r="X102" s="197"/>
      <c r="Z102" s="900">
        <v>15</v>
      </c>
      <c r="AA102" s="759">
        <f>'Energy NPV'!$D27</f>
        <v>0</v>
      </c>
      <c r="AB102" s="197">
        <f>'Energy Inputs'!$D$58*$AB$84</f>
        <v>65.625</v>
      </c>
      <c r="AC102" s="197">
        <f t="shared" si="294"/>
        <v>0</v>
      </c>
      <c r="AD102" s="197"/>
      <c r="AE102" s="197">
        <f t="shared" si="248"/>
        <v>0</v>
      </c>
      <c r="AF102" s="197"/>
      <c r="AG102" s="918">
        <f>'Energy NPV'!U27</f>
        <v>0</v>
      </c>
      <c r="AH102" s="197"/>
      <c r="AI102" s="197">
        <f t="shared" si="249"/>
        <v>0</v>
      </c>
      <c r="AJ102" s="197">
        <f t="shared" si="229"/>
        <v>0</v>
      </c>
      <c r="AK102" s="197">
        <f t="shared" si="230"/>
        <v>0</v>
      </c>
      <c r="AL102" s="196">
        <f t="shared" si="250"/>
        <v>0</v>
      </c>
      <c r="AM102" s="197">
        <f t="shared" si="251"/>
        <v>0</v>
      </c>
      <c r="AN102" s="197">
        <f t="shared" si="252"/>
        <v>0</v>
      </c>
      <c r="AO102" s="197">
        <f t="shared" si="253"/>
        <v>0</v>
      </c>
      <c r="AP102" s="199">
        <f t="shared" si="254"/>
        <v>0</v>
      </c>
      <c r="AQ102" s="196">
        <f t="shared" si="295"/>
        <v>9779.3805605359703</v>
      </c>
      <c r="AR102" s="197">
        <f t="shared" si="255"/>
        <v>2899.4159442201048</v>
      </c>
      <c r="AS102" s="197">
        <f t="shared" si="256"/>
        <v>5753.9182108295399</v>
      </c>
      <c r="AT102" s="197">
        <f t="shared" si="257"/>
        <v>4025.462349706429</v>
      </c>
      <c r="AU102" s="199">
        <f t="shared" si="258"/>
        <v>6924.8782939265348</v>
      </c>
      <c r="AV102" s="197"/>
      <c r="AX102" s="900">
        <v>15</v>
      </c>
      <c r="AY102" s="759">
        <f>'Energy NPV'!$D27</f>
        <v>0</v>
      </c>
      <c r="AZ102" s="197">
        <f>'Energy Inputs'!$D$58*$AZ$84</f>
        <v>21.875</v>
      </c>
      <c r="BA102" s="197">
        <f t="shared" si="296"/>
        <v>0</v>
      </c>
      <c r="BB102" s="197"/>
      <c r="BC102" s="197">
        <f t="shared" si="259"/>
        <v>0</v>
      </c>
      <c r="BD102" s="197"/>
      <c r="BE102" s="918">
        <f>'Energy NPV'!U27</f>
        <v>0</v>
      </c>
      <c r="BF102" s="197"/>
      <c r="BG102" s="197">
        <f t="shared" si="260"/>
        <v>0</v>
      </c>
      <c r="BH102" s="197">
        <f t="shared" si="231"/>
        <v>0</v>
      </c>
      <c r="BI102" s="197">
        <f t="shared" si="232"/>
        <v>0</v>
      </c>
      <c r="BJ102" s="196">
        <f t="shared" si="261"/>
        <v>0</v>
      </c>
      <c r="BK102" s="197">
        <f t="shared" si="262"/>
        <v>0</v>
      </c>
      <c r="BL102" s="197">
        <f t="shared" si="263"/>
        <v>0</v>
      </c>
      <c r="BM102" s="197">
        <f t="shared" si="264"/>
        <v>0</v>
      </c>
      <c r="BN102" s="199">
        <f t="shared" si="265"/>
        <v>0</v>
      </c>
      <c r="BO102" s="196">
        <f t="shared" si="297"/>
        <v>3259.7935201786568</v>
      </c>
      <c r="BP102" s="197">
        <f t="shared" si="266"/>
        <v>2899.4159442201048</v>
      </c>
      <c r="BQ102" s="197">
        <f t="shared" si="267"/>
        <v>5753.9182108295399</v>
      </c>
      <c r="BR102" s="197">
        <f t="shared" si="268"/>
        <v>-2494.1246906508836</v>
      </c>
      <c r="BS102" s="199">
        <f t="shared" si="269"/>
        <v>405.29125356922043</v>
      </c>
      <c r="BV102" s="419">
        <v>15</v>
      </c>
      <c r="BW102" s="759">
        <f>'Energy NPV'!$D27</f>
        <v>0</v>
      </c>
      <c r="BX102" s="197">
        <f>'Energy Inputs'!$D$58*$BX$84</f>
        <v>87.5</v>
      </c>
      <c r="BY102" s="197">
        <f t="shared" si="298"/>
        <v>0</v>
      </c>
      <c r="BZ102" s="197"/>
      <c r="CA102" s="197">
        <f t="shared" si="270"/>
        <v>0</v>
      </c>
      <c r="CB102" s="197"/>
      <c r="CC102" s="918">
        <f>'Energy NPV'!U27</f>
        <v>0</v>
      </c>
      <c r="CD102" s="197"/>
      <c r="CE102" s="197">
        <f t="shared" si="271"/>
        <v>0</v>
      </c>
      <c r="CF102" s="197">
        <f t="shared" si="233"/>
        <v>0</v>
      </c>
      <c r="CG102" s="197">
        <f t="shared" si="234"/>
        <v>0</v>
      </c>
      <c r="CH102" s="196">
        <f t="shared" si="272"/>
        <v>0</v>
      </c>
      <c r="CI102" s="197">
        <f t="shared" si="273"/>
        <v>0</v>
      </c>
      <c r="CJ102" s="197">
        <f t="shared" si="274"/>
        <v>0</v>
      </c>
      <c r="CK102" s="197">
        <f t="shared" si="275"/>
        <v>0</v>
      </c>
      <c r="CL102" s="199">
        <f t="shared" si="276"/>
        <v>0</v>
      </c>
      <c r="CM102" s="196">
        <f t="shared" si="299"/>
        <v>13039.174080714627</v>
      </c>
      <c r="CN102" s="197">
        <f t="shared" si="277"/>
        <v>2899.4159442201048</v>
      </c>
      <c r="CO102" s="197">
        <f t="shared" si="278"/>
        <v>5753.9182108295399</v>
      </c>
      <c r="CP102" s="197">
        <f t="shared" si="279"/>
        <v>7285.2558698850853</v>
      </c>
      <c r="CQ102" s="199">
        <f t="shared" si="280"/>
        <v>10184.67181410519</v>
      </c>
      <c r="CT102" s="204">
        <f t="shared" si="300"/>
        <v>15</v>
      </c>
      <c r="CU102" s="759">
        <f>'Energy NPV'!$D27</f>
        <v>0</v>
      </c>
      <c r="CV102" s="197">
        <f>'Energy Inputs'!$D$58*$CV$84</f>
        <v>0</v>
      </c>
      <c r="CW102" s="197">
        <f t="shared" si="301"/>
        <v>0</v>
      </c>
      <c r="CX102" s="197">
        <f>'Margins summary'!$Q$14</f>
        <v>330</v>
      </c>
      <c r="CY102" s="197"/>
      <c r="CZ102" s="197"/>
      <c r="DA102" s="918">
        <f>'Energy NPV'!U27</f>
        <v>0</v>
      </c>
      <c r="DB102" s="197"/>
      <c r="DC102" s="197">
        <f t="shared" si="282"/>
        <v>0</v>
      </c>
      <c r="DD102" s="197">
        <f t="shared" si="235"/>
        <v>0</v>
      </c>
      <c r="DE102" s="197">
        <f t="shared" si="236"/>
        <v>0</v>
      </c>
      <c r="DF102" s="196">
        <f t="shared" si="283"/>
        <v>0</v>
      </c>
      <c r="DG102" s="197">
        <f t="shared" si="284"/>
        <v>218.16887592014436</v>
      </c>
      <c r="DH102" s="197">
        <f t="shared" si="285"/>
        <v>0</v>
      </c>
      <c r="DI102" s="197">
        <f t="shared" si="286"/>
        <v>0</v>
      </c>
      <c r="DJ102" s="199">
        <f t="shared" si="287"/>
        <v>0</v>
      </c>
      <c r="DK102" s="196">
        <f t="shared" si="302"/>
        <v>0</v>
      </c>
      <c r="DL102" s="197">
        <f t="shared" si="288"/>
        <v>4057.70413599519</v>
      </c>
      <c r="DM102" s="197">
        <f t="shared" si="289"/>
        <v>5753.9182108295399</v>
      </c>
      <c r="DN102" s="197">
        <f t="shared" si="290"/>
        <v>-5753.9182108295399</v>
      </c>
      <c r="DO102" s="199">
        <f t="shared" si="291"/>
        <v>-2854.502266609436</v>
      </c>
    </row>
    <row r="103" spans="2:119" x14ac:dyDescent="0.3">
      <c r="B103" s="901">
        <v>16</v>
      </c>
      <c r="C103" s="761">
        <f>'Energy NPV'!$D28</f>
        <v>26</v>
      </c>
      <c r="D103" s="207">
        <f>'Energy Inputs'!$D$58*$E$84</f>
        <v>43.75</v>
      </c>
      <c r="E103" s="207">
        <f t="shared" si="292"/>
        <v>1137.5</v>
      </c>
      <c r="F103" s="207"/>
      <c r="G103" s="207">
        <f t="shared" si="237"/>
        <v>1137.5</v>
      </c>
      <c r="H103" s="207"/>
      <c r="I103" s="919">
        <f>'Energy NPV'!U28</f>
        <v>637.73333400000001</v>
      </c>
      <c r="J103" s="207">
        <f>'Energy margins'!$J$67</f>
        <v>500</v>
      </c>
      <c r="K103" s="207">
        <f t="shared" si="238"/>
        <v>1137.733334</v>
      </c>
      <c r="L103" s="207">
        <f t="shared" si="227"/>
        <v>-0.23333400000001348</v>
      </c>
      <c r="M103" s="207">
        <f t="shared" si="228"/>
        <v>-0.23333400000001348</v>
      </c>
      <c r="N103" s="1038">
        <f t="shared" si="239"/>
        <v>730.11796516376637</v>
      </c>
      <c r="O103" s="1039">
        <f t="shared" si="240"/>
        <v>0</v>
      </c>
      <c r="P103" s="1039">
        <f t="shared" si="241"/>
        <v>730.26773337940028</v>
      </c>
      <c r="Q103" s="207">
        <f t="shared" si="242"/>
        <v>-0.14976821563387438</v>
      </c>
      <c r="R103" s="209">
        <f t="shared" si="243"/>
        <v>-0.14976821563387438</v>
      </c>
      <c r="S103" s="208">
        <f t="shared" si="293"/>
        <v>7249.7050055210802</v>
      </c>
      <c r="T103" s="207">
        <f t="shared" si="244"/>
        <v>2899.4159442201048</v>
      </c>
      <c r="U103" s="207">
        <f t="shared" si="245"/>
        <v>6484.1859442089399</v>
      </c>
      <c r="V103" s="207">
        <f t="shared" si="246"/>
        <v>765.51906131213843</v>
      </c>
      <c r="W103" s="209">
        <f t="shared" si="247"/>
        <v>3664.9350055322434</v>
      </c>
      <c r="X103" s="197"/>
      <c r="Z103" s="901">
        <v>16</v>
      </c>
      <c r="AA103" s="215">
        <f>'Energy NPV'!$D28</f>
        <v>26</v>
      </c>
      <c r="AB103" s="207">
        <f>'Energy Inputs'!$D$58*$AB$84</f>
        <v>65.625</v>
      </c>
      <c r="AC103" s="207">
        <f t="shared" si="294"/>
        <v>1706.25</v>
      </c>
      <c r="AD103" s="207"/>
      <c r="AE103" s="207">
        <f t="shared" si="248"/>
        <v>1706.25</v>
      </c>
      <c r="AF103" s="207"/>
      <c r="AG103" s="919">
        <f>'Energy NPV'!U28</f>
        <v>637.73333400000001</v>
      </c>
      <c r="AH103" s="207">
        <f>'Energy margins'!$J$67</f>
        <v>500</v>
      </c>
      <c r="AI103" s="207">
        <f t="shared" si="249"/>
        <v>1137.733334</v>
      </c>
      <c r="AJ103" s="207">
        <f t="shared" si="229"/>
        <v>568.51666599999999</v>
      </c>
      <c r="AK103" s="207">
        <f t="shared" si="230"/>
        <v>568.51666599999999</v>
      </c>
      <c r="AL103" s="208">
        <f t="shared" si="250"/>
        <v>1095.1769477456496</v>
      </c>
      <c r="AM103" s="207">
        <f t="shared" si="251"/>
        <v>0</v>
      </c>
      <c r="AN103" s="207">
        <f t="shared" si="252"/>
        <v>730.26773337940028</v>
      </c>
      <c r="AO103" s="207">
        <f t="shared" si="253"/>
        <v>364.90921436624933</v>
      </c>
      <c r="AP103" s="209">
        <f t="shared" si="254"/>
        <v>364.90921436624933</v>
      </c>
      <c r="AQ103" s="208">
        <f>AQ102+AL103</f>
        <v>10874.557508281619</v>
      </c>
      <c r="AR103" s="207">
        <f t="shared" si="255"/>
        <v>2899.4159442201048</v>
      </c>
      <c r="AS103" s="207">
        <f t="shared" si="256"/>
        <v>6484.1859442089399</v>
      </c>
      <c r="AT103" s="207">
        <f t="shared" si="257"/>
        <v>4390.3715640726787</v>
      </c>
      <c r="AU103" s="209">
        <f t="shared" si="258"/>
        <v>7289.787508292784</v>
      </c>
      <c r="AV103" s="197"/>
      <c r="AX103" s="901">
        <v>16</v>
      </c>
      <c r="AY103" s="215">
        <f>'Energy NPV'!$D28</f>
        <v>26</v>
      </c>
      <c r="AZ103" s="207">
        <f>'Energy Inputs'!$D$58*$AZ$84</f>
        <v>21.875</v>
      </c>
      <c r="BA103" s="207">
        <f t="shared" si="296"/>
        <v>568.75</v>
      </c>
      <c r="BB103" s="207"/>
      <c r="BC103" s="207">
        <f t="shared" si="259"/>
        <v>568.75</v>
      </c>
      <c r="BD103" s="207"/>
      <c r="BE103" s="919">
        <f>'Energy NPV'!U28</f>
        <v>637.73333400000001</v>
      </c>
      <c r="BF103" s="207">
        <f>'Energy margins'!$J$67</f>
        <v>500</v>
      </c>
      <c r="BG103" s="207">
        <f t="shared" si="260"/>
        <v>1137.733334</v>
      </c>
      <c r="BH103" s="207">
        <f t="shared" si="231"/>
        <v>-568.98333400000001</v>
      </c>
      <c r="BI103" s="207">
        <f t="shared" si="232"/>
        <v>-568.98333400000001</v>
      </c>
      <c r="BJ103" s="208">
        <f t="shared" si="261"/>
        <v>365.05898258188319</v>
      </c>
      <c r="BK103" s="207">
        <f t="shared" si="262"/>
        <v>0</v>
      </c>
      <c r="BL103" s="207">
        <f t="shared" si="263"/>
        <v>730.26773337940028</v>
      </c>
      <c r="BM103" s="207">
        <f t="shared" si="264"/>
        <v>-365.20875079751704</v>
      </c>
      <c r="BN103" s="209">
        <f t="shared" si="265"/>
        <v>-365.20875079751704</v>
      </c>
      <c r="BO103" s="208">
        <f t="shared" si="297"/>
        <v>3624.8525027605401</v>
      </c>
      <c r="BP103" s="207">
        <f t="shared" si="266"/>
        <v>2899.4159442201048</v>
      </c>
      <c r="BQ103" s="207">
        <f t="shared" si="267"/>
        <v>6484.1859442089399</v>
      </c>
      <c r="BR103" s="207">
        <f t="shared" si="268"/>
        <v>-2859.3334414484007</v>
      </c>
      <c r="BS103" s="209">
        <f t="shared" si="269"/>
        <v>40.082502771703389</v>
      </c>
      <c r="BV103" s="560">
        <v>16</v>
      </c>
      <c r="BW103" s="215">
        <f>'Energy NPV'!$D28</f>
        <v>26</v>
      </c>
      <c r="BX103" s="207">
        <f>'Energy Inputs'!$D$58*$BX$84</f>
        <v>87.5</v>
      </c>
      <c r="BY103" s="207">
        <f t="shared" si="298"/>
        <v>2275</v>
      </c>
      <c r="BZ103" s="207"/>
      <c r="CA103" s="207">
        <f t="shared" si="270"/>
        <v>2275</v>
      </c>
      <c r="CB103" s="207"/>
      <c r="CC103" s="919">
        <f>'Energy NPV'!U28</f>
        <v>637.73333400000001</v>
      </c>
      <c r="CD103" s="207">
        <f>'Energy margins'!$J$67</f>
        <v>500</v>
      </c>
      <c r="CE103" s="207">
        <f t="shared" si="271"/>
        <v>1137.733334</v>
      </c>
      <c r="CF103" s="207">
        <f t="shared" si="233"/>
        <v>1137.266666</v>
      </c>
      <c r="CG103" s="207">
        <f t="shared" si="234"/>
        <v>1137.266666</v>
      </c>
      <c r="CH103" s="208">
        <f t="shared" si="272"/>
        <v>1460.2359303275327</v>
      </c>
      <c r="CI103" s="207">
        <f t="shared" si="273"/>
        <v>0</v>
      </c>
      <c r="CJ103" s="207">
        <f t="shared" si="274"/>
        <v>730.26773337940028</v>
      </c>
      <c r="CK103" s="207">
        <f t="shared" si="275"/>
        <v>729.96819694813246</v>
      </c>
      <c r="CL103" s="209">
        <f t="shared" si="276"/>
        <v>729.96819694813246</v>
      </c>
      <c r="CM103" s="208">
        <f t="shared" si="299"/>
        <v>14499.41001104216</v>
      </c>
      <c r="CN103" s="207">
        <f t="shared" si="277"/>
        <v>2899.4159442201048</v>
      </c>
      <c r="CO103" s="207">
        <f t="shared" si="278"/>
        <v>6484.1859442089399</v>
      </c>
      <c r="CP103" s="207">
        <f t="shared" si="279"/>
        <v>8015.2240668332179</v>
      </c>
      <c r="CQ103" s="209">
        <f t="shared" si="280"/>
        <v>10914.640011053321</v>
      </c>
      <c r="CT103" s="206">
        <f t="shared" si="300"/>
        <v>16</v>
      </c>
      <c r="CU103" s="215">
        <f>'Energy NPV'!$D28</f>
        <v>26</v>
      </c>
      <c r="CV103" s="207">
        <f>'Energy Inputs'!$D$58*$CV$84</f>
        <v>0</v>
      </c>
      <c r="CW103" s="207">
        <f t="shared" si="301"/>
        <v>0</v>
      </c>
      <c r="CX103" s="207">
        <f>'Margins summary'!$Q$14</f>
        <v>330</v>
      </c>
      <c r="CY103" s="207"/>
      <c r="CZ103" s="207"/>
      <c r="DA103" s="919">
        <f>'Energy NPV'!U28</f>
        <v>637.73333400000001</v>
      </c>
      <c r="DB103" s="207">
        <f>'Energy margins'!$J$67</f>
        <v>500</v>
      </c>
      <c r="DC103" s="207">
        <f t="shared" si="282"/>
        <v>1137.733334</v>
      </c>
      <c r="DD103" s="207">
        <f t="shared" si="235"/>
        <v>-1137.733334</v>
      </c>
      <c r="DE103" s="207">
        <f t="shared" si="236"/>
        <v>-1137.733334</v>
      </c>
      <c r="DF103" s="208">
        <f t="shared" si="283"/>
        <v>0</v>
      </c>
      <c r="DG103" s="207">
        <f t="shared" si="284"/>
        <v>211.81444264091684</v>
      </c>
      <c r="DH103" s="207">
        <f t="shared" si="285"/>
        <v>730.26773337940028</v>
      </c>
      <c r="DI103" s="207">
        <f t="shared" si="286"/>
        <v>-730.26773337940028</v>
      </c>
      <c r="DJ103" s="209">
        <f t="shared" si="287"/>
        <v>-730.26773337940028</v>
      </c>
      <c r="DK103" s="208">
        <f t="shared" si="302"/>
        <v>0</v>
      </c>
      <c r="DL103" s="207">
        <f t="shared" si="288"/>
        <v>4269.5185786361071</v>
      </c>
      <c r="DM103" s="207">
        <f t="shared" si="289"/>
        <v>6484.1859442089399</v>
      </c>
      <c r="DN103" s="207">
        <f t="shared" si="290"/>
        <v>-6484.1859442089399</v>
      </c>
      <c r="DO103" s="209">
        <f t="shared" si="291"/>
        <v>-3584.7699999888364</v>
      </c>
    </row>
    <row r="109" spans="2:119" x14ac:dyDescent="0.3">
      <c r="B109" s="211" t="s">
        <v>92</v>
      </c>
      <c r="C109" s="763" t="s">
        <v>384</v>
      </c>
      <c r="D109" s="269" t="s">
        <v>395</v>
      </c>
      <c r="E109" s="906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Z109" s="211" t="s">
        <v>92</v>
      </c>
      <c r="AA109" s="211" t="s">
        <v>304</v>
      </c>
      <c r="AB109" s="909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X109" s="211" t="s">
        <v>92</v>
      </c>
      <c r="AY109" s="211" t="s">
        <v>315</v>
      </c>
      <c r="AZ109" s="908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92</v>
      </c>
      <c r="BW109" s="211" t="s">
        <v>316</v>
      </c>
      <c r="BX109" s="908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92</v>
      </c>
      <c r="CU109" s="211" t="s">
        <v>317</v>
      </c>
      <c r="CV109" s="908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108"/>
      <c r="F110" s="1108"/>
      <c r="G110" s="1108"/>
      <c r="H110" s="148"/>
      <c r="I110" s="931"/>
      <c r="J110" s="1108"/>
      <c r="K110" s="1108"/>
      <c r="L110" s="148"/>
      <c r="M110" s="148"/>
      <c r="N110" s="1109" t="s">
        <v>270</v>
      </c>
      <c r="O110" s="1110"/>
      <c r="P110" s="1110"/>
      <c r="Q110" s="1110"/>
      <c r="R110" s="1111"/>
      <c r="S110" s="1109" t="s">
        <v>271</v>
      </c>
      <c r="T110" s="1110"/>
      <c r="U110" s="1110"/>
      <c r="V110" s="1110"/>
      <c r="W110" s="1111"/>
      <c r="X110" s="1001"/>
      <c r="Z110" s="203"/>
      <c r="AA110" s="148"/>
      <c r="AB110" s="148"/>
      <c r="AC110" s="1108"/>
      <c r="AD110" s="1108"/>
      <c r="AE110" s="1108"/>
      <c r="AF110" s="148"/>
      <c r="AG110" s="931"/>
      <c r="AH110" s="1108"/>
      <c r="AI110" s="1108"/>
      <c r="AJ110" s="148"/>
      <c r="AK110" s="148"/>
      <c r="AL110" s="1109" t="s">
        <v>270</v>
      </c>
      <c r="AM110" s="1110"/>
      <c r="AN110" s="1110"/>
      <c r="AO110" s="1110"/>
      <c r="AP110" s="1111"/>
      <c r="AQ110" s="1109" t="s">
        <v>271</v>
      </c>
      <c r="AR110" s="1110"/>
      <c r="AS110" s="1110"/>
      <c r="AT110" s="1110"/>
      <c r="AU110" s="1111"/>
      <c r="AV110" s="1001"/>
      <c r="AX110" s="203"/>
      <c r="AY110" s="148"/>
      <c r="AZ110" s="148"/>
      <c r="BA110" s="1108"/>
      <c r="BB110" s="1108"/>
      <c r="BC110" s="1108"/>
      <c r="BD110" s="148"/>
      <c r="BE110" s="931"/>
      <c r="BF110" s="1108"/>
      <c r="BG110" s="1108"/>
      <c r="BH110" s="148"/>
      <c r="BI110" s="148"/>
      <c r="BJ110" s="1109" t="s">
        <v>270</v>
      </c>
      <c r="BK110" s="1110"/>
      <c r="BL110" s="1110"/>
      <c r="BM110" s="1110"/>
      <c r="BN110" s="1111"/>
      <c r="BO110" s="1109" t="s">
        <v>271</v>
      </c>
      <c r="BP110" s="1110"/>
      <c r="BQ110" s="1110"/>
      <c r="BR110" s="1110"/>
      <c r="BS110" s="1111"/>
      <c r="BV110" s="203"/>
      <c r="BW110" s="148"/>
      <c r="BX110" s="148"/>
      <c r="BY110" s="992"/>
      <c r="BZ110" s="992"/>
      <c r="CA110" s="992"/>
      <c r="CB110" s="148"/>
      <c r="CC110" s="931"/>
      <c r="CD110" s="992"/>
      <c r="CE110" s="992"/>
      <c r="CF110" s="148"/>
      <c r="CG110" s="148"/>
      <c r="CH110" s="993" t="s">
        <v>270</v>
      </c>
      <c r="CI110" s="994"/>
      <c r="CJ110" s="994"/>
      <c r="CK110" s="994"/>
      <c r="CL110" s="995"/>
      <c r="CM110" s="993" t="s">
        <v>271</v>
      </c>
      <c r="CN110" s="994"/>
      <c r="CO110" s="994"/>
      <c r="CP110" s="994"/>
      <c r="CQ110" s="995"/>
      <c r="CT110" s="203"/>
      <c r="CU110" s="148"/>
      <c r="CV110" s="148"/>
      <c r="CW110" s="992"/>
      <c r="CX110" s="992"/>
      <c r="CY110" s="992"/>
      <c r="CZ110" s="148"/>
      <c r="DA110" s="931"/>
      <c r="DB110" s="992"/>
      <c r="DC110" s="992"/>
      <c r="DD110" s="148"/>
      <c r="DE110" s="148"/>
      <c r="DF110" s="993" t="s">
        <v>270</v>
      </c>
      <c r="DG110" s="994"/>
      <c r="DH110" s="994"/>
      <c r="DI110" s="994"/>
      <c r="DJ110" s="995"/>
      <c r="DK110" s="993" t="s">
        <v>271</v>
      </c>
      <c r="DL110" s="994"/>
      <c r="DM110" s="994"/>
      <c r="DN110" s="994"/>
      <c r="DO110" s="995"/>
    </row>
    <row r="111" spans="2:119" ht="51" x14ac:dyDescent="0.3">
      <c r="B111" s="204" t="s">
        <v>272</v>
      </c>
      <c r="C111" s="205" t="s">
        <v>289</v>
      </c>
      <c r="D111" s="205" t="s">
        <v>290</v>
      </c>
      <c r="E111" s="171" t="s">
        <v>676</v>
      </c>
      <c r="F111" s="171" t="s">
        <v>672</v>
      </c>
      <c r="G111" s="171" t="s">
        <v>677</v>
      </c>
      <c r="H111" s="205" t="s">
        <v>287</v>
      </c>
      <c r="I111" s="935" t="str">
        <f>'Energy NPV'!U37</f>
        <v>Total Recurring Costs</v>
      </c>
      <c r="J111" s="205" t="s">
        <v>291</v>
      </c>
      <c r="K111" s="171" t="s">
        <v>276</v>
      </c>
      <c r="L111" s="171" t="s">
        <v>678</v>
      </c>
      <c r="M111" s="171" t="s">
        <v>679</v>
      </c>
      <c r="N111" s="195" t="s">
        <v>277</v>
      </c>
      <c r="O111" s="171" t="s">
        <v>680</v>
      </c>
      <c r="P111" s="171" t="s">
        <v>278</v>
      </c>
      <c r="Q111" s="171" t="s">
        <v>681</v>
      </c>
      <c r="R111" s="198" t="s">
        <v>279</v>
      </c>
      <c r="S111" s="195" t="s">
        <v>280</v>
      </c>
      <c r="T111" s="171" t="s">
        <v>682</v>
      </c>
      <c r="U111" s="171" t="s">
        <v>281</v>
      </c>
      <c r="V111" s="171" t="s">
        <v>683</v>
      </c>
      <c r="W111" s="198" t="s">
        <v>282</v>
      </c>
      <c r="X111" s="171"/>
      <c r="Z111" s="204" t="s">
        <v>272</v>
      </c>
      <c r="AA111" s="205" t="s">
        <v>289</v>
      </c>
      <c r="AB111" s="205" t="s">
        <v>290</v>
      </c>
      <c r="AC111" s="171" t="s">
        <v>676</v>
      </c>
      <c r="AD111" s="171" t="s">
        <v>672</v>
      </c>
      <c r="AE111" s="171" t="s">
        <v>677</v>
      </c>
      <c r="AF111" s="205" t="s">
        <v>287</v>
      </c>
      <c r="AG111" s="935" t="str">
        <f>'Energy NPV'!U37</f>
        <v>Total Recurring Costs</v>
      </c>
      <c r="AH111" s="205" t="s">
        <v>291</v>
      </c>
      <c r="AI111" s="171" t="s">
        <v>276</v>
      </c>
      <c r="AJ111" s="171" t="s">
        <v>678</v>
      </c>
      <c r="AK111" s="171" t="s">
        <v>679</v>
      </c>
      <c r="AL111" s="195" t="s">
        <v>277</v>
      </c>
      <c r="AM111" s="171" t="s">
        <v>680</v>
      </c>
      <c r="AN111" s="171" t="s">
        <v>278</v>
      </c>
      <c r="AO111" s="171" t="s">
        <v>681</v>
      </c>
      <c r="AP111" s="198" t="s">
        <v>279</v>
      </c>
      <c r="AQ111" s="195" t="s">
        <v>280</v>
      </c>
      <c r="AR111" s="171" t="s">
        <v>682</v>
      </c>
      <c r="AS111" s="171" t="s">
        <v>281</v>
      </c>
      <c r="AT111" s="171" t="s">
        <v>683</v>
      </c>
      <c r="AU111" s="198" t="s">
        <v>282</v>
      </c>
      <c r="AV111" s="171"/>
      <c r="AX111" s="204" t="s">
        <v>272</v>
      </c>
      <c r="AY111" s="205" t="s">
        <v>289</v>
      </c>
      <c r="AZ111" s="205" t="s">
        <v>290</v>
      </c>
      <c r="BA111" s="171" t="s">
        <v>676</v>
      </c>
      <c r="BB111" s="171" t="s">
        <v>672</v>
      </c>
      <c r="BC111" s="171" t="s">
        <v>677</v>
      </c>
      <c r="BD111" s="205" t="s">
        <v>287</v>
      </c>
      <c r="BE111" s="935" t="str">
        <f>'Energy NPV'!U37</f>
        <v>Total Recurring Costs</v>
      </c>
      <c r="BF111" s="205" t="s">
        <v>291</v>
      </c>
      <c r="BG111" s="171" t="s">
        <v>276</v>
      </c>
      <c r="BH111" s="171" t="s">
        <v>678</v>
      </c>
      <c r="BI111" s="171" t="s">
        <v>679</v>
      </c>
      <c r="BJ111" s="195" t="s">
        <v>277</v>
      </c>
      <c r="BK111" s="171" t="s">
        <v>680</v>
      </c>
      <c r="BL111" s="171" t="s">
        <v>278</v>
      </c>
      <c r="BM111" s="171" t="s">
        <v>681</v>
      </c>
      <c r="BN111" s="198" t="s">
        <v>279</v>
      </c>
      <c r="BO111" s="195" t="s">
        <v>280</v>
      </c>
      <c r="BP111" s="171" t="s">
        <v>682</v>
      </c>
      <c r="BQ111" s="171" t="s">
        <v>281</v>
      </c>
      <c r="BR111" s="171" t="s">
        <v>683</v>
      </c>
      <c r="BS111" s="198" t="s">
        <v>282</v>
      </c>
      <c r="BV111" s="204" t="s">
        <v>272</v>
      </c>
      <c r="BW111" s="205" t="s">
        <v>289</v>
      </c>
      <c r="BX111" s="205" t="s">
        <v>290</v>
      </c>
      <c r="BY111" s="171" t="s">
        <v>676</v>
      </c>
      <c r="BZ111" s="171" t="s">
        <v>672</v>
      </c>
      <c r="CA111" s="171" t="s">
        <v>677</v>
      </c>
      <c r="CB111" s="205" t="s">
        <v>287</v>
      </c>
      <c r="CC111" s="935" t="str">
        <f>'Energy NPV'!U37</f>
        <v>Total Recurring Costs</v>
      </c>
      <c r="CD111" s="205" t="s">
        <v>291</v>
      </c>
      <c r="CE111" s="171" t="s">
        <v>276</v>
      </c>
      <c r="CF111" s="171" t="s">
        <v>678</v>
      </c>
      <c r="CG111" s="171" t="s">
        <v>679</v>
      </c>
      <c r="CH111" s="195" t="s">
        <v>277</v>
      </c>
      <c r="CI111" s="171" t="s">
        <v>680</v>
      </c>
      <c r="CJ111" s="171" t="s">
        <v>278</v>
      </c>
      <c r="CK111" s="171" t="s">
        <v>681</v>
      </c>
      <c r="CL111" s="198" t="s">
        <v>279</v>
      </c>
      <c r="CM111" s="195" t="s">
        <v>280</v>
      </c>
      <c r="CN111" s="171" t="s">
        <v>682</v>
      </c>
      <c r="CO111" s="171" t="s">
        <v>281</v>
      </c>
      <c r="CP111" s="171" t="s">
        <v>683</v>
      </c>
      <c r="CQ111" s="198" t="s">
        <v>282</v>
      </c>
      <c r="CT111" s="204" t="s">
        <v>272</v>
      </c>
      <c r="CU111" s="205" t="s">
        <v>289</v>
      </c>
      <c r="CV111" s="205" t="s">
        <v>290</v>
      </c>
      <c r="CW111" s="171" t="s">
        <v>676</v>
      </c>
      <c r="CX111" s="171" t="s">
        <v>672</v>
      </c>
      <c r="CY111" s="171" t="s">
        <v>677</v>
      </c>
      <c r="CZ111" s="205" t="s">
        <v>287</v>
      </c>
      <c r="DA111" s="935" t="str">
        <f>'Energy NPV'!U37</f>
        <v>Total Recurring Costs</v>
      </c>
      <c r="DB111" s="205" t="s">
        <v>291</v>
      </c>
      <c r="DC111" s="171" t="s">
        <v>276</v>
      </c>
      <c r="DD111" s="171" t="s">
        <v>678</v>
      </c>
      <c r="DE111" s="171" t="s">
        <v>679</v>
      </c>
      <c r="DF111" s="195" t="s">
        <v>277</v>
      </c>
      <c r="DG111" s="171" t="s">
        <v>680</v>
      </c>
      <c r="DH111" s="171" t="s">
        <v>278</v>
      </c>
      <c r="DI111" s="171" t="s">
        <v>681</v>
      </c>
      <c r="DJ111" s="198" t="s">
        <v>279</v>
      </c>
      <c r="DK111" s="195" t="s">
        <v>280</v>
      </c>
      <c r="DL111" s="171" t="s">
        <v>682</v>
      </c>
      <c r="DM111" s="171" t="s">
        <v>281</v>
      </c>
      <c r="DN111" s="171" t="s">
        <v>683</v>
      </c>
      <c r="DO111" s="198" t="s">
        <v>282</v>
      </c>
    </row>
    <row r="112" spans="2:119" x14ac:dyDescent="0.3">
      <c r="B112" s="173"/>
      <c r="C112" s="226" t="s">
        <v>332</v>
      </c>
      <c r="D112" s="226" t="s">
        <v>569</v>
      </c>
      <c r="E112" s="201" t="s">
        <v>567</v>
      </c>
      <c r="F112" s="201" t="s">
        <v>567</v>
      </c>
      <c r="G112" s="201" t="s">
        <v>567</v>
      </c>
      <c r="H112" s="201" t="s">
        <v>567</v>
      </c>
      <c r="I112" s="969" t="str">
        <f>'Energy NPV'!U38</f>
        <v>(€ ha-1)</v>
      </c>
      <c r="J112" s="201" t="s">
        <v>567</v>
      </c>
      <c r="K112" s="201" t="s">
        <v>567</v>
      </c>
      <c r="L112" s="201" t="s">
        <v>567</v>
      </c>
      <c r="M112" s="202" t="s">
        <v>567</v>
      </c>
      <c r="N112" s="201" t="s">
        <v>567</v>
      </c>
      <c r="O112" s="201" t="s">
        <v>567</v>
      </c>
      <c r="P112" s="201" t="s">
        <v>567</v>
      </c>
      <c r="Q112" s="201" t="s">
        <v>567</v>
      </c>
      <c r="R112" s="202" t="s">
        <v>567</v>
      </c>
      <c r="S112" s="201" t="s">
        <v>567</v>
      </c>
      <c r="T112" s="201" t="s">
        <v>567</v>
      </c>
      <c r="U112" s="201" t="s">
        <v>567</v>
      </c>
      <c r="V112" s="201" t="s">
        <v>567</v>
      </c>
      <c r="W112" s="202" t="s">
        <v>567</v>
      </c>
      <c r="X112" s="1002"/>
      <c r="Z112" s="173"/>
      <c r="AA112" s="226" t="s">
        <v>332</v>
      </c>
      <c r="AB112" s="226" t="s">
        <v>569</v>
      </c>
      <c r="AC112" s="201" t="s">
        <v>567</v>
      </c>
      <c r="AD112" s="201" t="s">
        <v>567</v>
      </c>
      <c r="AE112" s="201" t="s">
        <v>567</v>
      </c>
      <c r="AF112" s="201" t="s">
        <v>567</v>
      </c>
      <c r="AG112" s="969" t="str">
        <f>'Energy NPV'!U38</f>
        <v>(€ ha-1)</v>
      </c>
      <c r="AH112" s="201" t="s">
        <v>567</v>
      </c>
      <c r="AI112" s="201" t="s">
        <v>567</v>
      </c>
      <c r="AJ112" s="201" t="s">
        <v>567</v>
      </c>
      <c r="AK112" s="202" t="s">
        <v>567</v>
      </c>
      <c r="AL112" s="201" t="s">
        <v>567</v>
      </c>
      <c r="AM112" s="201" t="s">
        <v>567</v>
      </c>
      <c r="AN112" s="201" t="s">
        <v>567</v>
      </c>
      <c r="AO112" s="201" t="s">
        <v>567</v>
      </c>
      <c r="AP112" s="202" t="s">
        <v>567</v>
      </c>
      <c r="AQ112" s="201" t="s">
        <v>567</v>
      </c>
      <c r="AR112" s="201" t="s">
        <v>567</v>
      </c>
      <c r="AS112" s="201" t="s">
        <v>567</v>
      </c>
      <c r="AT112" s="201" t="s">
        <v>567</v>
      </c>
      <c r="AU112" s="202" t="s">
        <v>567</v>
      </c>
      <c r="AV112" s="1002"/>
      <c r="AX112" s="173"/>
      <c r="AY112" s="226" t="s">
        <v>332</v>
      </c>
      <c r="AZ112" s="226" t="s">
        <v>569</v>
      </c>
      <c r="BA112" s="201" t="s">
        <v>567</v>
      </c>
      <c r="BB112" s="201" t="s">
        <v>567</v>
      </c>
      <c r="BC112" s="201" t="s">
        <v>567</v>
      </c>
      <c r="BD112" s="201" t="s">
        <v>567</v>
      </c>
      <c r="BE112" s="969" t="str">
        <f>'Energy NPV'!U38</f>
        <v>(€ ha-1)</v>
      </c>
      <c r="BF112" s="201" t="s">
        <v>567</v>
      </c>
      <c r="BG112" s="201" t="s">
        <v>567</v>
      </c>
      <c r="BH112" s="201" t="s">
        <v>567</v>
      </c>
      <c r="BI112" s="202" t="s">
        <v>567</v>
      </c>
      <c r="BJ112" s="201" t="s">
        <v>567</v>
      </c>
      <c r="BK112" s="201" t="s">
        <v>567</v>
      </c>
      <c r="BL112" s="201" t="s">
        <v>567</v>
      </c>
      <c r="BM112" s="201" t="s">
        <v>567</v>
      </c>
      <c r="BN112" s="202" t="s">
        <v>567</v>
      </c>
      <c r="BO112" s="201" t="s">
        <v>567</v>
      </c>
      <c r="BP112" s="201" t="s">
        <v>567</v>
      </c>
      <c r="BQ112" s="201" t="s">
        <v>567</v>
      </c>
      <c r="BR112" s="201" t="s">
        <v>567</v>
      </c>
      <c r="BS112" s="202" t="s">
        <v>567</v>
      </c>
      <c r="BV112" s="173"/>
      <c r="BW112" s="226" t="s">
        <v>332</v>
      </c>
      <c r="BX112" s="226" t="s">
        <v>569</v>
      </c>
      <c r="BY112" s="201" t="s">
        <v>567</v>
      </c>
      <c r="BZ112" s="201" t="s">
        <v>567</v>
      </c>
      <c r="CA112" s="201" t="s">
        <v>567</v>
      </c>
      <c r="CB112" s="201" t="s">
        <v>567</v>
      </c>
      <c r="CC112" s="969" t="str">
        <f>'Energy NPV'!U38</f>
        <v>(€ ha-1)</v>
      </c>
      <c r="CD112" s="201" t="s">
        <v>567</v>
      </c>
      <c r="CE112" s="201" t="s">
        <v>567</v>
      </c>
      <c r="CF112" s="201" t="s">
        <v>567</v>
      </c>
      <c r="CG112" s="202" t="s">
        <v>567</v>
      </c>
      <c r="CH112" s="201" t="s">
        <v>567</v>
      </c>
      <c r="CI112" s="201" t="s">
        <v>567</v>
      </c>
      <c r="CJ112" s="201" t="s">
        <v>567</v>
      </c>
      <c r="CK112" s="201" t="s">
        <v>567</v>
      </c>
      <c r="CL112" s="202" t="s">
        <v>567</v>
      </c>
      <c r="CM112" s="201" t="s">
        <v>567</v>
      </c>
      <c r="CN112" s="201" t="s">
        <v>567</v>
      </c>
      <c r="CO112" s="201" t="s">
        <v>567</v>
      </c>
      <c r="CP112" s="201" t="s">
        <v>567</v>
      </c>
      <c r="CQ112" s="202" t="s">
        <v>567</v>
      </c>
      <c r="CT112" s="173"/>
      <c r="CU112" s="226" t="s">
        <v>332</v>
      </c>
      <c r="CV112" s="226" t="s">
        <v>569</v>
      </c>
      <c r="CW112" s="201" t="s">
        <v>567</v>
      </c>
      <c r="CX112" s="201" t="s">
        <v>567</v>
      </c>
      <c r="CY112" s="201" t="s">
        <v>567</v>
      </c>
      <c r="CZ112" s="201" t="s">
        <v>567</v>
      </c>
      <c r="DA112" s="969" t="str">
        <f>'Energy NPV'!U38</f>
        <v>(€ ha-1)</v>
      </c>
      <c r="DB112" s="201" t="s">
        <v>567</v>
      </c>
      <c r="DC112" s="201" t="s">
        <v>567</v>
      </c>
      <c r="DD112" s="201" t="s">
        <v>567</v>
      </c>
      <c r="DE112" s="202" t="s">
        <v>567</v>
      </c>
      <c r="DF112" s="201" t="s">
        <v>567</v>
      </c>
      <c r="DG112" s="201" t="s">
        <v>567</v>
      </c>
      <c r="DH112" s="201" t="s">
        <v>567</v>
      </c>
      <c r="DI112" s="201" t="s">
        <v>567</v>
      </c>
      <c r="DJ112" s="202" t="s">
        <v>567</v>
      </c>
      <c r="DK112" s="201" t="s">
        <v>567</v>
      </c>
      <c r="DL112" s="201" t="s">
        <v>567</v>
      </c>
      <c r="DM112" s="201" t="s">
        <v>567</v>
      </c>
      <c r="DN112" s="201" t="s">
        <v>567</v>
      </c>
      <c r="DO112" s="202" t="s">
        <v>567</v>
      </c>
    </row>
    <row r="113" spans="2:119" x14ac:dyDescent="0.3">
      <c r="B113" s="899">
        <v>1</v>
      </c>
      <c r="C113" s="760">
        <f>'Energy NPV'!$D39</f>
        <v>0.6</v>
      </c>
      <c r="D113" s="197">
        <f>'Energy Inputs'!$E$58*$E$109</f>
        <v>43.75</v>
      </c>
      <c r="E113" s="197">
        <f>C113*D113</f>
        <v>26.25</v>
      </c>
      <c r="F113" s="197">
        <f>'Margins summary'!$S$14</f>
        <v>330</v>
      </c>
      <c r="G113" s="197">
        <f>E113+F113</f>
        <v>356.25</v>
      </c>
      <c r="H113" s="197">
        <f>'Margins summary'!$R$20</f>
        <v>2254.8232439999997</v>
      </c>
      <c r="I113" s="918">
        <f>'Energy NPV'!U39</f>
        <v>0</v>
      </c>
      <c r="J113" s="197"/>
      <c r="K113" s="197">
        <f>H113+I113+J113</f>
        <v>2254.8232439999997</v>
      </c>
      <c r="L113" s="197">
        <f t="shared" ref="L113:L128" si="303">E113-K113</f>
        <v>-2228.5732439999997</v>
      </c>
      <c r="M113" s="197">
        <f t="shared" ref="M113:M128" si="304">G113-K113</f>
        <v>-1898.5732439999997</v>
      </c>
      <c r="N113" s="1033">
        <f>E113/((1+$B$4)^(B113-1))</f>
        <v>26.25</v>
      </c>
      <c r="O113" s="213">
        <f>F113/((1+$B$4)^(B113-1))</f>
        <v>330</v>
      </c>
      <c r="P113" s="213">
        <f>K113/((1+$B$4)^(B113-1))</f>
        <v>2254.8232439999997</v>
      </c>
      <c r="Q113" s="213">
        <f>L113/((1+$B$4)^(B113-1))</f>
        <v>-2228.5732439999997</v>
      </c>
      <c r="R113" s="929">
        <f>M113/((1+$B$4)^(B113-1))</f>
        <v>-1898.5732439999997</v>
      </c>
      <c r="S113" s="196">
        <f>N113</f>
        <v>26.25</v>
      </c>
      <c r="T113" s="197">
        <f>O113</f>
        <v>330</v>
      </c>
      <c r="U113" s="197">
        <f>P113</f>
        <v>2254.8232439999997</v>
      </c>
      <c r="V113" s="197">
        <f>Q113</f>
        <v>-2228.5732439999997</v>
      </c>
      <c r="W113" s="199">
        <f>R113</f>
        <v>-1898.5732439999997</v>
      </c>
      <c r="X113" s="197"/>
      <c r="Z113" s="899">
        <v>1</v>
      </c>
      <c r="AA113" s="760">
        <f>$C113</f>
        <v>0.6</v>
      </c>
      <c r="AB113" s="197">
        <f>'Energy Inputs'!$E$58*$AB$109</f>
        <v>65.625</v>
      </c>
      <c r="AC113" s="197">
        <f>AA113*AB113</f>
        <v>39.375</v>
      </c>
      <c r="AD113" s="197">
        <f>'Margins summary'!$S$14</f>
        <v>330</v>
      </c>
      <c r="AE113" s="197">
        <f>AC113+AD113</f>
        <v>369.375</v>
      </c>
      <c r="AF113" s="197">
        <f>'Margins summary'!$R$20</f>
        <v>2254.8232439999997</v>
      </c>
      <c r="AG113" s="918">
        <f>'Energy NPV'!U39</f>
        <v>0</v>
      </c>
      <c r="AH113" s="197"/>
      <c r="AI113" s="197">
        <f>AF113+AG113+AH113</f>
        <v>2254.8232439999997</v>
      </c>
      <c r="AJ113" s="197">
        <f t="shared" ref="AJ113:AJ128" si="305">AC113-AI113</f>
        <v>-2215.4482439999997</v>
      </c>
      <c r="AK113" s="197">
        <f t="shared" ref="AK113:AK128" si="306">AE113-AI113</f>
        <v>-1885.4482439999997</v>
      </c>
      <c r="AL113" s="1033">
        <f>AC113/((1+$B$4)^(Z113-1))</f>
        <v>39.375</v>
      </c>
      <c r="AM113" s="213">
        <f>AD113/((1+$B$4)^(Z113-1))</f>
        <v>330</v>
      </c>
      <c r="AN113" s="213">
        <f>AI113/((1+$B$4)^(Z113-1))</f>
        <v>2254.8232439999997</v>
      </c>
      <c r="AO113" s="213">
        <f>AJ113/((1+$B$4)^(Z113-1))</f>
        <v>-2215.4482439999997</v>
      </c>
      <c r="AP113" s="929">
        <f>AK113/((1+$B$4)^(Z113-1))</f>
        <v>-1885.4482439999997</v>
      </c>
      <c r="AQ113" s="196">
        <f>AL113</f>
        <v>39.375</v>
      </c>
      <c r="AR113" s="197">
        <f>AM113</f>
        <v>330</v>
      </c>
      <c r="AS113" s="197">
        <f>AN113</f>
        <v>2254.8232439999997</v>
      </c>
      <c r="AT113" s="197">
        <f>AO113</f>
        <v>-2215.4482439999997</v>
      </c>
      <c r="AU113" s="199">
        <f>AP113</f>
        <v>-1885.4482439999997</v>
      </c>
      <c r="AV113" s="197"/>
      <c r="AX113" s="899">
        <v>1</v>
      </c>
      <c r="AY113" s="760">
        <f>$C113</f>
        <v>0.6</v>
      </c>
      <c r="AZ113" s="197">
        <f>'Energy Inputs'!$E$58*$AZ$109</f>
        <v>21.875</v>
      </c>
      <c r="BA113" s="197">
        <f>AY113*AZ113</f>
        <v>13.125</v>
      </c>
      <c r="BB113" s="197">
        <f>'Margins summary'!$S$14</f>
        <v>330</v>
      </c>
      <c r="BC113" s="197">
        <f>BA113+BB113</f>
        <v>343.125</v>
      </c>
      <c r="BD113" s="197">
        <f>'Margins summary'!$R$20</f>
        <v>2254.8232439999997</v>
      </c>
      <c r="BE113" s="918">
        <f>'Energy NPV'!U39</f>
        <v>0</v>
      </c>
      <c r="BF113" s="197"/>
      <c r="BG113" s="197">
        <f>BD113+BE113+BF113</f>
        <v>2254.8232439999997</v>
      </c>
      <c r="BH113" s="197">
        <f t="shared" ref="BH113:BH128" si="307">BA113-BG113</f>
        <v>-2241.6982439999997</v>
      </c>
      <c r="BI113" s="197">
        <f t="shared" ref="BI113:BI128" si="308">BC113-BG113</f>
        <v>-1911.6982439999997</v>
      </c>
      <c r="BJ113" s="1033">
        <f>BA113/((1+$B$4)^(AX113-1))</f>
        <v>13.125</v>
      </c>
      <c r="BK113" s="213">
        <f>BB113/((1+$B$4)^(AX113-1))</f>
        <v>330</v>
      </c>
      <c r="BL113" s="213">
        <f>BG113/((1+$B$4)^(AX113-1))</f>
        <v>2254.8232439999997</v>
      </c>
      <c r="BM113" s="213">
        <f>BH113/((1+$B$4)^(AX113-1))</f>
        <v>-2241.6982439999997</v>
      </c>
      <c r="BN113" s="929">
        <f>BI113/((1+$B$4)^(AX113-1))</f>
        <v>-1911.6982439999997</v>
      </c>
      <c r="BO113" s="196">
        <f>BJ113</f>
        <v>13.125</v>
      </c>
      <c r="BP113" s="197">
        <f>BK113</f>
        <v>330</v>
      </c>
      <c r="BQ113" s="197">
        <f>BL113</f>
        <v>2254.8232439999997</v>
      </c>
      <c r="BR113" s="197">
        <f>BM113</f>
        <v>-2241.6982439999997</v>
      </c>
      <c r="BS113" s="199">
        <f>BN113</f>
        <v>-1911.6982439999997</v>
      </c>
      <c r="BV113" s="899">
        <v>1</v>
      </c>
      <c r="BW113" s="760">
        <f>$C113</f>
        <v>0.6</v>
      </c>
      <c r="BX113" s="197">
        <f>'Energy Inputs'!$E$58*$BX$109</f>
        <v>87.5</v>
      </c>
      <c r="BY113" s="197">
        <f>BW113*BX113</f>
        <v>52.5</v>
      </c>
      <c r="BZ113" s="197">
        <f>'Margins summary'!$S$14</f>
        <v>330</v>
      </c>
      <c r="CA113" s="197">
        <f>BY113+BZ113</f>
        <v>382.5</v>
      </c>
      <c r="CB113" s="197">
        <f>'Margins summary'!$R$20</f>
        <v>2254.8232439999997</v>
      </c>
      <c r="CC113" s="918">
        <f>'Energy NPV'!U39</f>
        <v>0</v>
      </c>
      <c r="CD113" s="197"/>
      <c r="CE113" s="197">
        <f>CB113+CC113+CD113</f>
        <v>2254.8232439999997</v>
      </c>
      <c r="CF113" s="197">
        <f t="shared" ref="CF113:CF128" si="309">BY113-CE113</f>
        <v>-2202.3232439999997</v>
      </c>
      <c r="CG113" s="197">
        <f t="shared" ref="CG113:CG128" si="310">CA113-CE113</f>
        <v>-1872.3232439999997</v>
      </c>
      <c r="CH113" s="1033">
        <f>BY113/((1+$B$4)^(BV113-1))</f>
        <v>52.5</v>
      </c>
      <c r="CI113" s="213">
        <f>BZ113/((1+$B$4)^(BV113-1))</f>
        <v>330</v>
      </c>
      <c r="CJ113" s="213">
        <f>CE113/((1+$B$4)^(BV113-1))</f>
        <v>2254.8232439999997</v>
      </c>
      <c r="CK113" s="213">
        <f>CF113/((1+$B$4)^(BV113-1))</f>
        <v>-2202.3232439999997</v>
      </c>
      <c r="CL113" s="929">
        <f>CG113/((1+$B$4)^(BV113-1))</f>
        <v>-1872.3232439999997</v>
      </c>
      <c r="CM113" s="196">
        <f>CH113</f>
        <v>52.5</v>
      </c>
      <c r="CN113" s="197">
        <f>CI113</f>
        <v>330</v>
      </c>
      <c r="CO113" s="197">
        <f>CJ113</f>
        <v>2254.8232439999997</v>
      </c>
      <c r="CP113" s="197">
        <f>CK113</f>
        <v>-2202.3232439999997</v>
      </c>
      <c r="CQ113" s="199">
        <f>CL113</f>
        <v>-1872.3232439999997</v>
      </c>
      <c r="CT113" s="204">
        <v>1</v>
      </c>
      <c r="CU113" s="760">
        <f>$C113</f>
        <v>0.6</v>
      </c>
      <c r="CV113" s="213">
        <f>'Energy Inputs'!$E$58*$CV$109</f>
        <v>0</v>
      </c>
      <c r="CW113" s="197">
        <f>CU113*CV113</f>
        <v>0</v>
      </c>
      <c r="CX113" s="197">
        <f>'Margins summary'!$S$14</f>
        <v>330</v>
      </c>
      <c r="CY113" s="197">
        <f>CW113+CX113</f>
        <v>330</v>
      </c>
      <c r="CZ113" s="197">
        <f>'Margins summary'!$R$20</f>
        <v>2254.8232439999997</v>
      </c>
      <c r="DA113" s="918">
        <f>'Energy NPV'!U39</f>
        <v>0</v>
      </c>
      <c r="DB113" s="197"/>
      <c r="DC113" s="197">
        <f>CZ113+DA113+DB113</f>
        <v>2254.8232439999997</v>
      </c>
      <c r="DD113" s="197">
        <f t="shared" ref="DD113:DD128" si="311">CW113-DC113</f>
        <v>-2254.8232439999997</v>
      </c>
      <c r="DE113" s="197">
        <f t="shared" ref="DE113:DE128" si="312">CY113-DC113</f>
        <v>-1924.8232439999997</v>
      </c>
      <c r="DF113" s="1033">
        <f>CW113/((1+$B$4)^(CT113-1))</f>
        <v>0</v>
      </c>
      <c r="DG113" s="213">
        <f>CX113/((1+$B$4)^(CT113-1))</f>
        <v>330</v>
      </c>
      <c r="DH113" s="213">
        <f>DC113/((1+$B$4)^(CT113-1))</f>
        <v>2254.8232439999997</v>
      </c>
      <c r="DI113" s="213">
        <f>DD113/((1+$B$4)^(CT113-1))</f>
        <v>-2254.8232439999997</v>
      </c>
      <c r="DJ113" s="929">
        <f>DE113/((1+$B$4)^(CT113-1))</f>
        <v>-1924.8232439999997</v>
      </c>
      <c r="DK113" s="196">
        <f>DF113</f>
        <v>0</v>
      </c>
      <c r="DL113" s="197">
        <f>DG113</f>
        <v>330</v>
      </c>
      <c r="DM113" s="197">
        <f>DH113</f>
        <v>2254.8232439999997</v>
      </c>
      <c r="DN113" s="197">
        <f>DI113</f>
        <v>-2254.8232439999997</v>
      </c>
      <c r="DO113" s="199">
        <f>DJ113</f>
        <v>-1924.8232439999997</v>
      </c>
    </row>
    <row r="114" spans="2:119" x14ac:dyDescent="0.3">
      <c r="B114" s="900">
        <v>2</v>
      </c>
      <c r="C114" s="760">
        <f>'Energy NPV'!$D40</f>
        <v>3.9250000000000007</v>
      </c>
      <c r="D114" s="197">
        <f>'Energy Inputs'!$E$58*$E$109</f>
        <v>43.75</v>
      </c>
      <c r="E114" s="197">
        <f>C114*D114</f>
        <v>171.71875000000003</v>
      </c>
      <c r="F114" s="197">
        <f>'Margins summary'!$S$14</f>
        <v>330</v>
      </c>
      <c r="G114" s="197">
        <f t="shared" ref="G114:G128" si="313">E114+F114</f>
        <v>501.71875</v>
      </c>
      <c r="H114" s="197"/>
      <c r="I114" s="918">
        <f>'Energy NPV'!U40</f>
        <v>536.86224399999992</v>
      </c>
      <c r="J114" s="197"/>
      <c r="K114" s="197">
        <f t="shared" ref="K114:K128" si="314">H114+I114+J114</f>
        <v>536.86224399999992</v>
      </c>
      <c r="L114" s="197">
        <f t="shared" si="303"/>
        <v>-365.14349399999992</v>
      </c>
      <c r="M114" s="197">
        <f t="shared" si="304"/>
        <v>-35.143493999999919</v>
      </c>
      <c r="N114" s="196">
        <f t="shared" ref="N114:N128" si="315">E114/((1+$B$4)^(B114-1))</f>
        <v>166.71723300970876</v>
      </c>
      <c r="O114" s="197">
        <f t="shared" ref="O114:O128" si="316">F114/((1+$B$4)^(B114-1))</f>
        <v>320.38834951456312</v>
      </c>
      <c r="P114" s="197">
        <f t="shared" ref="P114:P128" si="317">K114/((1+$B$4)^(B114-1))</f>
        <v>521.22547961165037</v>
      </c>
      <c r="Q114" s="197">
        <f t="shared" ref="Q114:Q128" si="318">L114/((1+$B$4)^(B114-1))</f>
        <v>-354.50824660194166</v>
      </c>
      <c r="R114" s="199">
        <f t="shared" ref="R114:R128" si="319">M114/((1+$B$4)^(B114-1))</f>
        <v>-34.119897087378561</v>
      </c>
      <c r="S114" s="196">
        <f>S113+N114</f>
        <v>192.96723300970876</v>
      </c>
      <c r="T114" s="197">
        <f t="shared" ref="T114:W128" si="320">T113+O114</f>
        <v>650.38834951456306</v>
      </c>
      <c r="U114" s="197">
        <f t="shared" si="320"/>
        <v>2776.0487236116501</v>
      </c>
      <c r="V114" s="197">
        <f t="shared" si="320"/>
        <v>-2583.0814906019414</v>
      </c>
      <c r="W114" s="199">
        <f t="shared" si="320"/>
        <v>-1932.6931410873783</v>
      </c>
      <c r="X114" s="197"/>
      <c r="Z114" s="900">
        <v>2</v>
      </c>
      <c r="AA114" s="760">
        <f t="shared" ref="AA114:AA128" si="321">$C114</f>
        <v>3.9250000000000007</v>
      </c>
      <c r="AB114" s="197">
        <f>'Energy Inputs'!$E$58*$AB$109</f>
        <v>65.625</v>
      </c>
      <c r="AC114" s="197">
        <f>AA114*AB114</f>
        <v>257.57812500000006</v>
      </c>
      <c r="AD114" s="197">
        <f>'Margins summary'!$S$14</f>
        <v>330</v>
      </c>
      <c r="AE114" s="197">
        <f t="shared" ref="AE114:AE128" si="322">AC114+AD114</f>
        <v>587.578125</v>
      </c>
      <c r="AF114" s="197"/>
      <c r="AG114" s="918">
        <f>'Energy NPV'!U40</f>
        <v>536.86224399999992</v>
      </c>
      <c r="AH114" s="197"/>
      <c r="AI114" s="197">
        <f t="shared" ref="AI114:AI128" si="323">AF114+AG114+AH114</f>
        <v>536.86224399999992</v>
      </c>
      <c r="AJ114" s="197">
        <f t="shared" si="305"/>
        <v>-279.28411899999986</v>
      </c>
      <c r="AK114" s="197">
        <f t="shared" si="306"/>
        <v>50.715881000000081</v>
      </c>
      <c r="AL114" s="196">
        <f t="shared" ref="AL114:AL128" si="324">AC114/((1+$B$4)^(Z114-1))</f>
        <v>250.07584951456315</v>
      </c>
      <c r="AM114" s="197">
        <f t="shared" ref="AM114:AM128" si="325">AD114/((1+$B$4)^(Z114-1))</f>
        <v>320.38834951456312</v>
      </c>
      <c r="AN114" s="197">
        <f t="shared" ref="AN114:AN128" si="326">AI114/((1+$B$4)^(Z114-1))</f>
        <v>521.22547961165037</v>
      </c>
      <c r="AO114" s="197">
        <f t="shared" ref="AO114:AO128" si="327">AJ114/((1+$B$4)^(Z114-1))</f>
        <v>-271.14963009708725</v>
      </c>
      <c r="AP114" s="199">
        <f t="shared" ref="AP114:AP128" si="328">AK114/((1+$B$4)^(Z114-1))</f>
        <v>49.238719417475806</v>
      </c>
      <c r="AQ114" s="196">
        <f>AQ113+AL114</f>
        <v>289.45084951456317</v>
      </c>
      <c r="AR114" s="197">
        <f t="shared" ref="AR114:AU128" si="329">AR113+AM114</f>
        <v>650.38834951456306</v>
      </c>
      <c r="AS114" s="197">
        <f t="shared" si="329"/>
        <v>2776.0487236116501</v>
      </c>
      <c r="AT114" s="197">
        <f t="shared" si="329"/>
        <v>-2486.5978740970868</v>
      </c>
      <c r="AU114" s="199">
        <f t="shared" si="329"/>
        <v>-1836.209524582524</v>
      </c>
      <c r="AV114" s="197"/>
      <c r="AX114" s="900">
        <v>2</v>
      </c>
      <c r="AY114" s="760">
        <f t="shared" ref="AY114:AY128" si="330">$C114</f>
        <v>3.9250000000000007</v>
      </c>
      <c r="AZ114" s="197">
        <f>'Energy Inputs'!$E$58*$AZ$109</f>
        <v>21.875</v>
      </c>
      <c r="BA114" s="197">
        <f>AY114*AZ114</f>
        <v>85.859375000000014</v>
      </c>
      <c r="BB114" s="197">
        <f>'Margins summary'!$S$14</f>
        <v>330</v>
      </c>
      <c r="BC114" s="197">
        <f t="shared" ref="BC114:BC128" si="331">BA114+BB114</f>
        <v>415.859375</v>
      </c>
      <c r="BD114" s="197"/>
      <c r="BE114" s="918">
        <f>'Energy NPV'!U40</f>
        <v>536.86224399999992</v>
      </c>
      <c r="BF114" s="197"/>
      <c r="BG114" s="197">
        <f t="shared" ref="BG114:BG128" si="332">BD114+BE114+BF114</f>
        <v>536.86224399999992</v>
      </c>
      <c r="BH114" s="197">
        <f t="shared" si="307"/>
        <v>-451.00286899999992</v>
      </c>
      <c r="BI114" s="197">
        <f t="shared" si="308"/>
        <v>-121.00286899999992</v>
      </c>
      <c r="BJ114" s="196">
        <f t="shared" ref="BJ114:BJ128" si="333">BA114/((1+$B$4)^(AX114-1))</f>
        <v>83.358616504854382</v>
      </c>
      <c r="BK114" s="197">
        <f t="shared" ref="BK114:BK128" si="334">BB114/((1+$B$4)^(AX114-1))</f>
        <v>320.38834951456312</v>
      </c>
      <c r="BL114" s="197">
        <f t="shared" ref="BL114:BL128" si="335">BG114/((1+$B$4)^(AX114-1))</f>
        <v>521.22547961165037</v>
      </c>
      <c r="BM114" s="197">
        <f t="shared" ref="BM114:BM128" si="336">BH114/((1+$B$4)^(AX114-1))</f>
        <v>-437.86686310679602</v>
      </c>
      <c r="BN114" s="199">
        <f t="shared" ref="BN114:BN128" si="337">BI114/((1+$B$4)^(AX114-1))</f>
        <v>-117.47851359223293</v>
      </c>
      <c r="BO114" s="196">
        <f>BO113+BJ114</f>
        <v>96.483616504854382</v>
      </c>
      <c r="BP114" s="197">
        <f t="shared" ref="BP114:BS128" si="338">BP113+BK114</f>
        <v>650.38834951456306</v>
      </c>
      <c r="BQ114" s="197">
        <f t="shared" si="338"/>
        <v>2776.0487236116501</v>
      </c>
      <c r="BR114" s="197">
        <f t="shared" si="338"/>
        <v>-2679.5651071067959</v>
      </c>
      <c r="BS114" s="199">
        <f t="shared" si="338"/>
        <v>-2029.1767575922327</v>
      </c>
      <c r="BV114" s="900">
        <v>2</v>
      </c>
      <c r="BW114" s="760">
        <f t="shared" ref="BW114:BW128" si="339">$C114</f>
        <v>3.9250000000000007</v>
      </c>
      <c r="BX114" s="197">
        <f>'Energy Inputs'!$E$58*$BX$109</f>
        <v>87.5</v>
      </c>
      <c r="BY114" s="197">
        <f>BW114*BX114</f>
        <v>343.43750000000006</v>
      </c>
      <c r="BZ114" s="197">
        <f>'Margins summary'!$S$14</f>
        <v>330</v>
      </c>
      <c r="CA114" s="197">
        <f t="shared" ref="CA114:CA128" si="340">BY114+BZ114</f>
        <v>673.4375</v>
      </c>
      <c r="CB114" s="197"/>
      <c r="CC114" s="918">
        <f>'Energy NPV'!U40</f>
        <v>536.86224399999992</v>
      </c>
      <c r="CD114" s="197"/>
      <c r="CE114" s="197">
        <f t="shared" ref="CE114:CE128" si="341">CB114+CC114+CD114</f>
        <v>536.86224399999992</v>
      </c>
      <c r="CF114" s="197">
        <f t="shared" si="309"/>
        <v>-193.42474399999986</v>
      </c>
      <c r="CG114" s="197">
        <f t="shared" si="310"/>
        <v>136.57525600000008</v>
      </c>
      <c r="CH114" s="196">
        <f t="shared" ref="CH114:CH128" si="342">BY114/((1+$B$4)^(BV114-1))</f>
        <v>333.43446601941753</v>
      </c>
      <c r="CI114" s="197">
        <f t="shared" ref="CI114:CI128" si="343">BZ114/((1+$B$4)^(BV114-1))</f>
        <v>320.38834951456312</v>
      </c>
      <c r="CJ114" s="197">
        <f t="shared" ref="CJ114:CJ128" si="344">CE114/((1+$B$4)^(BV114-1))</f>
        <v>521.22547961165037</v>
      </c>
      <c r="CK114" s="197">
        <f t="shared" ref="CK114:CK128" si="345">CF114/((1+$B$4)^(BV114-1))</f>
        <v>-187.79101359223287</v>
      </c>
      <c r="CL114" s="199">
        <f t="shared" ref="CL114:CL128" si="346">CG114/((1+$B$4)^(BV114-1))</f>
        <v>132.59733592233016</v>
      </c>
      <c r="CM114" s="196">
        <f>CM113+CH114</f>
        <v>385.93446601941753</v>
      </c>
      <c r="CN114" s="197">
        <f t="shared" ref="CN114:CQ128" si="347">CN113+CI114</f>
        <v>650.38834951456306</v>
      </c>
      <c r="CO114" s="197">
        <f t="shared" si="347"/>
        <v>2776.0487236116501</v>
      </c>
      <c r="CP114" s="197">
        <f t="shared" si="347"/>
        <v>-2390.1142575922327</v>
      </c>
      <c r="CQ114" s="199">
        <f t="shared" si="347"/>
        <v>-1739.7259080776696</v>
      </c>
      <c r="CT114" s="204">
        <v>2</v>
      </c>
      <c r="CU114" s="760">
        <f t="shared" ref="CU114:CU128" si="348">$C114</f>
        <v>3.9250000000000007</v>
      </c>
      <c r="CV114" s="197">
        <f>'Energy Inputs'!$E$58*$CV$109</f>
        <v>0</v>
      </c>
      <c r="CW114" s="197">
        <f>CU114*CV114</f>
        <v>0</v>
      </c>
      <c r="CX114" s="197">
        <f>'Margins summary'!$S$14</f>
        <v>330</v>
      </c>
      <c r="CY114" s="197">
        <f t="shared" ref="CY114:CY128" si="349">CW114+CX114</f>
        <v>330</v>
      </c>
      <c r="CZ114" s="197"/>
      <c r="DA114" s="918">
        <f>'Energy NPV'!U40</f>
        <v>536.86224399999992</v>
      </c>
      <c r="DB114" s="197"/>
      <c r="DC114" s="197">
        <f t="shared" ref="DC114:DC128" si="350">CZ114+DA114+DB114</f>
        <v>536.86224399999992</v>
      </c>
      <c r="DD114" s="197">
        <f t="shared" si="311"/>
        <v>-536.86224399999992</v>
      </c>
      <c r="DE114" s="197">
        <f t="shared" si="312"/>
        <v>-206.86224399999992</v>
      </c>
      <c r="DF114" s="196">
        <f t="shared" ref="DF114:DF128" si="351">CW114/((1+$B$4)^(CT114-1))</f>
        <v>0</v>
      </c>
      <c r="DG114" s="197">
        <f t="shared" ref="DG114:DG128" si="352">CX114/((1+$B$4)^(CT114-1))</f>
        <v>320.38834951456312</v>
      </c>
      <c r="DH114" s="197">
        <f t="shared" ref="DH114:DH128" si="353">DC114/((1+$B$4)^(CT114-1))</f>
        <v>521.22547961165037</v>
      </c>
      <c r="DI114" s="197">
        <f t="shared" ref="DI114:DI128" si="354">DD114/((1+$B$4)^(CT114-1))</f>
        <v>-521.22547961165037</v>
      </c>
      <c r="DJ114" s="199">
        <f t="shared" ref="DJ114:DJ128" si="355">DE114/((1+$B$4)^(CT114-1))</f>
        <v>-200.83713009708728</v>
      </c>
      <c r="DK114" s="196">
        <f>DK113+DF114</f>
        <v>0</v>
      </c>
      <c r="DL114" s="197">
        <f t="shared" ref="DL114:DO128" si="356">DL113+DG114</f>
        <v>650.38834951456306</v>
      </c>
      <c r="DM114" s="197">
        <f t="shared" si="356"/>
        <v>2776.0487236116501</v>
      </c>
      <c r="DN114" s="197">
        <f t="shared" si="356"/>
        <v>-2776.0487236116501</v>
      </c>
      <c r="DO114" s="199">
        <f t="shared" si="356"/>
        <v>-2125.6603740970868</v>
      </c>
    </row>
    <row r="115" spans="2:119" x14ac:dyDescent="0.3">
      <c r="B115" s="900">
        <v>3</v>
      </c>
      <c r="C115" s="760">
        <f>'Energy NPV'!$D41</f>
        <v>11.099999999999998</v>
      </c>
      <c r="D115" s="197">
        <f>'Energy Inputs'!$E$58*$E$109</f>
        <v>43.75</v>
      </c>
      <c r="E115" s="197">
        <f t="shared" ref="E115:E128" si="357">C115*D115</f>
        <v>485.62499999999989</v>
      </c>
      <c r="F115" s="197">
        <f>'Margins summary'!$S$14</f>
        <v>330</v>
      </c>
      <c r="G115" s="197">
        <f t="shared" si="313"/>
        <v>815.62499999999989</v>
      </c>
      <c r="H115" s="197"/>
      <c r="I115" s="918">
        <f>'Energy NPV'!U41</f>
        <v>536.86224399999992</v>
      </c>
      <c r="J115" s="197"/>
      <c r="K115" s="197">
        <f t="shared" si="314"/>
        <v>536.86224399999992</v>
      </c>
      <c r="L115" s="197">
        <f t="shared" si="303"/>
        <v>-51.237244000000032</v>
      </c>
      <c r="M115" s="197">
        <f t="shared" si="304"/>
        <v>278.76275599999997</v>
      </c>
      <c r="N115" s="196">
        <f t="shared" si="315"/>
        <v>457.74813837307937</v>
      </c>
      <c r="O115" s="197">
        <f t="shared" si="316"/>
        <v>311.05665001413894</v>
      </c>
      <c r="P115" s="197">
        <f t="shared" si="317"/>
        <v>506.04415496276738</v>
      </c>
      <c r="Q115" s="197">
        <f t="shared" si="318"/>
        <v>-48.296016589688037</v>
      </c>
      <c r="R115" s="199">
        <f t="shared" si="319"/>
        <v>262.76063342445093</v>
      </c>
      <c r="S115" s="196">
        <f t="shared" ref="S115:S128" si="358">S114+N115</f>
        <v>650.71537138278813</v>
      </c>
      <c r="T115" s="197">
        <f t="shared" si="320"/>
        <v>961.44499952870206</v>
      </c>
      <c r="U115" s="197">
        <f t="shared" si="320"/>
        <v>3282.0928785744172</v>
      </c>
      <c r="V115" s="197">
        <f t="shared" si="320"/>
        <v>-2631.3775071916293</v>
      </c>
      <c r="W115" s="199">
        <f t="shared" si="320"/>
        <v>-1669.9325076629275</v>
      </c>
      <c r="X115" s="197"/>
      <c r="Z115" s="900">
        <v>3</v>
      </c>
      <c r="AA115" s="760">
        <f t="shared" si="321"/>
        <v>11.099999999999998</v>
      </c>
      <c r="AB115" s="197">
        <f>'Energy Inputs'!$E$58*$AB$109</f>
        <v>65.625</v>
      </c>
      <c r="AC115" s="197">
        <f t="shared" ref="AC115:AC128" si="359">AA115*AB115</f>
        <v>728.43749999999989</v>
      </c>
      <c r="AD115" s="197">
        <f>'Margins summary'!$S$14</f>
        <v>330</v>
      </c>
      <c r="AE115" s="197">
        <f t="shared" si="322"/>
        <v>1058.4375</v>
      </c>
      <c r="AF115" s="197"/>
      <c r="AG115" s="918">
        <f>'Energy NPV'!U41</f>
        <v>536.86224399999992</v>
      </c>
      <c r="AH115" s="197"/>
      <c r="AI115" s="197">
        <f t="shared" si="323"/>
        <v>536.86224399999992</v>
      </c>
      <c r="AJ115" s="197">
        <f t="shared" si="305"/>
        <v>191.57525599999997</v>
      </c>
      <c r="AK115" s="197">
        <f t="shared" si="306"/>
        <v>521.57525600000008</v>
      </c>
      <c r="AL115" s="196">
        <f t="shared" si="324"/>
        <v>686.62220755961914</v>
      </c>
      <c r="AM115" s="197">
        <f t="shared" si="325"/>
        <v>311.05665001413894</v>
      </c>
      <c r="AN115" s="197">
        <f t="shared" si="326"/>
        <v>506.04415496276738</v>
      </c>
      <c r="AO115" s="197">
        <f t="shared" si="327"/>
        <v>180.57805259685171</v>
      </c>
      <c r="AP115" s="199">
        <f t="shared" si="328"/>
        <v>491.63470261099076</v>
      </c>
      <c r="AQ115" s="196">
        <f t="shared" ref="AQ115:AQ127" si="360">AQ114+AL115</f>
        <v>976.07305707418232</v>
      </c>
      <c r="AR115" s="197">
        <f t="shared" si="329"/>
        <v>961.44499952870206</v>
      </c>
      <c r="AS115" s="197">
        <f t="shared" si="329"/>
        <v>3282.0928785744172</v>
      </c>
      <c r="AT115" s="197">
        <f t="shared" si="329"/>
        <v>-2306.0198215002351</v>
      </c>
      <c r="AU115" s="199">
        <f t="shared" si="329"/>
        <v>-1344.5748219715333</v>
      </c>
      <c r="AV115" s="197"/>
      <c r="AX115" s="900">
        <v>3</v>
      </c>
      <c r="AY115" s="760">
        <f t="shared" si="330"/>
        <v>11.099999999999998</v>
      </c>
      <c r="AZ115" s="197">
        <f>'Energy Inputs'!$E$58*$AZ$109</f>
        <v>21.875</v>
      </c>
      <c r="BA115" s="197">
        <f t="shared" ref="BA115:BA128" si="361">AY115*AZ115</f>
        <v>242.81249999999994</v>
      </c>
      <c r="BB115" s="197">
        <f>'Margins summary'!$S$14</f>
        <v>330</v>
      </c>
      <c r="BC115" s="197">
        <f t="shared" si="331"/>
        <v>572.8125</v>
      </c>
      <c r="BD115" s="197"/>
      <c r="BE115" s="918">
        <f>'Energy NPV'!U41</f>
        <v>536.86224399999992</v>
      </c>
      <c r="BF115" s="197"/>
      <c r="BG115" s="197">
        <f t="shared" si="332"/>
        <v>536.86224399999992</v>
      </c>
      <c r="BH115" s="197">
        <f t="shared" si="307"/>
        <v>-294.04974399999998</v>
      </c>
      <c r="BI115" s="197">
        <f t="shared" si="308"/>
        <v>35.950256000000081</v>
      </c>
      <c r="BJ115" s="196">
        <f t="shared" si="333"/>
        <v>228.87406918653969</v>
      </c>
      <c r="BK115" s="197">
        <f t="shared" si="334"/>
        <v>311.05665001413894</v>
      </c>
      <c r="BL115" s="197">
        <f t="shared" si="335"/>
        <v>506.04415496276738</v>
      </c>
      <c r="BM115" s="197">
        <f t="shared" si="336"/>
        <v>-277.17008577622772</v>
      </c>
      <c r="BN115" s="199">
        <f t="shared" si="337"/>
        <v>33.886564237911287</v>
      </c>
      <c r="BO115" s="196">
        <f t="shared" ref="BO115:BO128" si="362">BO114+BJ115</f>
        <v>325.35768569139407</v>
      </c>
      <c r="BP115" s="197">
        <f t="shared" si="338"/>
        <v>961.44499952870206</v>
      </c>
      <c r="BQ115" s="197">
        <f t="shared" si="338"/>
        <v>3282.0928785744172</v>
      </c>
      <c r="BR115" s="197">
        <f t="shared" si="338"/>
        <v>-2956.7351928830235</v>
      </c>
      <c r="BS115" s="199">
        <f t="shared" si="338"/>
        <v>-1995.2901933543214</v>
      </c>
      <c r="BV115" s="900">
        <v>3</v>
      </c>
      <c r="BW115" s="760">
        <f t="shared" si="339"/>
        <v>11.099999999999998</v>
      </c>
      <c r="BX115" s="197">
        <f>'Energy Inputs'!$E$58*$BX$109</f>
        <v>87.5</v>
      </c>
      <c r="BY115" s="197">
        <f t="shared" ref="BY115:BY128" si="363">BW115*BX115</f>
        <v>971.24999999999977</v>
      </c>
      <c r="BZ115" s="197">
        <f>'Margins summary'!$S$14</f>
        <v>330</v>
      </c>
      <c r="CA115" s="197">
        <f t="shared" si="340"/>
        <v>1301.2499999999998</v>
      </c>
      <c r="CB115" s="197"/>
      <c r="CC115" s="918">
        <f>'Energy NPV'!U41</f>
        <v>536.86224399999992</v>
      </c>
      <c r="CD115" s="197"/>
      <c r="CE115" s="197">
        <f t="shared" si="341"/>
        <v>536.86224399999992</v>
      </c>
      <c r="CF115" s="197">
        <f t="shared" si="309"/>
        <v>434.38775599999985</v>
      </c>
      <c r="CG115" s="197">
        <f t="shared" si="310"/>
        <v>764.38775599999985</v>
      </c>
      <c r="CH115" s="196">
        <f t="shared" si="342"/>
        <v>915.49627674615874</v>
      </c>
      <c r="CI115" s="197">
        <f t="shared" si="343"/>
        <v>311.05665001413894</v>
      </c>
      <c r="CJ115" s="197">
        <f t="shared" si="344"/>
        <v>506.04415496276738</v>
      </c>
      <c r="CK115" s="197">
        <f t="shared" si="345"/>
        <v>409.45212178339136</v>
      </c>
      <c r="CL115" s="199">
        <f t="shared" si="346"/>
        <v>720.50877179753024</v>
      </c>
      <c r="CM115" s="196">
        <f t="shared" ref="CM115:CM128" si="364">CM114+CH115</f>
        <v>1301.4307427655763</v>
      </c>
      <c r="CN115" s="197">
        <f t="shared" si="347"/>
        <v>961.44499952870206</v>
      </c>
      <c r="CO115" s="197">
        <f t="shared" si="347"/>
        <v>3282.0928785744172</v>
      </c>
      <c r="CP115" s="197">
        <f t="shared" si="347"/>
        <v>-1980.6621358088414</v>
      </c>
      <c r="CQ115" s="199">
        <f t="shared" si="347"/>
        <v>-1019.2171362801394</v>
      </c>
      <c r="CT115" s="204">
        <f t="shared" ref="CT115:CT128" si="365">CT114+1</f>
        <v>3</v>
      </c>
      <c r="CU115" s="760">
        <f t="shared" si="348"/>
        <v>11.099999999999998</v>
      </c>
      <c r="CV115" s="197">
        <f>'Energy Inputs'!$E$58*$CV$109</f>
        <v>0</v>
      </c>
      <c r="CW115" s="197">
        <f t="shared" ref="CW115:CW128" si="366">CU115*CV115</f>
        <v>0</v>
      </c>
      <c r="CX115" s="197">
        <f>'Margins summary'!$S$14</f>
        <v>330</v>
      </c>
      <c r="CY115" s="197">
        <f t="shared" si="349"/>
        <v>330</v>
      </c>
      <c r="CZ115" s="197"/>
      <c r="DA115" s="918">
        <f>'Energy NPV'!U41</f>
        <v>536.86224399999992</v>
      </c>
      <c r="DB115" s="197"/>
      <c r="DC115" s="197">
        <f t="shared" si="350"/>
        <v>536.86224399999992</v>
      </c>
      <c r="DD115" s="197">
        <f t="shared" si="311"/>
        <v>-536.86224399999992</v>
      </c>
      <c r="DE115" s="197">
        <f t="shared" si="312"/>
        <v>-206.86224399999992</v>
      </c>
      <c r="DF115" s="196">
        <f t="shared" si="351"/>
        <v>0</v>
      </c>
      <c r="DG115" s="197">
        <f t="shared" si="352"/>
        <v>311.05665001413894</v>
      </c>
      <c r="DH115" s="197">
        <f t="shared" si="353"/>
        <v>506.04415496276738</v>
      </c>
      <c r="DI115" s="197">
        <f t="shared" si="354"/>
        <v>-506.04415496276738</v>
      </c>
      <c r="DJ115" s="199">
        <f t="shared" si="355"/>
        <v>-194.98750494862844</v>
      </c>
      <c r="DK115" s="196">
        <f t="shared" ref="DK115:DK128" si="367">DK114+DF115</f>
        <v>0</v>
      </c>
      <c r="DL115" s="197">
        <f t="shared" si="356"/>
        <v>961.44499952870206</v>
      </c>
      <c r="DM115" s="197">
        <f t="shared" si="356"/>
        <v>3282.0928785744172</v>
      </c>
      <c r="DN115" s="197">
        <f t="shared" si="356"/>
        <v>-3282.0928785744172</v>
      </c>
      <c r="DO115" s="199">
        <f t="shared" si="356"/>
        <v>-2320.6478790457154</v>
      </c>
    </row>
    <row r="116" spans="2:119" x14ac:dyDescent="0.3">
      <c r="B116" s="900">
        <v>4</v>
      </c>
      <c r="C116" s="760">
        <f>'Energy NPV'!$D42</f>
        <v>12.54</v>
      </c>
      <c r="D116" s="197">
        <f>'Energy Inputs'!$E$58*$E$109</f>
        <v>43.75</v>
      </c>
      <c r="E116" s="197">
        <f t="shared" si="357"/>
        <v>548.625</v>
      </c>
      <c r="F116" s="197">
        <f>'Margins summary'!$S$14</f>
        <v>330</v>
      </c>
      <c r="G116" s="197">
        <f t="shared" si="313"/>
        <v>878.625</v>
      </c>
      <c r="H116" s="197"/>
      <c r="I116" s="918">
        <f>'Energy NPV'!U42</f>
        <v>423.52324399999998</v>
      </c>
      <c r="J116" s="197"/>
      <c r="K116" s="197">
        <f t="shared" si="314"/>
        <v>423.52324399999998</v>
      </c>
      <c r="L116" s="197">
        <f t="shared" si="303"/>
        <v>125.10175600000002</v>
      </c>
      <c r="M116" s="197">
        <f t="shared" si="304"/>
        <v>455.10175600000002</v>
      </c>
      <c r="N116" s="196">
        <f t="shared" si="315"/>
        <v>502.06959286262719</v>
      </c>
      <c r="O116" s="197">
        <f t="shared" si="316"/>
        <v>301.99674758654265</v>
      </c>
      <c r="P116" s="197">
        <f t="shared" si="317"/>
        <v>387.58376428879308</v>
      </c>
      <c r="Q116" s="197">
        <f t="shared" si="318"/>
        <v>114.48582857383411</v>
      </c>
      <c r="R116" s="199">
        <f t="shared" si="319"/>
        <v>416.48257616037677</v>
      </c>
      <c r="S116" s="196">
        <f t="shared" si="358"/>
        <v>1152.7849642454153</v>
      </c>
      <c r="T116" s="197">
        <f t="shared" si="320"/>
        <v>1263.4417471152447</v>
      </c>
      <c r="U116" s="197">
        <f t="shared" si="320"/>
        <v>3669.6766428632104</v>
      </c>
      <c r="V116" s="197">
        <f t="shared" si="320"/>
        <v>-2516.8916786177952</v>
      </c>
      <c r="W116" s="199">
        <f t="shared" si="320"/>
        <v>-1253.4499315025507</v>
      </c>
      <c r="X116" s="197"/>
      <c r="Z116" s="900">
        <v>4</v>
      </c>
      <c r="AA116" s="760">
        <f t="shared" si="321"/>
        <v>12.54</v>
      </c>
      <c r="AB116" s="197">
        <f>'Energy Inputs'!$E$58*$AB$109</f>
        <v>65.625</v>
      </c>
      <c r="AC116" s="197">
        <f t="shared" si="359"/>
        <v>822.9375</v>
      </c>
      <c r="AD116" s="197">
        <f>'Margins summary'!$S$14</f>
        <v>330</v>
      </c>
      <c r="AE116" s="197">
        <f t="shared" si="322"/>
        <v>1152.9375</v>
      </c>
      <c r="AF116" s="197"/>
      <c r="AG116" s="918">
        <f>'Energy NPV'!U42</f>
        <v>423.52324399999998</v>
      </c>
      <c r="AH116" s="197"/>
      <c r="AI116" s="197">
        <f t="shared" si="323"/>
        <v>423.52324399999998</v>
      </c>
      <c r="AJ116" s="197">
        <f t="shared" si="305"/>
        <v>399.41425600000002</v>
      </c>
      <c r="AK116" s="197">
        <f t="shared" si="306"/>
        <v>729.41425600000002</v>
      </c>
      <c r="AL116" s="196">
        <f t="shared" si="324"/>
        <v>753.1043892939407</v>
      </c>
      <c r="AM116" s="197">
        <f t="shared" si="325"/>
        <v>301.99674758654265</v>
      </c>
      <c r="AN116" s="197">
        <f t="shared" si="326"/>
        <v>387.58376428879308</v>
      </c>
      <c r="AO116" s="197">
        <f t="shared" si="327"/>
        <v>365.52062500514768</v>
      </c>
      <c r="AP116" s="199">
        <f t="shared" si="328"/>
        <v>667.51737259169033</v>
      </c>
      <c r="AQ116" s="196">
        <f t="shared" si="360"/>
        <v>1729.1774463681231</v>
      </c>
      <c r="AR116" s="197">
        <f t="shared" si="329"/>
        <v>1263.4417471152447</v>
      </c>
      <c r="AS116" s="197">
        <f t="shared" si="329"/>
        <v>3669.6766428632104</v>
      </c>
      <c r="AT116" s="197">
        <f t="shared" si="329"/>
        <v>-1940.4991964950875</v>
      </c>
      <c r="AU116" s="199">
        <f t="shared" si="329"/>
        <v>-677.05744937984298</v>
      </c>
      <c r="AV116" s="197"/>
      <c r="AX116" s="900">
        <v>4</v>
      </c>
      <c r="AY116" s="760">
        <f t="shared" si="330"/>
        <v>12.54</v>
      </c>
      <c r="AZ116" s="197">
        <f>'Energy Inputs'!$E$58*$AZ$109</f>
        <v>21.875</v>
      </c>
      <c r="BA116" s="197">
        <f t="shared" si="361"/>
        <v>274.3125</v>
      </c>
      <c r="BB116" s="197">
        <f>'Margins summary'!$S$14</f>
        <v>330</v>
      </c>
      <c r="BC116" s="197">
        <f t="shared" si="331"/>
        <v>604.3125</v>
      </c>
      <c r="BD116" s="197"/>
      <c r="BE116" s="918">
        <f>'Energy NPV'!U42</f>
        <v>423.52324399999998</v>
      </c>
      <c r="BF116" s="197"/>
      <c r="BG116" s="197">
        <f t="shared" si="332"/>
        <v>423.52324399999998</v>
      </c>
      <c r="BH116" s="197">
        <f t="shared" si="307"/>
        <v>-149.21074399999998</v>
      </c>
      <c r="BI116" s="197">
        <f t="shared" si="308"/>
        <v>180.78925600000002</v>
      </c>
      <c r="BJ116" s="196">
        <f t="shared" si="333"/>
        <v>251.03479643131359</v>
      </c>
      <c r="BK116" s="197">
        <f t="shared" si="334"/>
        <v>301.99674758654265</v>
      </c>
      <c r="BL116" s="197">
        <f t="shared" si="335"/>
        <v>387.58376428879308</v>
      </c>
      <c r="BM116" s="197">
        <f t="shared" si="336"/>
        <v>-136.54896785747948</v>
      </c>
      <c r="BN116" s="199">
        <f t="shared" si="337"/>
        <v>165.44777972906317</v>
      </c>
      <c r="BO116" s="196">
        <f t="shared" si="362"/>
        <v>576.39248212270763</v>
      </c>
      <c r="BP116" s="197">
        <f t="shared" si="338"/>
        <v>1263.4417471152447</v>
      </c>
      <c r="BQ116" s="197">
        <f t="shared" si="338"/>
        <v>3669.6766428632104</v>
      </c>
      <c r="BR116" s="197">
        <f t="shared" si="338"/>
        <v>-3093.284160740503</v>
      </c>
      <c r="BS116" s="199">
        <f t="shared" si="338"/>
        <v>-1829.8424136252584</v>
      </c>
      <c r="BV116" s="900">
        <v>4</v>
      </c>
      <c r="BW116" s="760">
        <f t="shared" si="339"/>
        <v>12.54</v>
      </c>
      <c r="BX116" s="197">
        <f>'Energy Inputs'!$E$58*$BX$109</f>
        <v>87.5</v>
      </c>
      <c r="BY116" s="197">
        <f t="shared" si="363"/>
        <v>1097.25</v>
      </c>
      <c r="BZ116" s="197">
        <f>'Margins summary'!$S$14</f>
        <v>330</v>
      </c>
      <c r="CA116" s="197">
        <f t="shared" si="340"/>
        <v>1427.25</v>
      </c>
      <c r="CB116" s="197"/>
      <c r="CC116" s="918">
        <f>'Energy NPV'!U42</f>
        <v>423.52324399999998</v>
      </c>
      <c r="CD116" s="197"/>
      <c r="CE116" s="197">
        <f t="shared" si="341"/>
        <v>423.52324399999998</v>
      </c>
      <c r="CF116" s="197">
        <f t="shared" si="309"/>
        <v>673.72675600000002</v>
      </c>
      <c r="CG116" s="197">
        <f t="shared" si="310"/>
        <v>1003.726756</v>
      </c>
      <c r="CH116" s="196">
        <f t="shared" si="342"/>
        <v>1004.1391857252544</v>
      </c>
      <c r="CI116" s="197">
        <f t="shared" si="343"/>
        <v>301.99674758654265</v>
      </c>
      <c r="CJ116" s="197">
        <f t="shared" si="344"/>
        <v>387.58376428879308</v>
      </c>
      <c r="CK116" s="197">
        <f t="shared" si="345"/>
        <v>616.5554214364613</v>
      </c>
      <c r="CL116" s="199">
        <f t="shared" si="346"/>
        <v>918.5521690230039</v>
      </c>
      <c r="CM116" s="196">
        <f t="shared" si="364"/>
        <v>2305.5699284908305</v>
      </c>
      <c r="CN116" s="197">
        <f t="shared" si="347"/>
        <v>1263.4417471152447</v>
      </c>
      <c r="CO116" s="197">
        <f t="shared" si="347"/>
        <v>3669.6766428632104</v>
      </c>
      <c r="CP116" s="197">
        <f t="shared" si="347"/>
        <v>-1364.1067143723801</v>
      </c>
      <c r="CQ116" s="199">
        <f t="shared" si="347"/>
        <v>-100.66496725713546</v>
      </c>
      <c r="CT116" s="204">
        <f t="shared" si="365"/>
        <v>4</v>
      </c>
      <c r="CU116" s="760">
        <f t="shared" si="348"/>
        <v>12.54</v>
      </c>
      <c r="CV116" s="197">
        <f>'Energy Inputs'!$E$58*$CV$109</f>
        <v>0</v>
      </c>
      <c r="CW116" s="197">
        <f t="shared" si="366"/>
        <v>0</v>
      </c>
      <c r="CX116" s="197">
        <f>'Margins summary'!$S$14</f>
        <v>330</v>
      </c>
      <c r="CY116" s="197">
        <f t="shared" si="349"/>
        <v>330</v>
      </c>
      <c r="CZ116" s="197"/>
      <c r="DA116" s="918">
        <f>'Energy NPV'!U42</f>
        <v>423.52324399999998</v>
      </c>
      <c r="DB116" s="197"/>
      <c r="DC116" s="197">
        <f t="shared" si="350"/>
        <v>423.52324399999998</v>
      </c>
      <c r="DD116" s="197">
        <f t="shared" si="311"/>
        <v>-423.52324399999998</v>
      </c>
      <c r="DE116" s="197">
        <f t="shared" si="312"/>
        <v>-93.523243999999977</v>
      </c>
      <c r="DF116" s="196">
        <f t="shared" si="351"/>
        <v>0</v>
      </c>
      <c r="DG116" s="197">
        <f t="shared" si="352"/>
        <v>301.99674758654265</v>
      </c>
      <c r="DH116" s="197">
        <f t="shared" si="353"/>
        <v>387.58376428879308</v>
      </c>
      <c r="DI116" s="197">
        <f t="shared" si="354"/>
        <v>-387.58376428879308</v>
      </c>
      <c r="DJ116" s="199">
        <f t="shared" si="355"/>
        <v>-85.587016702250409</v>
      </c>
      <c r="DK116" s="196">
        <f t="shared" si="367"/>
        <v>0</v>
      </c>
      <c r="DL116" s="197">
        <f t="shared" si="356"/>
        <v>1263.4417471152447</v>
      </c>
      <c r="DM116" s="197">
        <f t="shared" si="356"/>
        <v>3669.6766428632104</v>
      </c>
      <c r="DN116" s="197">
        <f t="shared" si="356"/>
        <v>-3669.6766428632104</v>
      </c>
      <c r="DO116" s="199">
        <f t="shared" si="356"/>
        <v>-2406.2348957479658</v>
      </c>
    </row>
    <row r="117" spans="2:119" x14ac:dyDescent="0.3">
      <c r="B117" s="900">
        <v>5</v>
      </c>
      <c r="C117" s="760">
        <f>'Energy NPV'!$D43</f>
        <v>12.54</v>
      </c>
      <c r="D117" s="197">
        <f>'Energy Inputs'!$E$58*$E$109</f>
        <v>43.75</v>
      </c>
      <c r="E117" s="197">
        <f t="shared" si="357"/>
        <v>548.625</v>
      </c>
      <c r="F117" s="197">
        <f>'Margins summary'!$S$14</f>
        <v>330</v>
      </c>
      <c r="G117" s="197">
        <f t="shared" si="313"/>
        <v>878.625</v>
      </c>
      <c r="H117" s="197"/>
      <c r="I117" s="918">
        <f>'Energy NPV'!U43</f>
        <v>423.52324399999998</v>
      </c>
      <c r="J117" s="197"/>
      <c r="K117" s="197">
        <f t="shared" si="314"/>
        <v>423.52324399999998</v>
      </c>
      <c r="L117" s="197">
        <f t="shared" si="303"/>
        <v>125.10175600000002</v>
      </c>
      <c r="M117" s="197">
        <f t="shared" si="304"/>
        <v>455.10175600000002</v>
      </c>
      <c r="N117" s="196">
        <f t="shared" si="315"/>
        <v>487.44620666274488</v>
      </c>
      <c r="O117" s="197">
        <f t="shared" si="316"/>
        <v>293.20072581217738</v>
      </c>
      <c r="P117" s="197">
        <f t="shared" si="317"/>
        <v>376.29491678523601</v>
      </c>
      <c r="Q117" s="197">
        <f t="shared" si="318"/>
        <v>111.15128987750884</v>
      </c>
      <c r="R117" s="199">
        <f t="shared" si="319"/>
        <v>404.3520156896862</v>
      </c>
      <c r="S117" s="196">
        <f t="shared" si="358"/>
        <v>1640.23117090816</v>
      </c>
      <c r="T117" s="197">
        <f t="shared" si="320"/>
        <v>1556.642472927422</v>
      </c>
      <c r="U117" s="197">
        <f t="shared" si="320"/>
        <v>4045.9715596484466</v>
      </c>
      <c r="V117" s="197">
        <f t="shared" si="320"/>
        <v>-2405.7403887402861</v>
      </c>
      <c r="W117" s="199">
        <f t="shared" si="320"/>
        <v>-849.09791581286458</v>
      </c>
      <c r="X117" s="197"/>
      <c r="Z117" s="900">
        <v>5</v>
      </c>
      <c r="AA117" s="760">
        <f t="shared" si="321"/>
        <v>12.54</v>
      </c>
      <c r="AB117" s="197">
        <f>'Energy Inputs'!$E$58*$AB$109</f>
        <v>65.625</v>
      </c>
      <c r="AC117" s="197">
        <f t="shared" si="359"/>
        <v>822.9375</v>
      </c>
      <c r="AD117" s="197">
        <f>'Margins summary'!$S$14</f>
        <v>330</v>
      </c>
      <c r="AE117" s="197">
        <f t="shared" si="322"/>
        <v>1152.9375</v>
      </c>
      <c r="AF117" s="197"/>
      <c r="AG117" s="918">
        <f>'Energy NPV'!U43</f>
        <v>423.52324399999998</v>
      </c>
      <c r="AH117" s="197"/>
      <c r="AI117" s="197">
        <f t="shared" si="323"/>
        <v>423.52324399999998</v>
      </c>
      <c r="AJ117" s="197">
        <f t="shared" si="305"/>
        <v>399.41425600000002</v>
      </c>
      <c r="AK117" s="197">
        <f t="shared" si="306"/>
        <v>729.41425600000002</v>
      </c>
      <c r="AL117" s="196">
        <f t="shared" si="324"/>
        <v>731.16930999411727</v>
      </c>
      <c r="AM117" s="197">
        <f t="shared" si="325"/>
        <v>293.20072581217738</v>
      </c>
      <c r="AN117" s="197">
        <f t="shared" si="326"/>
        <v>376.29491678523601</v>
      </c>
      <c r="AO117" s="197">
        <f t="shared" si="327"/>
        <v>354.87439320888126</v>
      </c>
      <c r="AP117" s="199">
        <f t="shared" si="328"/>
        <v>648.07511902105864</v>
      </c>
      <c r="AQ117" s="196">
        <f t="shared" si="360"/>
        <v>2460.3467563622403</v>
      </c>
      <c r="AR117" s="197">
        <f t="shared" si="329"/>
        <v>1556.642472927422</v>
      </c>
      <c r="AS117" s="197">
        <f t="shared" si="329"/>
        <v>4045.9715596484466</v>
      </c>
      <c r="AT117" s="197">
        <f t="shared" si="329"/>
        <v>-1585.6248032862063</v>
      </c>
      <c r="AU117" s="199">
        <f t="shared" si="329"/>
        <v>-28.982330358784338</v>
      </c>
      <c r="AV117" s="197"/>
      <c r="AX117" s="900">
        <v>5</v>
      </c>
      <c r="AY117" s="760">
        <f t="shared" si="330"/>
        <v>12.54</v>
      </c>
      <c r="AZ117" s="197">
        <f>'Energy Inputs'!$E$58*$AZ$109</f>
        <v>21.875</v>
      </c>
      <c r="BA117" s="197">
        <f t="shared" si="361"/>
        <v>274.3125</v>
      </c>
      <c r="BB117" s="197">
        <f>'Margins summary'!$S$14</f>
        <v>330</v>
      </c>
      <c r="BC117" s="197">
        <f t="shared" si="331"/>
        <v>604.3125</v>
      </c>
      <c r="BD117" s="197"/>
      <c r="BE117" s="918">
        <f>'Energy NPV'!U43</f>
        <v>423.52324399999998</v>
      </c>
      <c r="BF117" s="197"/>
      <c r="BG117" s="197">
        <f t="shared" si="332"/>
        <v>423.52324399999998</v>
      </c>
      <c r="BH117" s="197">
        <f t="shared" si="307"/>
        <v>-149.21074399999998</v>
      </c>
      <c r="BI117" s="197">
        <f t="shared" si="308"/>
        <v>180.78925600000002</v>
      </c>
      <c r="BJ117" s="196">
        <f t="shared" si="333"/>
        <v>243.72310333137244</v>
      </c>
      <c r="BK117" s="197">
        <f t="shared" si="334"/>
        <v>293.20072581217738</v>
      </c>
      <c r="BL117" s="197">
        <f t="shared" si="335"/>
        <v>376.29491678523601</v>
      </c>
      <c r="BM117" s="197">
        <f t="shared" si="336"/>
        <v>-132.57181345386357</v>
      </c>
      <c r="BN117" s="199">
        <f t="shared" si="337"/>
        <v>160.62891235831378</v>
      </c>
      <c r="BO117" s="196">
        <f t="shared" si="362"/>
        <v>820.11558545408002</v>
      </c>
      <c r="BP117" s="197">
        <f t="shared" si="338"/>
        <v>1556.642472927422</v>
      </c>
      <c r="BQ117" s="197">
        <f t="shared" si="338"/>
        <v>4045.9715596484466</v>
      </c>
      <c r="BR117" s="197">
        <f t="shared" si="338"/>
        <v>-3225.8559741943664</v>
      </c>
      <c r="BS117" s="199">
        <f t="shared" si="338"/>
        <v>-1669.2135012669446</v>
      </c>
      <c r="BV117" s="900">
        <v>5</v>
      </c>
      <c r="BW117" s="760">
        <f t="shared" si="339"/>
        <v>12.54</v>
      </c>
      <c r="BX117" s="197">
        <f>'Energy Inputs'!$E$58*$BX$109</f>
        <v>87.5</v>
      </c>
      <c r="BY117" s="197">
        <f t="shared" si="363"/>
        <v>1097.25</v>
      </c>
      <c r="BZ117" s="197">
        <f>'Margins summary'!$S$14</f>
        <v>330</v>
      </c>
      <c r="CA117" s="197">
        <f t="shared" si="340"/>
        <v>1427.25</v>
      </c>
      <c r="CB117" s="197"/>
      <c r="CC117" s="918">
        <f>'Energy NPV'!U43</f>
        <v>423.52324399999998</v>
      </c>
      <c r="CD117" s="197"/>
      <c r="CE117" s="197">
        <f t="shared" si="341"/>
        <v>423.52324399999998</v>
      </c>
      <c r="CF117" s="197">
        <f t="shared" si="309"/>
        <v>673.72675600000002</v>
      </c>
      <c r="CG117" s="197">
        <f t="shared" si="310"/>
        <v>1003.726756</v>
      </c>
      <c r="CH117" s="196">
        <f t="shared" si="342"/>
        <v>974.89241332548977</v>
      </c>
      <c r="CI117" s="197">
        <f t="shared" si="343"/>
        <v>293.20072581217738</v>
      </c>
      <c r="CJ117" s="197">
        <f t="shared" si="344"/>
        <v>376.29491678523601</v>
      </c>
      <c r="CK117" s="197">
        <f t="shared" si="345"/>
        <v>598.5974965402537</v>
      </c>
      <c r="CL117" s="199">
        <f t="shared" si="346"/>
        <v>891.79822235243103</v>
      </c>
      <c r="CM117" s="196">
        <f t="shared" si="364"/>
        <v>3280.4623418163201</v>
      </c>
      <c r="CN117" s="197">
        <f t="shared" si="347"/>
        <v>1556.642472927422</v>
      </c>
      <c r="CO117" s="197">
        <f t="shared" si="347"/>
        <v>4045.9715596484466</v>
      </c>
      <c r="CP117" s="197">
        <f t="shared" si="347"/>
        <v>-765.50921783212641</v>
      </c>
      <c r="CQ117" s="199">
        <f t="shared" si="347"/>
        <v>791.13325509529557</v>
      </c>
      <c r="CT117" s="204">
        <f t="shared" si="365"/>
        <v>5</v>
      </c>
      <c r="CU117" s="760">
        <f t="shared" si="348"/>
        <v>12.54</v>
      </c>
      <c r="CV117" s="197">
        <f>'Energy Inputs'!$E$58*$CV$109</f>
        <v>0</v>
      </c>
      <c r="CW117" s="197">
        <f t="shared" si="366"/>
        <v>0</v>
      </c>
      <c r="CX117" s="197">
        <f>'Margins summary'!$S$14</f>
        <v>330</v>
      </c>
      <c r="CY117" s="197">
        <f t="shared" si="349"/>
        <v>330</v>
      </c>
      <c r="CZ117" s="197"/>
      <c r="DA117" s="918">
        <f>'Energy NPV'!U43</f>
        <v>423.52324399999998</v>
      </c>
      <c r="DB117" s="197"/>
      <c r="DC117" s="197">
        <f t="shared" si="350"/>
        <v>423.52324399999998</v>
      </c>
      <c r="DD117" s="197">
        <f t="shared" si="311"/>
        <v>-423.52324399999998</v>
      </c>
      <c r="DE117" s="197">
        <f t="shared" si="312"/>
        <v>-93.523243999999977</v>
      </c>
      <c r="DF117" s="196">
        <f t="shared" si="351"/>
        <v>0</v>
      </c>
      <c r="DG117" s="197">
        <f t="shared" si="352"/>
        <v>293.20072581217738</v>
      </c>
      <c r="DH117" s="197">
        <f t="shared" si="353"/>
        <v>376.29491678523601</v>
      </c>
      <c r="DI117" s="197">
        <f t="shared" si="354"/>
        <v>-376.29491678523601</v>
      </c>
      <c r="DJ117" s="199">
        <f t="shared" si="355"/>
        <v>-83.094190973058645</v>
      </c>
      <c r="DK117" s="196">
        <f t="shared" si="367"/>
        <v>0</v>
      </c>
      <c r="DL117" s="197">
        <f t="shared" si="356"/>
        <v>1556.642472927422</v>
      </c>
      <c r="DM117" s="197">
        <f t="shared" si="356"/>
        <v>4045.9715596484466</v>
      </c>
      <c r="DN117" s="197">
        <f t="shared" si="356"/>
        <v>-4045.9715596484466</v>
      </c>
      <c r="DO117" s="199">
        <f t="shared" si="356"/>
        <v>-2489.3290867210244</v>
      </c>
    </row>
    <row r="118" spans="2:119" x14ac:dyDescent="0.3">
      <c r="B118" s="900">
        <v>6</v>
      </c>
      <c r="C118" s="760">
        <f>'Energy NPV'!$D44</f>
        <v>12.54</v>
      </c>
      <c r="D118" s="197">
        <f>'Energy Inputs'!$E$58*$E$109</f>
        <v>43.75</v>
      </c>
      <c r="E118" s="197">
        <f t="shared" si="357"/>
        <v>548.625</v>
      </c>
      <c r="F118" s="197">
        <f>'Margins summary'!$S$14</f>
        <v>330</v>
      </c>
      <c r="G118" s="197">
        <f t="shared" si="313"/>
        <v>878.625</v>
      </c>
      <c r="H118" s="197"/>
      <c r="I118" s="918">
        <f>'Energy NPV'!U44</f>
        <v>423.52324399999998</v>
      </c>
      <c r="J118" s="197"/>
      <c r="K118" s="197">
        <f t="shared" si="314"/>
        <v>423.52324399999998</v>
      </c>
      <c r="L118" s="197">
        <f t="shared" si="303"/>
        <v>125.10175600000002</v>
      </c>
      <c r="M118" s="197">
        <f t="shared" si="304"/>
        <v>455.10175600000002</v>
      </c>
      <c r="N118" s="196">
        <f t="shared" si="315"/>
        <v>473.24874433276204</v>
      </c>
      <c r="O118" s="197">
        <f t="shared" si="316"/>
        <v>284.66089884677416</v>
      </c>
      <c r="P118" s="197">
        <f t="shared" si="317"/>
        <v>365.33487066527772</v>
      </c>
      <c r="Q118" s="197">
        <f t="shared" si="318"/>
        <v>107.91387366748432</v>
      </c>
      <c r="R118" s="199">
        <f t="shared" si="319"/>
        <v>392.57477251425848</v>
      </c>
      <c r="S118" s="196">
        <f t="shared" si="358"/>
        <v>2113.4799152409223</v>
      </c>
      <c r="T118" s="197">
        <f t="shared" si="320"/>
        <v>1841.3033717741962</v>
      </c>
      <c r="U118" s="197">
        <f t="shared" si="320"/>
        <v>4411.3064303137244</v>
      </c>
      <c r="V118" s="197">
        <f t="shared" si="320"/>
        <v>-2297.8265150728016</v>
      </c>
      <c r="W118" s="199">
        <f t="shared" si="320"/>
        <v>-456.5231432986061</v>
      </c>
      <c r="X118" s="197"/>
      <c r="Z118" s="900">
        <v>6</v>
      </c>
      <c r="AA118" s="760">
        <f t="shared" si="321"/>
        <v>12.54</v>
      </c>
      <c r="AB118" s="197">
        <f>'Energy Inputs'!$E$58*$AB$109</f>
        <v>65.625</v>
      </c>
      <c r="AC118" s="197">
        <f t="shared" si="359"/>
        <v>822.9375</v>
      </c>
      <c r="AD118" s="197">
        <f>'Margins summary'!$S$14</f>
        <v>330</v>
      </c>
      <c r="AE118" s="197">
        <f t="shared" si="322"/>
        <v>1152.9375</v>
      </c>
      <c r="AF118" s="197"/>
      <c r="AG118" s="918">
        <f>'Energy NPV'!U44</f>
        <v>423.52324399999998</v>
      </c>
      <c r="AH118" s="197"/>
      <c r="AI118" s="197">
        <f t="shared" si="323"/>
        <v>423.52324399999998</v>
      </c>
      <c r="AJ118" s="197">
        <f t="shared" si="305"/>
        <v>399.41425600000002</v>
      </c>
      <c r="AK118" s="197">
        <f t="shared" si="306"/>
        <v>729.41425600000002</v>
      </c>
      <c r="AL118" s="196">
        <f t="shared" si="324"/>
        <v>709.87311649914307</v>
      </c>
      <c r="AM118" s="197">
        <f t="shared" si="325"/>
        <v>284.66089884677416</v>
      </c>
      <c r="AN118" s="197">
        <f t="shared" si="326"/>
        <v>365.33487066527772</v>
      </c>
      <c r="AO118" s="197">
        <f t="shared" si="327"/>
        <v>344.53824583386535</v>
      </c>
      <c r="AP118" s="199">
        <f t="shared" si="328"/>
        <v>629.19914468063951</v>
      </c>
      <c r="AQ118" s="196">
        <f t="shared" si="360"/>
        <v>3170.2198728613835</v>
      </c>
      <c r="AR118" s="197">
        <f t="shared" si="329"/>
        <v>1841.3033717741962</v>
      </c>
      <c r="AS118" s="197">
        <f t="shared" si="329"/>
        <v>4411.3064303137244</v>
      </c>
      <c r="AT118" s="197">
        <f t="shared" si="329"/>
        <v>-1241.0865574523409</v>
      </c>
      <c r="AU118" s="199">
        <f t="shared" si="329"/>
        <v>600.21681432185517</v>
      </c>
      <c r="AV118" s="197"/>
      <c r="AX118" s="900">
        <v>6</v>
      </c>
      <c r="AY118" s="760">
        <f t="shared" si="330"/>
        <v>12.54</v>
      </c>
      <c r="AZ118" s="197">
        <f>'Energy Inputs'!$E$58*$AZ$109</f>
        <v>21.875</v>
      </c>
      <c r="BA118" s="197">
        <f t="shared" si="361"/>
        <v>274.3125</v>
      </c>
      <c r="BB118" s="197">
        <f>'Margins summary'!$S$14</f>
        <v>330</v>
      </c>
      <c r="BC118" s="197">
        <f t="shared" si="331"/>
        <v>604.3125</v>
      </c>
      <c r="BD118" s="197"/>
      <c r="BE118" s="918">
        <f>'Energy NPV'!U44</f>
        <v>423.52324399999998</v>
      </c>
      <c r="BF118" s="197"/>
      <c r="BG118" s="197">
        <f t="shared" si="332"/>
        <v>423.52324399999998</v>
      </c>
      <c r="BH118" s="197">
        <f t="shared" si="307"/>
        <v>-149.21074399999998</v>
      </c>
      <c r="BI118" s="197">
        <f t="shared" si="308"/>
        <v>180.78925600000002</v>
      </c>
      <c r="BJ118" s="196">
        <f t="shared" si="333"/>
        <v>236.62437216638102</v>
      </c>
      <c r="BK118" s="197">
        <f t="shared" si="334"/>
        <v>284.66089884677416</v>
      </c>
      <c r="BL118" s="197">
        <f t="shared" si="335"/>
        <v>365.33487066527772</v>
      </c>
      <c r="BM118" s="197">
        <f t="shared" si="336"/>
        <v>-128.7104984988967</v>
      </c>
      <c r="BN118" s="199">
        <f t="shared" si="337"/>
        <v>155.95040034787746</v>
      </c>
      <c r="BO118" s="196">
        <f t="shared" si="362"/>
        <v>1056.7399576204612</v>
      </c>
      <c r="BP118" s="197">
        <f t="shared" si="338"/>
        <v>1841.3033717741962</v>
      </c>
      <c r="BQ118" s="197">
        <f t="shared" si="338"/>
        <v>4411.3064303137244</v>
      </c>
      <c r="BR118" s="197">
        <f t="shared" si="338"/>
        <v>-3354.5664726932632</v>
      </c>
      <c r="BS118" s="199">
        <f t="shared" si="338"/>
        <v>-1513.2631009190673</v>
      </c>
      <c r="BV118" s="900">
        <v>6</v>
      </c>
      <c r="BW118" s="760">
        <f t="shared" si="339"/>
        <v>12.54</v>
      </c>
      <c r="BX118" s="197">
        <f>'Energy Inputs'!$E$58*$BX$109</f>
        <v>87.5</v>
      </c>
      <c r="BY118" s="197">
        <f t="shared" si="363"/>
        <v>1097.25</v>
      </c>
      <c r="BZ118" s="197">
        <f>'Margins summary'!$S$14</f>
        <v>330</v>
      </c>
      <c r="CA118" s="197">
        <f t="shared" si="340"/>
        <v>1427.25</v>
      </c>
      <c r="CB118" s="197"/>
      <c r="CC118" s="918">
        <f>'Energy NPV'!U44</f>
        <v>423.52324399999998</v>
      </c>
      <c r="CD118" s="197"/>
      <c r="CE118" s="197">
        <f t="shared" si="341"/>
        <v>423.52324399999998</v>
      </c>
      <c r="CF118" s="197">
        <f t="shared" si="309"/>
        <v>673.72675600000002</v>
      </c>
      <c r="CG118" s="197">
        <f t="shared" si="310"/>
        <v>1003.726756</v>
      </c>
      <c r="CH118" s="196">
        <f t="shared" si="342"/>
        <v>946.49748866552409</v>
      </c>
      <c r="CI118" s="197">
        <f t="shared" si="343"/>
        <v>284.66089884677416</v>
      </c>
      <c r="CJ118" s="197">
        <f t="shared" si="344"/>
        <v>365.33487066527772</v>
      </c>
      <c r="CK118" s="197">
        <f t="shared" si="345"/>
        <v>581.16261800024631</v>
      </c>
      <c r="CL118" s="199">
        <f t="shared" si="346"/>
        <v>865.82351684702053</v>
      </c>
      <c r="CM118" s="196">
        <f t="shared" si="364"/>
        <v>4226.9598304818446</v>
      </c>
      <c r="CN118" s="197">
        <f t="shared" si="347"/>
        <v>1841.3033717741962</v>
      </c>
      <c r="CO118" s="197">
        <f t="shared" si="347"/>
        <v>4411.3064303137244</v>
      </c>
      <c r="CP118" s="197">
        <f t="shared" si="347"/>
        <v>-184.3465998318801</v>
      </c>
      <c r="CQ118" s="199">
        <f t="shared" si="347"/>
        <v>1656.9567719423162</v>
      </c>
      <c r="CT118" s="204">
        <f t="shared" si="365"/>
        <v>6</v>
      </c>
      <c r="CU118" s="760">
        <f t="shared" si="348"/>
        <v>12.54</v>
      </c>
      <c r="CV118" s="197">
        <f>'Energy Inputs'!$E$58*$CV$109</f>
        <v>0</v>
      </c>
      <c r="CW118" s="197">
        <f t="shared" si="366"/>
        <v>0</v>
      </c>
      <c r="CX118" s="197">
        <f>'Margins summary'!$S$14</f>
        <v>330</v>
      </c>
      <c r="CY118" s="197">
        <f t="shared" si="349"/>
        <v>330</v>
      </c>
      <c r="CZ118" s="197"/>
      <c r="DA118" s="918">
        <f>'Energy NPV'!U44</f>
        <v>423.52324399999998</v>
      </c>
      <c r="DB118" s="197"/>
      <c r="DC118" s="197">
        <f t="shared" si="350"/>
        <v>423.52324399999998</v>
      </c>
      <c r="DD118" s="197">
        <f t="shared" si="311"/>
        <v>-423.52324399999998</v>
      </c>
      <c r="DE118" s="197">
        <f t="shared" si="312"/>
        <v>-93.523243999999977</v>
      </c>
      <c r="DF118" s="196">
        <f t="shared" si="351"/>
        <v>0</v>
      </c>
      <c r="DG118" s="197">
        <f t="shared" si="352"/>
        <v>284.66089884677416</v>
      </c>
      <c r="DH118" s="197">
        <f t="shared" si="353"/>
        <v>365.33487066527772</v>
      </c>
      <c r="DI118" s="197">
        <f t="shared" si="354"/>
        <v>-365.33487066527772</v>
      </c>
      <c r="DJ118" s="199">
        <f t="shared" si="355"/>
        <v>-80.673971818503546</v>
      </c>
      <c r="DK118" s="196">
        <f t="shared" si="367"/>
        <v>0</v>
      </c>
      <c r="DL118" s="197">
        <f t="shared" si="356"/>
        <v>1841.3033717741962</v>
      </c>
      <c r="DM118" s="197">
        <f t="shared" si="356"/>
        <v>4411.3064303137244</v>
      </c>
      <c r="DN118" s="197">
        <f t="shared" si="356"/>
        <v>-4411.3064303137244</v>
      </c>
      <c r="DO118" s="199">
        <f t="shared" si="356"/>
        <v>-2570.003058539528</v>
      </c>
    </row>
    <row r="119" spans="2:119" x14ac:dyDescent="0.3">
      <c r="B119" s="900">
        <v>7</v>
      </c>
      <c r="C119" s="760">
        <f>'Energy NPV'!$D45</f>
        <v>12.54</v>
      </c>
      <c r="D119" s="197">
        <f>'Energy Inputs'!$E$58*$E$109</f>
        <v>43.75</v>
      </c>
      <c r="E119" s="197">
        <f t="shared" si="357"/>
        <v>548.625</v>
      </c>
      <c r="F119" s="197">
        <f>'Margins summary'!$S$14</f>
        <v>330</v>
      </c>
      <c r="G119" s="197">
        <f t="shared" si="313"/>
        <v>878.625</v>
      </c>
      <c r="H119" s="197"/>
      <c r="I119" s="918">
        <f>'Energy NPV'!U45</f>
        <v>423.52324399999998</v>
      </c>
      <c r="J119" s="197"/>
      <c r="K119" s="197">
        <f t="shared" si="314"/>
        <v>423.52324399999998</v>
      </c>
      <c r="L119" s="197">
        <f t="shared" si="303"/>
        <v>125.10175600000002</v>
      </c>
      <c r="M119" s="197">
        <f t="shared" si="304"/>
        <v>455.10175600000002</v>
      </c>
      <c r="N119" s="196">
        <f t="shared" si="315"/>
        <v>459.46480032306988</v>
      </c>
      <c r="O119" s="197">
        <f t="shared" si="316"/>
        <v>276.36980470560593</v>
      </c>
      <c r="P119" s="197">
        <f t="shared" si="317"/>
        <v>354.69404918958998</v>
      </c>
      <c r="Q119" s="197">
        <f t="shared" si="318"/>
        <v>104.77075113347992</v>
      </c>
      <c r="R119" s="199">
        <f t="shared" si="319"/>
        <v>381.14055583908589</v>
      </c>
      <c r="S119" s="196">
        <f t="shared" si="358"/>
        <v>2572.9447155639923</v>
      </c>
      <c r="T119" s="197">
        <f t="shared" si="320"/>
        <v>2117.6731764798024</v>
      </c>
      <c r="U119" s="197">
        <f t="shared" si="320"/>
        <v>4766.0004795033146</v>
      </c>
      <c r="V119" s="197">
        <f t="shared" si="320"/>
        <v>-2193.0557639393219</v>
      </c>
      <c r="W119" s="199">
        <f t="shared" si="320"/>
        <v>-75.382587459520209</v>
      </c>
      <c r="X119" s="197"/>
      <c r="Z119" s="900">
        <v>7</v>
      </c>
      <c r="AA119" s="760">
        <f t="shared" si="321"/>
        <v>12.54</v>
      </c>
      <c r="AB119" s="197">
        <f>'Energy Inputs'!$E$58*$AB$109</f>
        <v>65.625</v>
      </c>
      <c r="AC119" s="197">
        <f t="shared" si="359"/>
        <v>822.9375</v>
      </c>
      <c r="AD119" s="197">
        <f>'Margins summary'!$S$14</f>
        <v>330</v>
      </c>
      <c r="AE119" s="197">
        <f t="shared" si="322"/>
        <v>1152.9375</v>
      </c>
      <c r="AF119" s="197"/>
      <c r="AG119" s="918">
        <f>'Energy NPV'!U45</f>
        <v>423.52324399999998</v>
      </c>
      <c r="AH119" s="197"/>
      <c r="AI119" s="197">
        <f t="shared" si="323"/>
        <v>423.52324399999998</v>
      </c>
      <c r="AJ119" s="197">
        <f t="shared" si="305"/>
        <v>399.41425600000002</v>
      </c>
      <c r="AK119" s="197">
        <f t="shared" si="306"/>
        <v>729.41425600000002</v>
      </c>
      <c r="AL119" s="196">
        <f t="shared" si="324"/>
        <v>689.19720048460488</v>
      </c>
      <c r="AM119" s="197">
        <f t="shared" si="325"/>
        <v>276.36980470560593</v>
      </c>
      <c r="AN119" s="197">
        <f t="shared" si="326"/>
        <v>354.69404918958998</v>
      </c>
      <c r="AO119" s="197">
        <f t="shared" si="327"/>
        <v>334.5031512950149</v>
      </c>
      <c r="AP119" s="199">
        <f t="shared" si="328"/>
        <v>610.87295600062089</v>
      </c>
      <c r="AQ119" s="196">
        <f t="shared" si="360"/>
        <v>3859.4170733459882</v>
      </c>
      <c r="AR119" s="197">
        <f t="shared" si="329"/>
        <v>2117.6731764798024</v>
      </c>
      <c r="AS119" s="197">
        <f t="shared" si="329"/>
        <v>4766.0004795033146</v>
      </c>
      <c r="AT119" s="197">
        <f t="shared" si="329"/>
        <v>-906.58340615732595</v>
      </c>
      <c r="AU119" s="199">
        <f t="shared" si="329"/>
        <v>1211.0897703224759</v>
      </c>
      <c r="AV119" s="197"/>
      <c r="AX119" s="900">
        <v>7</v>
      </c>
      <c r="AY119" s="760">
        <f t="shared" si="330"/>
        <v>12.54</v>
      </c>
      <c r="AZ119" s="197">
        <f>'Energy Inputs'!$E$58*$AZ$109</f>
        <v>21.875</v>
      </c>
      <c r="BA119" s="197">
        <f t="shared" si="361"/>
        <v>274.3125</v>
      </c>
      <c r="BB119" s="197">
        <f>'Margins summary'!$S$14</f>
        <v>330</v>
      </c>
      <c r="BC119" s="197">
        <f t="shared" si="331"/>
        <v>604.3125</v>
      </c>
      <c r="BD119" s="197"/>
      <c r="BE119" s="918">
        <f>'Energy NPV'!U45</f>
        <v>423.52324399999998</v>
      </c>
      <c r="BF119" s="197"/>
      <c r="BG119" s="197">
        <f t="shared" si="332"/>
        <v>423.52324399999998</v>
      </c>
      <c r="BH119" s="197">
        <f t="shared" si="307"/>
        <v>-149.21074399999998</v>
      </c>
      <c r="BI119" s="197">
        <f t="shared" si="308"/>
        <v>180.78925600000002</v>
      </c>
      <c r="BJ119" s="196">
        <f t="shared" si="333"/>
        <v>229.73240016153494</v>
      </c>
      <c r="BK119" s="197">
        <f t="shared" si="334"/>
        <v>276.36980470560593</v>
      </c>
      <c r="BL119" s="197">
        <f t="shared" si="335"/>
        <v>354.69404918958998</v>
      </c>
      <c r="BM119" s="197">
        <f t="shared" si="336"/>
        <v>-124.96164902805504</v>
      </c>
      <c r="BN119" s="199">
        <f t="shared" si="337"/>
        <v>151.40815567755092</v>
      </c>
      <c r="BO119" s="196">
        <f t="shared" si="362"/>
        <v>1286.4723577819962</v>
      </c>
      <c r="BP119" s="197">
        <f t="shared" si="338"/>
        <v>2117.6731764798024</v>
      </c>
      <c r="BQ119" s="197">
        <f t="shared" si="338"/>
        <v>4766.0004795033146</v>
      </c>
      <c r="BR119" s="197">
        <f t="shared" si="338"/>
        <v>-3479.5281217213183</v>
      </c>
      <c r="BS119" s="199">
        <f t="shared" si="338"/>
        <v>-1361.8549452415164</v>
      </c>
      <c r="BV119" s="900">
        <v>7</v>
      </c>
      <c r="BW119" s="760">
        <f t="shared" si="339"/>
        <v>12.54</v>
      </c>
      <c r="BX119" s="197">
        <f>'Energy Inputs'!$E$58*$BX$109</f>
        <v>87.5</v>
      </c>
      <c r="BY119" s="197">
        <f t="shared" si="363"/>
        <v>1097.25</v>
      </c>
      <c r="BZ119" s="197">
        <f>'Margins summary'!$S$14</f>
        <v>330</v>
      </c>
      <c r="CA119" s="197">
        <f t="shared" si="340"/>
        <v>1427.25</v>
      </c>
      <c r="CB119" s="197"/>
      <c r="CC119" s="918">
        <f>'Energy NPV'!U45</f>
        <v>423.52324399999998</v>
      </c>
      <c r="CD119" s="197"/>
      <c r="CE119" s="197">
        <f t="shared" si="341"/>
        <v>423.52324399999998</v>
      </c>
      <c r="CF119" s="197">
        <f t="shared" si="309"/>
        <v>673.72675600000002</v>
      </c>
      <c r="CG119" s="197">
        <f t="shared" si="310"/>
        <v>1003.726756</v>
      </c>
      <c r="CH119" s="196">
        <f t="shared" si="342"/>
        <v>918.92960064613976</v>
      </c>
      <c r="CI119" s="197">
        <f t="shared" si="343"/>
        <v>276.36980470560593</v>
      </c>
      <c r="CJ119" s="197">
        <f t="shared" si="344"/>
        <v>354.69404918958998</v>
      </c>
      <c r="CK119" s="197">
        <f t="shared" si="345"/>
        <v>564.23555145654984</v>
      </c>
      <c r="CL119" s="199">
        <f t="shared" si="346"/>
        <v>840.60535616215577</v>
      </c>
      <c r="CM119" s="196">
        <f t="shared" si="364"/>
        <v>5145.8894311279846</v>
      </c>
      <c r="CN119" s="197">
        <f t="shared" si="347"/>
        <v>2117.6731764798024</v>
      </c>
      <c r="CO119" s="197">
        <f t="shared" si="347"/>
        <v>4766.0004795033146</v>
      </c>
      <c r="CP119" s="197">
        <f t="shared" si="347"/>
        <v>379.88895162466974</v>
      </c>
      <c r="CQ119" s="199">
        <f t="shared" si="347"/>
        <v>2497.5621281044719</v>
      </c>
      <c r="CT119" s="204">
        <f t="shared" si="365"/>
        <v>7</v>
      </c>
      <c r="CU119" s="760">
        <f t="shared" si="348"/>
        <v>12.54</v>
      </c>
      <c r="CV119" s="197">
        <f>'Energy Inputs'!$E$58*$CV$109</f>
        <v>0</v>
      </c>
      <c r="CW119" s="197">
        <f t="shared" si="366"/>
        <v>0</v>
      </c>
      <c r="CX119" s="197">
        <f>'Margins summary'!$S$14</f>
        <v>330</v>
      </c>
      <c r="CY119" s="197">
        <f t="shared" si="349"/>
        <v>330</v>
      </c>
      <c r="CZ119" s="197"/>
      <c r="DA119" s="918">
        <f>'Energy NPV'!U45</f>
        <v>423.52324399999998</v>
      </c>
      <c r="DB119" s="197"/>
      <c r="DC119" s="197">
        <f t="shared" si="350"/>
        <v>423.52324399999998</v>
      </c>
      <c r="DD119" s="197">
        <f t="shared" si="311"/>
        <v>-423.52324399999998</v>
      </c>
      <c r="DE119" s="197">
        <f t="shared" si="312"/>
        <v>-93.523243999999977</v>
      </c>
      <c r="DF119" s="196">
        <f t="shared" si="351"/>
        <v>0</v>
      </c>
      <c r="DG119" s="197">
        <f t="shared" si="352"/>
        <v>276.36980470560593</v>
      </c>
      <c r="DH119" s="197">
        <f t="shared" si="353"/>
        <v>354.69404918958998</v>
      </c>
      <c r="DI119" s="197">
        <f t="shared" si="354"/>
        <v>-354.69404918958998</v>
      </c>
      <c r="DJ119" s="199">
        <f t="shared" si="355"/>
        <v>-78.324244483984018</v>
      </c>
      <c r="DK119" s="196">
        <f t="shared" si="367"/>
        <v>0</v>
      </c>
      <c r="DL119" s="197">
        <f t="shared" si="356"/>
        <v>2117.6731764798024</v>
      </c>
      <c r="DM119" s="197">
        <f t="shared" si="356"/>
        <v>4766.0004795033146</v>
      </c>
      <c r="DN119" s="197">
        <f t="shared" si="356"/>
        <v>-4766.0004795033146</v>
      </c>
      <c r="DO119" s="199">
        <f t="shared" si="356"/>
        <v>-2648.3273030235118</v>
      </c>
    </row>
    <row r="120" spans="2:119" x14ac:dyDescent="0.3">
      <c r="B120" s="900">
        <v>8</v>
      </c>
      <c r="C120" s="760">
        <f>'Energy NPV'!$D46</f>
        <v>12.54</v>
      </c>
      <c r="D120" s="197">
        <f>'Energy Inputs'!$E$58*$E$109</f>
        <v>43.75</v>
      </c>
      <c r="E120" s="197">
        <f t="shared" si="357"/>
        <v>548.625</v>
      </c>
      <c r="F120" s="197">
        <f>'Margins summary'!$S$14</f>
        <v>330</v>
      </c>
      <c r="G120" s="197">
        <f t="shared" si="313"/>
        <v>878.625</v>
      </c>
      <c r="H120" s="197"/>
      <c r="I120" s="918">
        <f>'Energy NPV'!U46</f>
        <v>423.52324399999998</v>
      </c>
      <c r="J120" s="197"/>
      <c r="K120" s="197">
        <f t="shared" si="314"/>
        <v>423.52324399999998</v>
      </c>
      <c r="L120" s="197">
        <f t="shared" si="303"/>
        <v>125.10175600000002</v>
      </c>
      <c r="M120" s="197">
        <f t="shared" si="304"/>
        <v>455.10175600000002</v>
      </c>
      <c r="N120" s="196">
        <f t="shared" si="315"/>
        <v>446.08233041074743</v>
      </c>
      <c r="O120" s="197">
        <f t="shared" si="316"/>
        <v>268.32019874330672</v>
      </c>
      <c r="P120" s="197">
        <f t="shared" si="317"/>
        <v>344.36315455299996</v>
      </c>
      <c r="Q120" s="197">
        <f t="shared" si="318"/>
        <v>101.71917585774749</v>
      </c>
      <c r="R120" s="199">
        <f t="shared" si="319"/>
        <v>370.03937460105425</v>
      </c>
      <c r="S120" s="196">
        <f t="shared" si="358"/>
        <v>3019.0270459747398</v>
      </c>
      <c r="T120" s="197">
        <f t="shared" si="320"/>
        <v>2385.9933752231091</v>
      </c>
      <c r="U120" s="197">
        <f t="shared" si="320"/>
        <v>5110.3636340563144</v>
      </c>
      <c r="V120" s="197">
        <f t="shared" si="320"/>
        <v>-2091.3365880815745</v>
      </c>
      <c r="W120" s="199">
        <f t="shared" si="320"/>
        <v>294.65678714153404</v>
      </c>
      <c r="X120" s="197"/>
      <c r="Z120" s="900">
        <v>8</v>
      </c>
      <c r="AA120" s="760">
        <f t="shared" si="321"/>
        <v>12.54</v>
      </c>
      <c r="AB120" s="197">
        <f>'Energy Inputs'!$E$58*$AB$109</f>
        <v>65.625</v>
      </c>
      <c r="AC120" s="197">
        <f t="shared" si="359"/>
        <v>822.9375</v>
      </c>
      <c r="AD120" s="197">
        <f>'Margins summary'!$S$14</f>
        <v>330</v>
      </c>
      <c r="AE120" s="197">
        <f t="shared" si="322"/>
        <v>1152.9375</v>
      </c>
      <c r="AF120" s="197"/>
      <c r="AG120" s="918">
        <f>'Energy NPV'!U46</f>
        <v>423.52324399999998</v>
      </c>
      <c r="AH120" s="197"/>
      <c r="AI120" s="197">
        <f t="shared" si="323"/>
        <v>423.52324399999998</v>
      </c>
      <c r="AJ120" s="197">
        <f t="shared" si="305"/>
        <v>399.41425600000002</v>
      </c>
      <c r="AK120" s="197">
        <f t="shared" si="306"/>
        <v>729.41425600000002</v>
      </c>
      <c r="AL120" s="196">
        <f t="shared" si="324"/>
        <v>669.1234956161212</v>
      </c>
      <c r="AM120" s="197">
        <f t="shared" si="325"/>
        <v>268.32019874330672</v>
      </c>
      <c r="AN120" s="197">
        <f t="shared" si="326"/>
        <v>344.36315455299996</v>
      </c>
      <c r="AO120" s="197">
        <f t="shared" si="327"/>
        <v>324.76034106312125</v>
      </c>
      <c r="AP120" s="199">
        <f t="shared" si="328"/>
        <v>593.08053980642796</v>
      </c>
      <c r="AQ120" s="196">
        <f t="shared" si="360"/>
        <v>4528.5405689621093</v>
      </c>
      <c r="AR120" s="197">
        <f t="shared" si="329"/>
        <v>2385.9933752231091</v>
      </c>
      <c r="AS120" s="197">
        <f t="shared" si="329"/>
        <v>5110.3636340563144</v>
      </c>
      <c r="AT120" s="197">
        <f t="shared" si="329"/>
        <v>-581.82306509420471</v>
      </c>
      <c r="AU120" s="199">
        <f t="shared" si="329"/>
        <v>1804.170310128904</v>
      </c>
      <c r="AV120" s="197"/>
      <c r="AX120" s="900">
        <v>8</v>
      </c>
      <c r="AY120" s="760">
        <f t="shared" si="330"/>
        <v>12.54</v>
      </c>
      <c r="AZ120" s="197">
        <f>'Energy Inputs'!$E$58*$AZ$109</f>
        <v>21.875</v>
      </c>
      <c r="BA120" s="197">
        <f t="shared" si="361"/>
        <v>274.3125</v>
      </c>
      <c r="BB120" s="197">
        <f>'Margins summary'!$S$14</f>
        <v>330</v>
      </c>
      <c r="BC120" s="197">
        <f t="shared" si="331"/>
        <v>604.3125</v>
      </c>
      <c r="BD120" s="197"/>
      <c r="BE120" s="918">
        <f>'Energy NPV'!U46</f>
        <v>423.52324399999998</v>
      </c>
      <c r="BF120" s="197"/>
      <c r="BG120" s="197">
        <f t="shared" si="332"/>
        <v>423.52324399999998</v>
      </c>
      <c r="BH120" s="197">
        <f t="shared" si="307"/>
        <v>-149.21074399999998</v>
      </c>
      <c r="BI120" s="197">
        <f t="shared" si="308"/>
        <v>180.78925600000002</v>
      </c>
      <c r="BJ120" s="196">
        <f t="shared" si="333"/>
        <v>223.04116520537372</v>
      </c>
      <c r="BK120" s="197">
        <f t="shared" si="334"/>
        <v>268.32019874330672</v>
      </c>
      <c r="BL120" s="197">
        <f t="shared" si="335"/>
        <v>344.36315455299996</v>
      </c>
      <c r="BM120" s="197">
        <f t="shared" si="336"/>
        <v>-121.32198934762623</v>
      </c>
      <c r="BN120" s="199">
        <f t="shared" si="337"/>
        <v>146.9982093956805</v>
      </c>
      <c r="BO120" s="196">
        <f t="shared" si="362"/>
        <v>1509.5135229873699</v>
      </c>
      <c r="BP120" s="197">
        <f t="shared" si="338"/>
        <v>2385.9933752231091</v>
      </c>
      <c r="BQ120" s="197">
        <f t="shared" si="338"/>
        <v>5110.3636340563144</v>
      </c>
      <c r="BR120" s="197">
        <f t="shared" si="338"/>
        <v>-3600.8501110689444</v>
      </c>
      <c r="BS120" s="199">
        <f t="shared" si="338"/>
        <v>-1214.8567358458358</v>
      </c>
      <c r="BV120" s="900">
        <v>8</v>
      </c>
      <c r="BW120" s="760">
        <f t="shared" si="339"/>
        <v>12.54</v>
      </c>
      <c r="BX120" s="197">
        <f>'Energy Inputs'!$E$58*$BX$109</f>
        <v>87.5</v>
      </c>
      <c r="BY120" s="197">
        <f t="shared" si="363"/>
        <v>1097.25</v>
      </c>
      <c r="BZ120" s="197">
        <f>'Margins summary'!$S$14</f>
        <v>330</v>
      </c>
      <c r="CA120" s="197">
        <f t="shared" si="340"/>
        <v>1427.25</v>
      </c>
      <c r="CB120" s="197"/>
      <c r="CC120" s="918">
        <f>'Energy NPV'!U46</f>
        <v>423.52324399999998</v>
      </c>
      <c r="CD120" s="197"/>
      <c r="CE120" s="197">
        <f t="shared" si="341"/>
        <v>423.52324399999998</v>
      </c>
      <c r="CF120" s="197">
        <f t="shared" si="309"/>
        <v>673.72675600000002</v>
      </c>
      <c r="CG120" s="197">
        <f t="shared" si="310"/>
        <v>1003.726756</v>
      </c>
      <c r="CH120" s="196">
        <f t="shared" si="342"/>
        <v>892.16466082149486</v>
      </c>
      <c r="CI120" s="197">
        <f t="shared" si="343"/>
        <v>268.32019874330672</v>
      </c>
      <c r="CJ120" s="197">
        <f t="shared" si="344"/>
        <v>344.36315455299996</v>
      </c>
      <c r="CK120" s="197">
        <f t="shared" si="345"/>
        <v>547.8015062684949</v>
      </c>
      <c r="CL120" s="199">
        <f t="shared" si="346"/>
        <v>816.12170501180174</v>
      </c>
      <c r="CM120" s="196">
        <f t="shared" si="364"/>
        <v>6038.0540919494797</v>
      </c>
      <c r="CN120" s="197">
        <f t="shared" si="347"/>
        <v>2385.9933752231091</v>
      </c>
      <c r="CO120" s="197">
        <f t="shared" si="347"/>
        <v>5110.3636340563144</v>
      </c>
      <c r="CP120" s="197">
        <f t="shared" si="347"/>
        <v>927.69045789316465</v>
      </c>
      <c r="CQ120" s="199">
        <f t="shared" si="347"/>
        <v>3313.6838331162735</v>
      </c>
      <c r="CT120" s="204">
        <f t="shared" si="365"/>
        <v>8</v>
      </c>
      <c r="CU120" s="760">
        <f t="shared" si="348"/>
        <v>12.54</v>
      </c>
      <c r="CV120" s="197">
        <f>'Energy Inputs'!$E$58*$CV$109</f>
        <v>0</v>
      </c>
      <c r="CW120" s="197">
        <f t="shared" si="366"/>
        <v>0</v>
      </c>
      <c r="CX120" s="197">
        <f>'Margins summary'!$S$14</f>
        <v>330</v>
      </c>
      <c r="CY120" s="197">
        <f t="shared" si="349"/>
        <v>330</v>
      </c>
      <c r="CZ120" s="197"/>
      <c r="DA120" s="918">
        <f>'Energy NPV'!U46</f>
        <v>423.52324399999998</v>
      </c>
      <c r="DB120" s="197"/>
      <c r="DC120" s="197">
        <f t="shared" si="350"/>
        <v>423.52324399999998</v>
      </c>
      <c r="DD120" s="197">
        <f t="shared" si="311"/>
        <v>-423.52324399999998</v>
      </c>
      <c r="DE120" s="197">
        <f t="shared" si="312"/>
        <v>-93.523243999999977</v>
      </c>
      <c r="DF120" s="196">
        <f t="shared" si="351"/>
        <v>0</v>
      </c>
      <c r="DG120" s="197">
        <f t="shared" si="352"/>
        <v>268.32019874330672</v>
      </c>
      <c r="DH120" s="197">
        <f t="shared" si="353"/>
        <v>344.36315455299996</v>
      </c>
      <c r="DI120" s="197">
        <f t="shared" si="354"/>
        <v>-344.36315455299996</v>
      </c>
      <c r="DJ120" s="199">
        <f t="shared" si="355"/>
        <v>-76.042955809693225</v>
      </c>
      <c r="DK120" s="196">
        <f t="shared" si="367"/>
        <v>0</v>
      </c>
      <c r="DL120" s="197">
        <f t="shared" si="356"/>
        <v>2385.9933752231091</v>
      </c>
      <c r="DM120" s="197">
        <f t="shared" si="356"/>
        <v>5110.3636340563144</v>
      </c>
      <c r="DN120" s="197">
        <f t="shared" si="356"/>
        <v>-5110.3636340563144</v>
      </c>
      <c r="DO120" s="199">
        <f t="shared" si="356"/>
        <v>-2724.3702588332048</v>
      </c>
    </row>
    <row r="121" spans="2:119" x14ac:dyDescent="0.3">
      <c r="B121" s="900">
        <v>9</v>
      </c>
      <c r="C121" s="760">
        <f>'Energy NPV'!$D47</f>
        <v>12.54</v>
      </c>
      <c r="D121" s="197">
        <f>'Energy Inputs'!$E$58*$E$109</f>
        <v>43.75</v>
      </c>
      <c r="E121" s="197">
        <f t="shared" si="357"/>
        <v>548.625</v>
      </c>
      <c r="F121" s="197">
        <f>'Margins summary'!$S$14</f>
        <v>330</v>
      </c>
      <c r="G121" s="197">
        <f t="shared" si="313"/>
        <v>878.625</v>
      </c>
      <c r="H121" s="197"/>
      <c r="I121" s="918">
        <f>'Energy NPV'!U47</f>
        <v>423.52324399999998</v>
      </c>
      <c r="J121" s="197"/>
      <c r="K121" s="197">
        <f t="shared" si="314"/>
        <v>423.52324399999998</v>
      </c>
      <c r="L121" s="197">
        <f t="shared" si="303"/>
        <v>125.10175600000002</v>
      </c>
      <c r="M121" s="197">
        <f t="shared" si="304"/>
        <v>455.10175600000002</v>
      </c>
      <c r="N121" s="196">
        <f t="shared" si="315"/>
        <v>433.089641175483</v>
      </c>
      <c r="O121" s="197">
        <f t="shared" si="316"/>
        <v>260.50504732359883</v>
      </c>
      <c r="P121" s="197">
        <f t="shared" si="317"/>
        <v>334.33315976019418</v>
      </c>
      <c r="Q121" s="197">
        <f t="shared" si="318"/>
        <v>98.756481415288846</v>
      </c>
      <c r="R121" s="199">
        <f t="shared" si="319"/>
        <v>359.26152873888765</v>
      </c>
      <c r="S121" s="196">
        <f t="shared" si="358"/>
        <v>3452.1166871502228</v>
      </c>
      <c r="T121" s="197">
        <f t="shared" si="320"/>
        <v>2646.4984225467078</v>
      </c>
      <c r="U121" s="197">
        <f t="shared" si="320"/>
        <v>5444.6967938165089</v>
      </c>
      <c r="V121" s="197">
        <f t="shared" si="320"/>
        <v>-1992.5801066662857</v>
      </c>
      <c r="W121" s="199">
        <f t="shared" si="320"/>
        <v>653.91831588042169</v>
      </c>
      <c r="X121" s="197"/>
      <c r="Z121" s="900">
        <v>9</v>
      </c>
      <c r="AA121" s="760">
        <f t="shared" si="321"/>
        <v>12.54</v>
      </c>
      <c r="AB121" s="197">
        <f>'Energy Inputs'!$E$58*$AB$109</f>
        <v>65.625</v>
      </c>
      <c r="AC121" s="197">
        <f t="shared" si="359"/>
        <v>822.9375</v>
      </c>
      <c r="AD121" s="197">
        <f>'Margins summary'!$S$14</f>
        <v>330</v>
      </c>
      <c r="AE121" s="197">
        <f t="shared" si="322"/>
        <v>1152.9375</v>
      </c>
      <c r="AF121" s="197"/>
      <c r="AG121" s="918">
        <f>'Energy NPV'!U47</f>
        <v>423.52324399999998</v>
      </c>
      <c r="AH121" s="197"/>
      <c r="AI121" s="197">
        <f t="shared" si="323"/>
        <v>423.52324399999998</v>
      </c>
      <c r="AJ121" s="197">
        <f t="shared" si="305"/>
        <v>399.41425600000002</v>
      </c>
      <c r="AK121" s="197">
        <f t="shared" si="306"/>
        <v>729.41425600000002</v>
      </c>
      <c r="AL121" s="196">
        <f t="shared" si="324"/>
        <v>649.63446176322452</v>
      </c>
      <c r="AM121" s="197">
        <f t="shared" si="325"/>
        <v>260.50504732359883</v>
      </c>
      <c r="AN121" s="197">
        <f t="shared" si="326"/>
        <v>334.33315976019418</v>
      </c>
      <c r="AO121" s="197">
        <f t="shared" si="327"/>
        <v>315.30130200303034</v>
      </c>
      <c r="AP121" s="199">
        <f t="shared" si="328"/>
        <v>575.80634932662917</v>
      </c>
      <c r="AQ121" s="196">
        <f t="shared" si="360"/>
        <v>5178.1750307253342</v>
      </c>
      <c r="AR121" s="197">
        <f t="shared" si="329"/>
        <v>2646.4984225467078</v>
      </c>
      <c r="AS121" s="197">
        <f t="shared" si="329"/>
        <v>5444.6967938165089</v>
      </c>
      <c r="AT121" s="197">
        <f t="shared" si="329"/>
        <v>-266.52176309117436</v>
      </c>
      <c r="AU121" s="199">
        <f t="shared" si="329"/>
        <v>2379.9766594555331</v>
      </c>
      <c r="AV121" s="197"/>
      <c r="AX121" s="900">
        <v>9</v>
      </c>
      <c r="AY121" s="760">
        <f t="shared" si="330"/>
        <v>12.54</v>
      </c>
      <c r="AZ121" s="197">
        <f>'Energy Inputs'!$E$58*$AZ$109</f>
        <v>21.875</v>
      </c>
      <c r="BA121" s="197">
        <f t="shared" si="361"/>
        <v>274.3125</v>
      </c>
      <c r="BB121" s="197">
        <f>'Margins summary'!$S$14</f>
        <v>330</v>
      </c>
      <c r="BC121" s="197">
        <f t="shared" si="331"/>
        <v>604.3125</v>
      </c>
      <c r="BD121" s="197"/>
      <c r="BE121" s="918">
        <f>'Energy NPV'!U47</f>
        <v>423.52324399999998</v>
      </c>
      <c r="BF121" s="197"/>
      <c r="BG121" s="197">
        <f t="shared" si="332"/>
        <v>423.52324399999998</v>
      </c>
      <c r="BH121" s="197">
        <f t="shared" si="307"/>
        <v>-149.21074399999998</v>
      </c>
      <c r="BI121" s="197">
        <f t="shared" si="308"/>
        <v>180.78925600000002</v>
      </c>
      <c r="BJ121" s="196">
        <f t="shared" si="333"/>
        <v>216.5448205877415</v>
      </c>
      <c r="BK121" s="197">
        <f t="shared" si="334"/>
        <v>260.50504732359883</v>
      </c>
      <c r="BL121" s="197">
        <f t="shared" si="335"/>
        <v>334.33315976019418</v>
      </c>
      <c r="BM121" s="197">
        <f t="shared" si="336"/>
        <v>-117.78833917245267</v>
      </c>
      <c r="BN121" s="199">
        <f t="shared" si="337"/>
        <v>142.71670815114615</v>
      </c>
      <c r="BO121" s="196">
        <f t="shared" si="362"/>
        <v>1726.0583435751114</v>
      </c>
      <c r="BP121" s="197">
        <f t="shared" si="338"/>
        <v>2646.4984225467078</v>
      </c>
      <c r="BQ121" s="197">
        <f t="shared" si="338"/>
        <v>5444.6967938165089</v>
      </c>
      <c r="BR121" s="197">
        <f t="shared" si="338"/>
        <v>-3718.6384502413971</v>
      </c>
      <c r="BS121" s="199">
        <f t="shared" si="338"/>
        <v>-1072.1400276946897</v>
      </c>
      <c r="BV121" s="900">
        <v>9</v>
      </c>
      <c r="BW121" s="760">
        <f t="shared" si="339"/>
        <v>12.54</v>
      </c>
      <c r="BX121" s="197">
        <f>'Energy Inputs'!$E$58*$BX$109</f>
        <v>87.5</v>
      </c>
      <c r="BY121" s="197">
        <f t="shared" si="363"/>
        <v>1097.25</v>
      </c>
      <c r="BZ121" s="197">
        <f>'Margins summary'!$S$14</f>
        <v>330</v>
      </c>
      <c r="CA121" s="197">
        <f t="shared" si="340"/>
        <v>1427.25</v>
      </c>
      <c r="CB121" s="197"/>
      <c r="CC121" s="918">
        <f>'Energy NPV'!U47</f>
        <v>423.52324399999998</v>
      </c>
      <c r="CD121" s="197"/>
      <c r="CE121" s="197">
        <f t="shared" si="341"/>
        <v>423.52324399999998</v>
      </c>
      <c r="CF121" s="197">
        <f t="shared" si="309"/>
        <v>673.72675600000002</v>
      </c>
      <c r="CG121" s="197">
        <f t="shared" si="310"/>
        <v>1003.726756</v>
      </c>
      <c r="CH121" s="196">
        <f t="shared" si="342"/>
        <v>866.17928235096599</v>
      </c>
      <c r="CI121" s="197">
        <f t="shared" si="343"/>
        <v>260.50504732359883</v>
      </c>
      <c r="CJ121" s="197">
        <f t="shared" si="344"/>
        <v>334.33315976019418</v>
      </c>
      <c r="CK121" s="197">
        <f t="shared" si="345"/>
        <v>531.84612259077187</v>
      </c>
      <c r="CL121" s="199">
        <f t="shared" si="346"/>
        <v>792.35116991437064</v>
      </c>
      <c r="CM121" s="196">
        <f t="shared" si="364"/>
        <v>6904.2333743004456</v>
      </c>
      <c r="CN121" s="197">
        <f t="shared" si="347"/>
        <v>2646.4984225467078</v>
      </c>
      <c r="CO121" s="197">
        <f t="shared" si="347"/>
        <v>5444.6967938165089</v>
      </c>
      <c r="CP121" s="197">
        <f t="shared" si="347"/>
        <v>1459.5365804839366</v>
      </c>
      <c r="CQ121" s="199">
        <f t="shared" si="347"/>
        <v>4106.0350030306445</v>
      </c>
      <c r="CT121" s="204">
        <f t="shared" si="365"/>
        <v>9</v>
      </c>
      <c r="CU121" s="760">
        <f t="shared" si="348"/>
        <v>12.54</v>
      </c>
      <c r="CV121" s="197">
        <f>'Energy Inputs'!$E$58*$CV$109</f>
        <v>0</v>
      </c>
      <c r="CW121" s="197">
        <f t="shared" si="366"/>
        <v>0</v>
      </c>
      <c r="CX121" s="197">
        <f>'Margins summary'!$S$14</f>
        <v>330</v>
      </c>
      <c r="CY121" s="197">
        <f t="shared" si="349"/>
        <v>330</v>
      </c>
      <c r="CZ121" s="197"/>
      <c r="DA121" s="918">
        <f>'Energy NPV'!U47</f>
        <v>423.52324399999998</v>
      </c>
      <c r="DB121" s="197"/>
      <c r="DC121" s="197">
        <f t="shared" si="350"/>
        <v>423.52324399999998</v>
      </c>
      <c r="DD121" s="197">
        <f t="shared" si="311"/>
        <v>-423.52324399999998</v>
      </c>
      <c r="DE121" s="197">
        <f t="shared" si="312"/>
        <v>-93.523243999999977</v>
      </c>
      <c r="DF121" s="196">
        <f t="shared" si="351"/>
        <v>0</v>
      </c>
      <c r="DG121" s="197">
        <f t="shared" si="352"/>
        <v>260.50504732359883</v>
      </c>
      <c r="DH121" s="197">
        <f t="shared" si="353"/>
        <v>334.33315976019418</v>
      </c>
      <c r="DI121" s="197">
        <f t="shared" si="354"/>
        <v>-334.33315976019418</v>
      </c>
      <c r="DJ121" s="199">
        <f t="shared" si="355"/>
        <v>-73.828112436595376</v>
      </c>
      <c r="DK121" s="196">
        <f t="shared" si="367"/>
        <v>0</v>
      </c>
      <c r="DL121" s="197">
        <f t="shared" si="356"/>
        <v>2646.4984225467078</v>
      </c>
      <c r="DM121" s="197">
        <f t="shared" si="356"/>
        <v>5444.6967938165089</v>
      </c>
      <c r="DN121" s="197">
        <f t="shared" si="356"/>
        <v>-5444.6967938165089</v>
      </c>
      <c r="DO121" s="199">
        <f t="shared" si="356"/>
        <v>-2798.1983712698002</v>
      </c>
    </row>
    <row r="122" spans="2:119" x14ac:dyDescent="0.3">
      <c r="B122" s="900">
        <v>10</v>
      </c>
      <c r="C122" s="760">
        <f>'Energy NPV'!$D48</f>
        <v>12.54</v>
      </c>
      <c r="D122" s="197">
        <f>'Energy Inputs'!$E$58*$E$109</f>
        <v>43.75</v>
      </c>
      <c r="E122" s="197">
        <f t="shared" si="357"/>
        <v>548.625</v>
      </c>
      <c r="F122" s="197">
        <f>'Margins summary'!$S$14</f>
        <v>330</v>
      </c>
      <c r="G122" s="197">
        <f t="shared" si="313"/>
        <v>878.625</v>
      </c>
      <c r="H122" s="197"/>
      <c r="I122" s="918">
        <f>'Energy NPV'!U48</f>
        <v>423.52324399999998</v>
      </c>
      <c r="J122" s="197"/>
      <c r="K122" s="197">
        <f t="shared" si="314"/>
        <v>423.52324399999998</v>
      </c>
      <c r="L122" s="197">
        <f t="shared" si="303"/>
        <v>125.10175600000002</v>
      </c>
      <c r="M122" s="197">
        <f t="shared" si="304"/>
        <v>455.10175600000002</v>
      </c>
      <c r="N122" s="196">
        <f t="shared" si="315"/>
        <v>420.47537978202234</v>
      </c>
      <c r="O122" s="197">
        <f t="shared" si="316"/>
        <v>252.91752167339689</v>
      </c>
      <c r="P122" s="197">
        <f t="shared" si="317"/>
        <v>324.59530073805257</v>
      </c>
      <c r="Q122" s="197">
        <f t="shared" si="318"/>
        <v>95.880079043969744</v>
      </c>
      <c r="R122" s="199">
        <f t="shared" si="319"/>
        <v>348.79760071736661</v>
      </c>
      <c r="S122" s="196">
        <f t="shared" si="358"/>
        <v>3872.592066932245</v>
      </c>
      <c r="T122" s="197">
        <f t="shared" si="320"/>
        <v>2899.4159442201048</v>
      </c>
      <c r="U122" s="197">
        <f t="shared" si="320"/>
        <v>5769.2920945545611</v>
      </c>
      <c r="V122" s="197">
        <f t="shared" si="320"/>
        <v>-1896.7000276223159</v>
      </c>
      <c r="W122" s="199">
        <f t="shared" si="320"/>
        <v>1002.7159165977882</v>
      </c>
      <c r="X122" s="197"/>
      <c r="Z122" s="900">
        <v>10</v>
      </c>
      <c r="AA122" s="760">
        <f t="shared" si="321"/>
        <v>12.54</v>
      </c>
      <c r="AB122" s="197">
        <f>'Energy Inputs'!$E$58*$AB$109</f>
        <v>65.625</v>
      </c>
      <c r="AC122" s="197">
        <f t="shared" si="359"/>
        <v>822.9375</v>
      </c>
      <c r="AD122" s="197">
        <f>'Margins summary'!$S$14</f>
        <v>330</v>
      </c>
      <c r="AE122" s="197">
        <f t="shared" si="322"/>
        <v>1152.9375</v>
      </c>
      <c r="AF122" s="197"/>
      <c r="AG122" s="918">
        <f>'Energy NPV'!U48</f>
        <v>423.52324399999998</v>
      </c>
      <c r="AH122" s="197"/>
      <c r="AI122" s="197">
        <f t="shared" si="323"/>
        <v>423.52324399999998</v>
      </c>
      <c r="AJ122" s="197">
        <f t="shared" si="305"/>
        <v>399.41425600000002</v>
      </c>
      <c r="AK122" s="197">
        <f t="shared" si="306"/>
        <v>729.41425600000002</v>
      </c>
      <c r="AL122" s="196">
        <f t="shared" si="324"/>
        <v>630.71306967303349</v>
      </c>
      <c r="AM122" s="197">
        <f t="shared" si="325"/>
        <v>252.91752167339689</v>
      </c>
      <c r="AN122" s="197">
        <f t="shared" si="326"/>
        <v>324.59530073805257</v>
      </c>
      <c r="AO122" s="197">
        <f t="shared" si="327"/>
        <v>306.11776893498092</v>
      </c>
      <c r="AP122" s="199">
        <f t="shared" si="328"/>
        <v>559.03529060837775</v>
      </c>
      <c r="AQ122" s="196">
        <f t="shared" si="360"/>
        <v>5808.8881003983679</v>
      </c>
      <c r="AR122" s="197">
        <f t="shared" si="329"/>
        <v>2899.4159442201048</v>
      </c>
      <c r="AS122" s="197">
        <f t="shared" si="329"/>
        <v>5769.2920945545611</v>
      </c>
      <c r="AT122" s="197">
        <f t="shared" si="329"/>
        <v>39.596005843806552</v>
      </c>
      <c r="AU122" s="199">
        <f t="shared" si="329"/>
        <v>2939.0119500639107</v>
      </c>
      <c r="AV122" s="197"/>
      <c r="AX122" s="900">
        <v>10</v>
      </c>
      <c r="AY122" s="760">
        <f t="shared" si="330"/>
        <v>12.54</v>
      </c>
      <c r="AZ122" s="197">
        <f>'Energy Inputs'!$E$58*$AZ$109</f>
        <v>21.875</v>
      </c>
      <c r="BA122" s="197">
        <f t="shared" si="361"/>
        <v>274.3125</v>
      </c>
      <c r="BB122" s="197">
        <f>'Margins summary'!$S$14</f>
        <v>330</v>
      </c>
      <c r="BC122" s="197">
        <f t="shared" si="331"/>
        <v>604.3125</v>
      </c>
      <c r="BD122" s="197"/>
      <c r="BE122" s="918">
        <f>'Energy NPV'!U48</f>
        <v>423.52324399999998</v>
      </c>
      <c r="BF122" s="197"/>
      <c r="BG122" s="197">
        <f t="shared" si="332"/>
        <v>423.52324399999998</v>
      </c>
      <c r="BH122" s="197">
        <f t="shared" si="307"/>
        <v>-149.21074399999998</v>
      </c>
      <c r="BI122" s="197">
        <f t="shared" si="308"/>
        <v>180.78925600000002</v>
      </c>
      <c r="BJ122" s="196">
        <f t="shared" si="333"/>
        <v>210.23768989101117</v>
      </c>
      <c r="BK122" s="197">
        <f t="shared" si="334"/>
        <v>252.91752167339689</v>
      </c>
      <c r="BL122" s="197">
        <f t="shared" si="335"/>
        <v>324.59530073805257</v>
      </c>
      <c r="BM122" s="197">
        <f t="shared" si="336"/>
        <v>-114.35761084704143</v>
      </c>
      <c r="BN122" s="199">
        <f t="shared" si="337"/>
        <v>138.55991082635546</v>
      </c>
      <c r="BO122" s="196">
        <f t="shared" si="362"/>
        <v>1936.2960334661225</v>
      </c>
      <c r="BP122" s="197">
        <f t="shared" si="338"/>
        <v>2899.4159442201048</v>
      </c>
      <c r="BQ122" s="197">
        <f t="shared" si="338"/>
        <v>5769.2920945545611</v>
      </c>
      <c r="BR122" s="197">
        <f t="shared" si="338"/>
        <v>-3832.9960610884386</v>
      </c>
      <c r="BS122" s="199">
        <f t="shared" si="338"/>
        <v>-933.58011686833424</v>
      </c>
      <c r="BV122" s="900">
        <v>10</v>
      </c>
      <c r="BW122" s="760">
        <f t="shared" si="339"/>
        <v>12.54</v>
      </c>
      <c r="BX122" s="197">
        <f>'Energy Inputs'!$E$58*$BX$109</f>
        <v>87.5</v>
      </c>
      <c r="BY122" s="197">
        <f t="shared" si="363"/>
        <v>1097.25</v>
      </c>
      <c r="BZ122" s="197">
        <f>'Margins summary'!$S$14</f>
        <v>330</v>
      </c>
      <c r="CA122" s="197">
        <f t="shared" si="340"/>
        <v>1427.25</v>
      </c>
      <c r="CB122" s="197"/>
      <c r="CC122" s="918">
        <f>'Energy NPV'!U48</f>
        <v>423.52324399999998</v>
      </c>
      <c r="CD122" s="197"/>
      <c r="CE122" s="197">
        <f t="shared" si="341"/>
        <v>423.52324399999998</v>
      </c>
      <c r="CF122" s="197">
        <f t="shared" si="309"/>
        <v>673.72675600000002</v>
      </c>
      <c r="CG122" s="197">
        <f t="shared" si="310"/>
        <v>1003.726756</v>
      </c>
      <c r="CH122" s="196">
        <f t="shared" si="342"/>
        <v>840.95075956404469</v>
      </c>
      <c r="CI122" s="197">
        <f t="shared" si="343"/>
        <v>252.91752167339689</v>
      </c>
      <c r="CJ122" s="197">
        <f t="shared" si="344"/>
        <v>324.59530073805257</v>
      </c>
      <c r="CK122" s="197">
        <f t="shared" si="345"/>
        <v>516.35545882599206</v>
      </c>
      <c r="CL122" s="199">
        <f t="shared" si="346"/>
        <v>769.27298049938895</v>
      </c>
      <c r="CM122" s="196">
        <f t="shared" si="364"/>
        <v>7745.1841338644899</v>
      </c>
      <c r="CN122" s="197">
        <f t="shared" si="347"/>
        <v>2899.4159442201048</v>
      </c>
      <c r="CO122" s="197">
        <f t="shared" si="347"/>
        <v>5769.2920945545611</v>
      </c>
      <c r="CP122" s="197">
        <f t="shared" si="347"/>
        <v>1975.8920393099288</v>
      </c>
      <c r="CQ122" s="199">
        <f t="shared" si="347"/>
        <v>4875.3079835300332</v>
      </c>
      <c r="CT122" s="204">
        <f t="shared" si="365"/>
        <v>10</v>
      </c>
      <c r="CU122" s="760">
        <f t="shared" si="348"/>
        <v>12.54</v>
      </c>
      <c r="CV122" s="197">
        <f>'Energy Inputs'!$E$58*$CV$109</f>
        <v>0</v>
      </c>
      <c r="CW122" s="197">
        <f t="shared" si="366"/>
        <v>0</v>
      </c>
      <c r="CX122" s="197">
        <f>'Margins summary'!$S$14</f>
        <v>330</v>
      </c>
      <c r="CY122" s="197">
        <f t="shared" si="349"/>
        <v>330</v>
      </c>
      <c r="CZ122" s="197"/>
      <c r="DA122" s="918">
        <f>'Energy NPV'!U48</f>
        <v>423.52324399999998</v>
      </c>
      <c r="DB122" s="197"/>
      <c r="DC122" s="197">
        <f t="shared" si="350"/>
        <v>423.52324399999998</v>
      </c>
      <c r="DD122" s="197">
        <f t="shared" si="311"/>
        <v>-423.52324399999998</v>
      </c>
      <c r="DE122" s="197">
        <f t="shared" si="312"/>
        <v>-93.523243999999977</v>
      </c>
      <c r="DF122" s="196">
        <f t="shared" si="351"/>
        <v>0</v>
      </c>
      <c r="DG122" s="197">
        <f t="shared" si="352"/>
        <v>252.91752167339689</v>
      </c>
      <c r="DH122" s="197">
        <f t="shared" si="353"/>
        <v>324.59530073805257</v>
      </c>
      <c r="DI122" s="197">
        <f t="shared" si="354"/>
        <v>-324.59530073805257</v>
      </c>
      <c r="DJ122" s="199">
        <f t="shared" si="355"/>
        <v>-71.677779064655695</v>
      </c>
      <c r="DK122" s="196">
        <f t="shared" si="367"/>
        <v>0</v>
      </c>
      <c r="DL122" s="197">
        <f t="shared" si="356"/>
        <v>2899.4159442201048</v>
      </c>
      <c r="DM122" s="197">
        <f t="shared" si="356"/>
        <v>5769.2920945545611</v>
      </c>
      <c r="DN122" s="197">
        <f t="shared" si="356"/>
        <v>-5769.2920945545611</v>
      </c>
      <c r="DO122" s="199">
        <f t="shared" si="356"/>
        <v>-2869.8761503344558</v>
      </c>
    </row>
    <row r="123" spans="2:119" x14ac:dyDescent="0.3">
      <c r="B123" s="900">
        <v>11</v>
      </c>
      <c r="C123" s="760">
        <f>'Energy NPV'!$D49</f>
        <v>12.54</v>
      </c>
      <c r="D123" s="197">
        <f>'Energy Inputs'!$E$58*$E$109</f>
        <v>43.75</v>
      </c>
      <c r="E123" s="197">
        <f t="shared" si="357"/>
        <v>548.625</v>
      </c>
      <c r="F123" s="197">
        <f>'Margins summary'!$S$14</f>
        <v>330</v>
      </c>
      <c r="G123" s="197">
        <f t="shared" si="313"/>
        <v>878.625</v>
      </c>
      <c r="H123" s="197"/>
      <c r="I123" s="918">
        <f>'Energy NPV'!U49</f>
        <v>423.52324399999998</v>
      </c>
      <c r="J123" s="197"/>
      <c r="K123" s="197">
        <f t="shared" si="314"/>
        <v>423.52324399999998</v>
      </c>
      <c r="L123" s="197">
        <f t="shared" si="303"/>
        <v>125.10175600000002</v>
      </c>
      <c r="M123" s="197">
        <f t="shared" si="304"/>
        <v>455.10175600000002</v>
      </c>
      <c r="N123" s="196">
        <f t="shared" si="315"/>
        <v>408.22852406021588</v>
      </c>
      <c r="O123" s="197">
        <f t="shared" si="316"/>
        <v>245.55099191591933</v>
      </c>
      <c r="P123" s="197">
        <f t="shared" si="317"/>
        <v>315.14106867772097</v>
      </c>
      <c r="Q123" s="197">
        <f t="shared" si="318"/>
        <v>93.087455382494895</v>
      </c>
      <c r="R123" s="199">
        <f t="shared" si="319"/>
        <v>338.63844729841423</v>
      </c>
      <c r="S123" s="196">
        <f t="shared" si="358"/>
        <v>4280.8205909924609</v>
      </c>
      <c r="T123" s="197">
        <f t="shared" si="320"/>
        <v>3144.9669361360243</v>
      </c>
      <c r="U123" s="197">
        <f t="shared" si="320"/>
        <v>6084.4331632322819</v>
      </c>
      <c r="V123" s="197">
        <f t="shared" si="320"/>
        <v>-1803.612572239821</v>
      </c>
      <c r="W123" s="199">
        <f t="shared" si="320"/>
        <v>1341.3543638962024</v>
      </c>
      <c r="X123" s="197"/>
      <c r="Z123" s="900">
        <v>11</v>
      </c>
      <c r="AA123" s="760">
        <f t="shared" si="321"/>
        <v>12.54</v>
      </c>
      <c r="AB123" s="197">
        <f>'Energy Inputs'!$E$58*$AB$109</f>
        <v>65.625</v>
      </c>
      <c r="AC123" s="197">
        <f t="shared" si="359"/>
        <v>822.9375</v>
      </c>
      <c r="AD123" s="197">
        <f>'Margins summary'!$S$14</f>
        <v>330</v>
      </c>
      <c r="AE123" s="197">
        <f t="shared" si="322"/>
        <v>1152.9375</v>
      </c>
      <c r="AF123" s="197"/>
      <c r="AG123" s="918">
        <f>'Energy NPV'!U49</f>
        <v>423.52324399999998</v>
      </c>
      <c r="AH123" s="197"/>
      <c r="AI123" s="197">
        <f t="shared" si="323"/>
        <v>423.52324399999998</v>
      </c>
      <c r="AJ123" s="197">
        <f t="shared" si="305"/>
        <v>399.41425600000002</v>
      </c>
      <c r="AK123" s="197">
        <f t="shared" si="306"/>
        <v>729.41425600000002</v>
      </c>
      <c r="AL123" s="196">
        <f t="shared" si="324"/>
        <v>612.34278609032378</v>
      </c>
      <c r="AM123" s="197">
        <f t="shared" si="325"/>
        <v>245.55099191591933</v>
      </c>
      <c r="AN123" s="197">
        <f t="shared" si="326"/>
        <v>315.14106867772097</v>
      </c>
      <c r="AO123" s="197">
        <f t="shared" si="327"/>
        <v>297.20171741260282</v>
      </c>
      <c r="AP123" s="199">
        <f t="shared" si="328"/>
        <v>542.75270932852209</v>
      </c>
      <c r="AQ123" s="196">
        <f t="shared" si="360"/>
        <v>6421.2308864886918</v>
      </c>
      <c r="AR123" s="197">
        <f t="shared" si="329"/>
        <v>3144.9669361360243</v>
      </c>
      <c r="AS123" s="197">
        <f t="shared" si="329"/>
        <v>6084.4331632322819</v>
      </c>
      <c r="AT123" s="197">
        <f t="shared" si="329"/>
        <v>336.79772325640937</v>
      </c>
      <c r="AU123" s="199">
        <f t="shared" si="329"/>
        <v>3481.7646593924328</v>
      </c>
      <c r="AV123" s="197"/>
      <c r="AX123" s="900">
        <v>11</v>
      </c>
      <c r="AY123" s="760">
        <f t="shared" si="330"/>
        <v>12.54</v>
      </c>
      <c r="AZ123" s="197">
        <f>'Energy Inputs'!$E$58*$AZ$109</f>
        <v>21.875</v>
      </c>
      <c r="BA123" s="197">
        <f t="shared" si="361"/>
        <v>274.3125</v>
      </c>
      <c r="BB123" s="197">
        <f>'Margins summary'!$S$14</f>
        <v>330</v>
      </c>
      <c r="BC123" s="197">
        <f t="shared" si="331"/>
        <v>604.3125</v>
      </c>
      <c r="BD123" s="197"/>
      <c r="BE123" s="918">
        <f>'Energy NPV'!U49</f>
        <v>423.52324399999998</v>
      </c>
      <c r="BF123" s="197"/>
      <c r="BG123" s="197">
        <f t="shared" si="332"/>
        <v>423.52324399999998</v>
      </c>
      <c r="BH123" s="197">
        <f t="shared" si="307"/>
        <v>-149.21074399999998</v>
      </c>
      <c r="BI123" s="197">
        <f t="shared" si="308"/>
        <v>180.78925600000002</v>
      </c>
      <c r="BJ123" s="196">
        <f t="shared" si="333"/>
        <v>204.11426203010794</v>
      </c>
      <c r="BK123" s="197">
        <f t="shared" si="334"/>
        <v>245.55099191591933</v>
      </c>
      <c r="BL123" s="197">
        <f t="shared" si="335"/>
        <v>315.14106867772097</v>
      </c>
      <c r="BM123" s="197">
        <f t="shared" si="336"/>
        <v>-111.02680664761303</v>
      </c>
      <c r="BN123" s="199">
        <f t="shared" si="337"/>
        <v>134.52418526830627</v>
      </c>
      <c r="BO123" s="196">
        <f t="shared" si="362"/>
        <v>2140.4102954962304</v>
      </c>
      <c r="BP123" s="197">
        <f t="shared" si="338"/>
        <v>3144.9669361360243</v>
      </c>
      <c r="BQ123" s="197">
        <f t="shared" si="338"/>
        <v>6084.4331632322819</v>
      </c>
      <c r="BR123" s="197">
        <f t="shared" si="338"/>
        <v>-3944.0228677360515</v>
      </c>
      <c r="BS123" s="199">
        <f t="shared" si="338"/>
        <v>-799.05593160002798</v>
      </c>
      <c r="BV123" s="900">
        <v>11</v>
      </c>
      <c r="BW123" s="760">
        <f t="shared" si="339"/>
        <v>12.54</v>
      </c>
      <c r="BX123" s="197">
        <f>'Energy Inputs'!$E$58*$BX$109</f>
        <v>87.5</v>
      </c>
      <c r="BY123" s="197">
        <f t="shared" si="363"/>
        <v>1097.25</v>
      </c>
      <c r="BZ123" s="197">
        <f>'Margins summary'!$S$14</f>
        <v>330</v>
      </c>
      <c r="CA123" s="197">
        <f t="shared" si="340"/>
        <v>1427.25</v>
      </c>
      <c r="CB123" s="197"/>
      <c r="CC123" s="918">
        <f>'Energy NPV'!U49</f>
        <v>423.52324399999998</v>
      </c>
      <c r="CD123" s="197"/>
      <c r="CE123" s="197">
        <f t="shared" si="341"/>
        <v>423.52324399999998</v>
      </c>
      <c r="CF123" s="197">
        <f t="shared" si="309"/>
        <v>673.72675600000002</v>
      </c>
      <c r="CG123" s="197">
        <f t="shared" si="310"/>
        <v>1003.726756</v>
      </c>
      <c r="CH123" s="196">
        <f t="shared" si="342"/>
        <v>816.45704812043175</v>
      </c>
      <c r="CI123" s="197">
        <f t="shared" si="343"/>
        <v>245.55099191591933</v>
      </c>
      <c r="CJ123" s="197">
        <f t="shared" si="344"/>
        <v>315.14106867772097</v>
      </c>
      <c r="CK123" s="197">
        <f t="shared" si="345"/>
        <v>501.31597944271073</v>
      </c>
      <c r="CL123" s="199">
        <f t="shared" si="346"/>
        <v>746.86697135863005</v>
      </c>
      <c r="CM123" s="196">
        <f t="shared" si="364"/>
        <v>8561.6411819849218</v>
      </c>
      <c r="CN123" s="197">
        <f t="shared" si="347"/>
        <v>3144.9669361360243</v>
      </c>
      <c r="CO123" s="197">
        <f t="shared" si="347"/>
        <v>6084.4331632322819</v>
      </c>
      <c r="CP123" s="197">
        <f t="shared" si="347"/>
        <v>2477.2080187526394</v>
      </c>
      <c r="CQ123" s="199">
        <f t="shared" si="347"/>
        <v>5622.1749548886637</v>
      </c>
      <c r="CT123" s="204">
        <f t="shared" si="365"/>
        <v>11</v>
      </c>
      <c r="CU123" s="760">
        <f t="shared" si="348"/>
        <v>12.54</v>
      </c>
      <c r="CV123" s="197">
        <f>'Energy Inputs'!$E$58*$CV$109</f>
        <v>0</v>
      </c>
      <c r="CW123" s="197">
        <f t="shared" si="366"/>
        <v>0</v>
      </c>
      <c r="CX123" s="197">
        <f>'Margins summary'!$S$14</f>
        <v>330</v>
      </c>
      <c r="CY123" s="197">
        <f t="shared" si="349"/>
        <v>330</v>
      </c>
      <c r="CZ123" s="197"/>
      <c r="DA123" s="918">
        <f>'Energy NPV'!U49</f>
        <v>423.52324399999998</v>
      </c>
      <c r="DB123" s="197"/>
      <c r="DC123" s="197">
        <f t="shared" si="350"/>
        <v>423.52324399999998</v>
      </c>
      <c r="DD123" s="197">
        <f t="shared" si="311"/>
        <v>-423.52324399999998</v>
      </c>
      <c r="DE123" s="197">
        <f t="shared" si="312"/>
        <v>-93.523243999999977</v>
      </c>
      <c r="DF123" s="196">
        <f t="shared" si="351"/>
        <v>0</v>
      </c>
      <c r="DG123" s="197">
        <f t="shared" si="352"/>
        <v>245.55099191591933</v>
      </c>
      <c r="DH123" s="197">
        <f t="shared" si="353"/>
        <v>315.14106867772097</v>
      </c>
      <c r="DI123" s="197">
        <f t="shared" si="354"/>
        <v>-315.14106867772097</v>
      </c>
      <c r="DJ123" s="199">
        <f t="shared" si="355"/>
        <v>-69.590076761801654</v>
      </c>
      <c r="DK123" s="196">
        <f t="shared" si="367"/>
        <v>0</v>
      </c>
      <c r="DL123" s="197">
        <f t="shared" si="356"/>
        <v>3144.9669361360243</v>
      </c>
      <c r="DM123" s="197">
        <f t="shared" si="356"/>
        <v>6084.4331632322819</v>
      </c>
      <c r="DN123" s="197">
        <f t="shared" si="356"/>
        <v>-6084.4331632322819</v>
      </c>
      <c r="DO123" s="199">
        <f t="shared" si="356"/>
        <v>-2939.4662270962576</v>
      </c>
    </row>
    <row r="124" spans="2:119" x14ac:dyDescent="0.3">
      <c r="B124" s="900">
        <v>12</v>
      </c>
      <c r="C124" s="760">
        <f>'Energy NPV'!$D50</f>
        <v>12.54</v>
      </c>
      <c r="D124" s="197">
        <f>'Energy Inputs'!$E$58*$E$109</f>
        <v>43.75</v>
      </c>
      <c r="E124" s="197">
        <f t="shared" si="357"/>
        <v>548.625</v>
      </c>
      <c r="F124" s="197">
        <f>'Margins summary'!$S$14</f>
        <v>330</v>
      </c>
      <c r="G124" s="197">
        <f t="shared" si="313"/>
        <v>878.625</v>
      </c>
      <c r="H124" s="197"/>
      <c r="I124" s="918">
        <f>'Energy NPV'!U50</f>
        <v>423.52324399999998</v>
      </c>
      <c r="J124" s="197"/>
      <c r="K124" s="197">
        <f t="shared" si="314"/>
        <v>423.52324399999998</v>
      </c>
      <c r="L124" s="197">
        <f t="shared" si="303"/>
        <v>125.10175600000002</v>
      </c>
      <c r="M124" s="197">
        <f t="shared" si="304"/>
        <v>455.10175600000002</v>
      </c>
      <c r="N124" s="196">
        <f t="shared" si="315"/>
        <v>396.33837287399598</v>
      </c>
      <c r="O124" s="197">
        <f t="shared" si="316"/>
        <v>238.39902127759154</v>
      </c>
      <c r="P124" s="197">
        <f t="shared" si="317"/>
        <v>305.9622025997291</v>
      </c>
      <c r="Q124" s="197">
        <f t="shared" si="318"/>
        <v>90.376170274266883</v>
      </c>
      <c r="R124" s="199">
        <f t="shared" si="319"/>
        <v>328.77519155185843</v>
      </c>
      <c r="S124" s="196">
        <f t="shared" si="358"/>
        <v>4677.1589638664573</v>
      </c>
      <c r="T124" s="197">
        <f t="shared" si="320"/>
        <v>3383.3659574136159</v>
      </c>
      <c r="U124" s="197">
        <f t="shared" si="320"/>
        <v>6390.3953658320106</v>
      </c>
      <c r="V124" s="197">
        <f t="shared" si="320"/>
        <v>-1713.2364019655543</v>
      </c>
      <c r="W124" s="199">
        <f t="shared" si="320"/>
        <v>1670.1295554480607</v>
      </c>
      <c r="X124" s="197"/>
      <c r="Z124" s="900">
        <v>12</v>
      </c>
      <c r="AA124" s="760">
        <f t="shared" si="321"/>
        <v>12.54</v>
      </c>
      <c r="AB124" s="197">
        <f>'Energy Inputs'!$E$58*$AB$109</f>
        <v>65.625</v>
      </c>
      <c r="AC124" s="197">
        <f t="shared" si="359"/>
        <v>822.9375</v>
      </c>
      <c r="AD124" s="197">
        <f>'Margins summary'!$S$14</f>
        <v>330</v>
      </c>
      <c r="AE124" s="197">
        <f t="shared" si="322"/>
        <v>1152.9375</v>
      </c>
      <c r="AF124" s="197"/>
      <c r="AG124" s="918">
        <f>'Energy NPV'!U50</f>
        <v>423.52324399999998</v>
      </c>
      <c r="AH124" s="197"/>
      <c r="AI124" s="197">
        <f t="shared" si="323"/>
        <v>423.52324399999998</v>
      </c>
      <c r="AJ124" s="197">
        <f t="shared" si="305"/>
        <v>399.41425600000002</v>
      </c>
      <c r="AK124" s="197">
        <f t="shared" si="306"/>
        <v>729.41425600000002</v>
      </c>
      <c r="AL124" s="196">
        <f t="shared" si="324"/>
        <v>594.507559310994</v>
      </c>
      <c r="AM124" s="197">
        <f t="shared" si="325"/>
        <v>238.39902127759154</v>
      </c>
      <c r="AN124" s="197">
        <f t="shared" si="326"/>
        <v>305.9622025997291</v>
      </c>
      <c r="AO124" s="197">
        <f t="shared" si="327"/>
        <v>288.54535671126484</v>
      </c>
      <c r="AP124" s="199">
        <f t="shared" si="328"/>
        <v>526.94437798885644</v>
      </c>
      <c r="AQ124" s="196">
        <f t="shared" si="360"/>
        <v>7015.7384457996859</v>
      </c>
      <c r="AR124" s="197">
        <f t="shared" si="329"/>
        <v>3383.3659574136159</v>
      </c>
      <c r="AS124" s="197">
        <f t="shared" si="329"/>
        <v>6390.3953658320106</v>
      </c>
      <c r="AT124" s="197">
        <f t="shared" si="329"/>
        <v>625.34307996767416</v>
      </c>
      <c r="AU124" s="199">
        <f t="shared" si="329"/>
        <v>4008.7090373812894</v>
      </c>
      <c r="AV124" s="197"/>
      <c r="AX124" s="900">
        <v>12</v>
      </c>
      <c r="AY124" s="760">
        <f t="shared" si="330"/>
        <v>12.54</v>
      </c>
      <c r="AZ124" s="197">
        <f>'Energy Inputs'!$E$58*$AZ$109</f>
        <v>21.875</v>
      </c>
      <c r="BA124" s="197">
        <f t="shared" si="361"/>
        <v>274.3125</v>
      </c>
      <c r="BB124" s="197">
        <f>'Margins summary'!$S$14</f>
        <v>330</v>
      </c>
      <c r="BC124" s="197">
        <f t="shared" si="331"/>
        <v>604.3125</v>
      </c>
      <c r="BD124" s="197"/>
      <c r="BE124" s="918">
        <f>'Energy NPV'!U50</f>
        <v>423.52324399999998</v>
      </c>
      <c r="BF124" s="197"/>
      <c r="BG124" s="197">
        <f t="shared" si="332"/>
        <v>423.52324399999998</v>
      </c>
      <c r="BH124" s="197">
        <f t="shared" si="307"/>
        <v>-149.21074399999998</v>
      </c>
      <c r="BI124" s="197">
        <f t="shared" si="308"/>
        <v>180.78925600000002</v>
      </c>
      <c r="BJ124" s="196">
        <f t="shared" si="333"/>
        <v>198.16918643699799</v>
      </c>
      <c r="BK124" s="197">
        <f t="shared" si="334"/>
        <v>238.39902127759154</v>
      </c>
      <c r="BL124" s="197">
        <f t="shared" si="335"/>
        <v>305.9622025997291</v>
      </c>
      <c r="BM124" s="197">
        <f t="shared" si="336"/>
        <v>-107.79301616273109</v>
      </c>
      <c r="BN124" s="199">
        <f t="shared" si="337"/>
        <v>130.60600511486047</v>
      </c>
      <c r="BO124" s="196">
        <f t="shared" si="362"/>
        <v>2338.5794819332286</v>
      </c>
      <c r="BP124" s="197">
        <f t="shared" si="338"/>
        <v>3383.3659574136159</v>
      </c>
      <c r="BQ124" s="197">
        <f t="shared" si="338"/>
        <v>6390.3953658320106</v>
      </c>
      <c r="BR124" s="197">
        <f t="shared" si="338"/>
        <v>-4051.8158838987824</v>
      </c>
      <c r="BS124" s="199">
        <f t="shared" si="338"/>
        <v>-668.44992648516745</v>
      </c>
      <c r="BV124" s="900">
        <v>12</v>
      </c>
      <c r="BW124" s="760">
        <f t="shared" si="339"/>
        <v>12.54</v>
      </c>
      <c r="BX124" s="197">
        <f>'Energy Inputs'!$E$58*$BX$109</f>
        <v>87.5</v>
      </c>
      <c r="BY124" s="197">
        <f t="shared" si="363"/>
        <v>1097.25</v>
      </c>
      <c r="BZ124" s="197">
        <f>'Margins summary'!$S$14</f>
        <v>330</v>
      </c>
      <c r="CA124" s="197">
        <f t="shared" si="340"/>
        <v>1427.25</v>
      </c>
      <c r="CB124" s="197"/>
      <c r="CC124" s="918">
        <f>'Energy NPV'!U50</f>
        <v>423.52324399999998</v>
      </c>
      <c r="CD124" s="197"/>
      <c r="CE124" s="197">
        <f t="shared" si="341"/>
        <v>423.52324399999998</v>
      </c>
      <c r="CF124" s="197">
        <f t="shared" si="309"/>
        <v>673.72675600000002</v>
      </c>
      <c r="CG124" s="197">
        <f t="shared" si="310"/>
        <v>1003.726756</v>
      </c>
      <c r="CH124" s="196">
        <f t="shared" si="342"/>
        <v>792.67674574799196</v>
      </c>
      <c r="CI124" s="197">
        <f t="shared" si="343"/>
        <v>238.39902127759154</v>
      </c>
      <c r="CJ124" s="197">
        <f t="shared" si="344"/>
        <v>305.9622025997291</v>
      </c>
      <c r="CK124" s="197">
        <f t="shared" si="345"/>
        <v>486.71454314826286</v>
      </c>
      <c r="CL124" s="199">
        <f t="shared" si="346"/>
        <v>725.11356442585441</v>
      </c>
      <c r="CM124" s="196">
        <f t="shared" si="364"/>
        <v>9354.3179277329145</v>
      </c>
      <c r="CN124" s="197">
        <f t="shared" si="347"/>
        <v>3383.3659574136159</v>
      </c>
      <c r="CO124" s="197">
        <f t="shared" si="347"/>
        <v>6390.3953658320106</v>
      </c>
      <c r="CP124" s="197">
        <f t="shared" si="347"/>
        <v>2963.9225619009021</v>
      </c>
      <c r="CQ124" s="199">
        <f t="shared" si="347"/>
        <v>6347.2885193145185</v>
      </c>
      <c r="CT124" s="204">
        <f t="shared" si="365"/>
        <v>12</v>
      </c>
      <c r="CU124" s="760">
        <f t="shared" si="348"/>
        <v>12.54</v>
      </c>
      <c r="CV124" s="197">
        <f>'Energy Inputs'!$E$58*$CV$109</f>
        <v>0</v>
      </c>
      <c r="CW124" s="197">
        <f t="shared" si="366"/>
        <v>0</v>
      </c>
      <c r="CX124" s="197">
        <f>'Margins summary'!$S$14</f>
        <v>330</v>
      </c>
      <c r="CY124" s="197">
        <f t="shared" si="349"/>
        <v>330</v>
      </c>
      <c r="CZ124" s="197"/>
      <c r="DA124" s="918">
        <f>'Energy NPV'!U50</f>
        <v>423.52324399999998</v>
      </c>
      <c r="DB124" s="197"/>
      <c r="DC124" s="197">
        <f t="shared" si="350"/>
        <v>423.52324399999998</v>
      </c>
      <c r="DD124" s="197">
        <f t="shared" si="311"/>
        <v>-423.52324399999998</v>
      </c>
      <c r="DE124" s="197">
        <f t="shared" si="312"/>
        <v>-93.523243999999977</v>
      </c>
      <c r="DF124" s="196">
        <f t="shared" si="351"/>
        <v>0</v>
      </c>
      <c r="DG124" s="197">
        <f t="shared" si="352"/>
        <v>238.39902127759154</v>
      </c>
      <c r="DH124" s="197">
        <f t="shared" si="353"/>
        <v>305.9622025997291</v>
      </c>
      <c r="DI124" s="197">
        <f t="shared" si="354"/>
        <v>-305.9622025997291</v>
      </c>
      <c r="DJ124" s="199">
        <f t="shared" si="355"/>
        <v>-67.563181322137524</v>
      </c>
      <c r="DK124" s="196">
        <f t="shared" si="367"/>
        <v>0</v>
      </c>
      <c r="DL124" s="197">
        <f t="shared" si="356"/>
        <v>3383.3659574136159</v>
      </c>
      <c r="DM124" s="197">
        <f t="shared" si="356"/>
        <v>6390.3953658320106</v>
      </c>
      <c r="DN124" s="197">
        <f t="shared" si="356"/>
        <v>-6390.3953658320106</v>
      </c>
      <c r="DO124" s="199">
        <f t="shared" si="356"/>
        <v>-3007.0294084183952</v>
      </c>
    </row>
    <row r="125" spans="2:119" x14ac:dyDescent="0.3">
      <c r="B125" s="900">
        <v>13</v>
      </c>
      <c r="C125" s="760">
        <f>'Energy NPV'!$D51</f>
        <v>12.54</v>
      </c>
      <c r="D125" s="197">
        <f>'Energy Inputs'!$E$58*$E$109</f>
        <v>43.75</v>
      </c>
      <c r="E125" s="197">
        <f t="shared" si="357"/>
        <v>548.625</v>
      </c>
      <c r="F125" s="197">
        <f>'Margins summary'!$S$14</f>
        <v>330</v>
      </c>
      <c r="G125" s="197">
        <f t="shared" si="313"/>
        <v>878.625</v>
      </c>
      <c r="H125" s="197"/>
      <c r="I125" s="918">
        <f>'Energy NPV'!U51</f>
        <v>423.52324399999998</v>
      </c>
      <c r="J125" s="197"/>
      <c r="K125" s="197">
        <f t="shared" si="314"/>
        <v>423.52324399999998</v>
      </c>
      <c r="L125" s="197">
        <f t="shared" si="303"/>
        <v>125.10175600000002</v>
      </c>
      <c r="M125" s="197">
        <f t="shared" si="304"/>
        <v>455.10175600000002</v>
      </c>
      <c r="N125" s="196">
        <f t="shared" si="315"/>
        <v>384.79453677086991</v>
      </c>
      <c r="O125" s="197">
        <f t="shared" si="316"/>
        <v>231.45536046368116</v>
      </c>
      <c r="P125" s="197">
        <f t="shared" si="317"/>
        <v>297.05068213565932</v>
      </c>
      <c r="Q125" s="197">
        <f t="shared" si="318"/>
        <v>87.743854635210582</v>
      </c>
      <c r="R125" s="199">
        <f t="shared" si="319"/>
        <v>319.19921509889173</v>
      </c>
      <c r="S125" s="196">
        <f t="shared" si="358"/>
        <v>5061.9535006373271</v>
      </c>
      <c r="T125" s="197">
        <f t="shared" si="320"/>
        <v>3614.8213178772971</v>
      </c>
      <c r="U125" s="197">
        <f t="shared" si="320"/>
        <v>6687.44604796767</v>
      </c>
      <c r="V125" s="197">
        <f t="shared" si="320"/>
        <v>-1625.4925473303438</v>
      </c>
      <c r="W125" s="199">
        <f t="shared" si="320"/>
        <v>1989.3287705469525</v>
      </c>
      <c r="X125" s="197"/>
      <c r="Z125" s="900">
        <v>13</v>
      </c>
      <c r="AA125" s="760">
        <f t="shared" si="321"/>
        <v>12.54</v>
      </c>
      <c r="AB125" s="197">
        <f>'Energy Inputs'!$E$58*$AB$109</f>
        <v>65.625</v>
      </c>
      <c r="AC125" s="197">
        <f t="shared" si="359"/>
        <v>822.9375</v>
      </c>
      <c r="AD125" s="197">
        <f>'Margins summary'!$S$14</f>
        <v>330</v>
      </c>
      <c r="AE125" s="197">
        <f t="shared" si="322"/>
        <v>1152.9375</v>
      </c>
      <c r="AF125" s="197"/>
      <c r="AG125" s="918">
        <f>'Energy NPV'!U51</f>
        <v>423.52324399999998</v>
      </c>
      <c r="AH125" s="197"/>
      <c r="AI125" s="197">
        <f t="shared" si="323"/>
        <v>423.52324399999998</v>
      </c>
      <c r="AJ125" s="197">
        <f t="shared" si="305"/>
        <v>399.41425600000002</v>
      </c>
      <c r="AK125" s="197">
        <f t="shared" si="306"/>
        <v>729.41425600000002</v>
      </c>
      <c r="AL125" s="196">
        <f t="shared" si="324"/>
        <v>577.19180515630489</v>
      </c>
      <c r="AM125" s="197">
        <f t="shared" si="325"/>
        <v>231.45536046368116</v>
      </c>
      <c r="AN125" s="197">
        <f t="shared" si="326"/>
        <v>297.05068213565932</v>
      </c>
      <c r="AO125" s="197">
        <f t="shared" si="327"/>
        <v>280.14112302064552</v>
      </c>
      <c r="AP125" s="199">
        <f t="shared" si="328"/>
        <v>511.59648348432671</v>
      </c>
      <c r="AQ125" s="196">
        <f t="shared" si="360"/>
        <v>7592.9302509559911</v>
      </c>
      <c r="AR125" s="197">
        <f t="shared" si="329"/>
        <v>3614.8213178772971</v>
      </c>
      <c r="AS125" s="197">
        <f t="shared" si="329"/>
        <v>6687.44604796767</v>
      </c>
      <c r="AT125" s="197">
        <f t="shared" si="329"/>
        <v>905.48420298831968</v>
      </c>
      <c r="AU125" s="199">
        <f t="shared" si="329"/>
        <v>4520.305520865616</v>
      </c>
      <c r="AV125" s="197"/>
      <c r="AX125" s="900">
        <v>13</v>
      </c>
      <c r="AY125" s="760">
        <f t="shared" si="330"/>
        <v>12.54</v>
      </c>
      <c r="AZ125" s="197">
        <f>'Energy Inputs'!$E$58*$AZ$109</f>
        <v>21.875</v>
      </c>
      <c r="BA125" s="197">
        <f t="shared" si="361"/>
        <v>274.3125</v>
      </c>
      <c r="BB125" s="197">
        <f>'Margins summary'!$S$14</f>
        <v>330</v>
      </c>
      <c r="BC125" s="197">
        <f t="shared" si="331"/>
        <v>604.3125</v>
      </c>
      <c r="BD125" s="197"/>
      <c r="BE125" s="918">
        <f>'Energy NPV'!U51</f>
        <v>423.52324399999998</v>
      </c>
      <c r="BF125" s="197"/>
      <c r="BG125" s="197">
        <f t="shared" si="332"/>
        <v>423.52324399999998</v>
      </c>
      <c r="BH125" s="197">
        <f t="shared" si="307"/>
        <v>-149.21074399999998</v>
      </c>
      <c r="BI125" s="197">
        <f t="shared" si="308"/>
        <v>180.78925600000002</v>
      </c>
      <c r="BJ125" s="196">
        <f t="shared" si="333"/>
        <v>192.39726838543496</v>
      </c>
      <c r="BK125" s="197">
        <f t="shared" si="334"/>
        <v>231.45536046368116</v>
      </c>
      <c r="BL125" s="197">
        <f t="shared" si="335"/>
        <v>297.05068213565932</v>
      </c>
      <c r="BM125" s="197">
        <f t="shared" si="336"/>
        <v>-104.65341375022437</v>
      </c>
      <c r="BN125" s="199">
        <f t="shared" si="337"/>
        <v>126.80194671345677</v>
      </c>
      <c r="BO125" s="196">
        <f t="shared" si="362"/>
        <v>2530.9767503186636</v>
      </c>
      <c r="BP125" s="197">
        <f t="shared" si="338"/>
        <v>3614.8213178772971</v>
      </c>
      <c r="BQ125" s="197">
        <f t="shared" si="338"/>
        <v>6687.44604796767</v>
      </c>
      <c r="BR125" s="197">
        <f t="shared" si="338"/>
        <v>-4156.4692976490069</v>
      </c>
      <c r="BS125" s="199">
        <f t="shared" si="338"/>
        <v>-541.64797977171065</v>
      </c>
      <c r="BV125" s="900">
        <v>13</v>
      </c>
      <c r="BW125" s="760">
        <f t="shared" si="339"/>
        <v>12.54</v>
      </c>
      <c r="BX125" s="197">
        <f>'Energy Inputs'!$E$58*$BX$109</f>
        <v>87.5</v>
      </c>
      <c r="BY125" s="197">
        <f t="shared" si="363"/>
        <v>1097.25</v>
      </c>
      <c r="BZ125" s="197">
        <f>'Margins summary'!$S$14</f>
        <v>330</v>
      </c>
      <c r="CA125" s="197">
        <f t="shared" si="340"/>
        <v>1427.25</v>
      </c>
      <c r="CB125" s="197"/>
      <c r="CC125" s="918">
        <f>'Energy NPV'!U51</f>
        <v>423.52324399999998</v>
      </c>
      <c r="CD125" s="197"/>
      <c r="CE125" s="197">
        <f t="shared" si="341"/>
        <v>423.52324399999998</v>
      </c>
      <c r="CF125" s="197">
        <f t="shared" si="309"/>
        <v>673.72675600000002</v>
      </c>
      <c r="CG125" s="197">
        <f t="shared" si="310"/>
        <v>1003.726756</v>
      </c>
      <c r="CH125" s="196">
        <f t="shared" si="342"/>
        <v>769.58907354173982</v>
      </c>
      <c r="CI125" s="197">
        <f t="shared" si="343"/>
        <v>231.45536046368116</v>
      </c>
      <c r="CJ125" s="197">
        <f t="shared" si="344"/>
        <v>297.05068213565932</v>
      </c>
      <c r="CK125" s="197">
        <f t="shared" si="345"/>
        <v>472.53839140608051</v>
      </c>
      <c r="CL125" s="199">
        <f t="shared" si="346"/>
        <v>703.9937518697617</v>
      </c>
      <c r="CM125" s="196">
        <f t="shared" si="364"/>
        <v>10123.907001274654</v>
      </c>
      <c r="CN125" s="197">
        <f t="shared" si="347"/>
        <v>3614.8213178772971</v>
      </c>
      <c r="CO125" s="197">
        <f t="shared" si="347"/>
        <v>6687.44604796767</v>
      </c>
      <c r="CP125" s="197">
        <f t="shared" si="347"/>
        <v>3436.4609533069824</v>
      </c>
      <c r="CQ125" s="199">
        <f t="shared" si="347"/>
        <v>7051.28227118428</v>
      </c>
      <c r="CT125" s="204">
        <f t="shared" si="365"/>
        <v>13</v>
      </c>
      <c r="CU125" s="760">
        <f t="shared" si="348"/>
        <v>12.54</v>
      </c>
      <c r="CV125" s="197">
        <f>'Energy Inputs'!$E$58*$CV$109</f>
        <v>0</v>
      </c>
      <c r="CW125" s="197">
        <f t="shared" si="366"/>
        <v>0</v>
      </c>
      <c r="CX125" s="197">
        <f>'Margins summary'!$S$14</f>
        <v>330</v>
      </c>
      <c r="CY125" s="197">
        <f t="shared" si="349"/>
        <v>330</v>
      </c>
      <c r="CZ125" s="197"/>
      <c r="DA125" s="918">
        <f>'Energy NPV'!U51</f>
        <v>423.52324399999998</v>
      </c>
      <c r="DB125" s="197"/>
      <c r="DC125" s="197">
        <f t="shared" si="350"/>
        <v>423.52324399999998</v>
      </c>
      <c r="DD125" s="197">
        <f t="shared" si="311"/>
        <v>-423.52324399999998</v>
      </c>
      <c r="DE125" s="197">
        <f t="shared" si="312"/>
        <v>-93.523243999999977</v>
      </c>
      <c r="DF125" s="196">
        <f t="shared" si="351"/>
        <v>0</v>
      </c>
      <c r="DG125" s="197">
        <f t="shared" si="352"/>
        <v>231.45536046368116</v>
      </c>
      <c r="DH125" s="197">
        <f t="shared" si="353"/>
        <v>297.05068213565932</v>
      </c>
      <c r="DI125" s="197">
        <f t="shared" si="354"/>
        <v>-297.05068213565932</v>
      </c>
      <c r="DJ125" s="199">
        <f t="shared" si="355"/>
        <v>-65.595321671978184</v>
      </c>
      <c r="DK125" s="196">
        <f t="shared" si="367"/>
        <v>0</v>
      </c>
      <c r="DL125" s="197">
        <f t="shared" si="356"/>
        <v>3614.8213178772971</v>
      </c>
      <c r="DM125" s="197">
        <f t="shared" si="356"/>
        <v>6687.44604796767</v>
      </c>
      <c r="DN125" s="197">
        <f t="shared" si="356"/>
        <v>-6687.44604796767</v>
      </c>
      <c r="DO125" s="199">
        <f t="shared" si="356"/>
        <v>-3072.6247300903733</v>
      </c>
    </row>
    <row r="126" spans="2:119" x14ac:dyDescent="0.3">
      <c r="B126" s="900">
        <v>14</v>
      </c>
      <c r="C126" s="760">
        <f>'Energy NPV'!$D52</f>
        <v>12.54</v>
      </c>
      <c r="D126" s="197">
        <f>'Energy Inputs'!$E$58*$E$109</f>
        <v>43.75</v>
      </c>
      <c r="E126" s="197">
        <f t="shared" si="357"/>
        <v>548.625</v>
      </c>
      <c r="F126" s="197">
        <f>'Margins summary'!$S$14</f>
        <v>330</v>
      </c>
      <c r="G126" s="197">
        <f t="shared" si="313"/>
        <v>878.625</v>
      </c>
      <c r="H126" s="197"/>
      <c r="I126" s="918">
        <f>'Energy NPV'!U52</f>
        <v>423.52324399999998</v>
      </c>
      <c r="J126" s="197"/>
      <c r="K126" s="197">
        <f t="shared" si="314"/>
        <v>423.52324399999998</v>
      </c>
      <c r="L126" s="197">
        <f t="shared" si="303"/>
        <v>125.10175600000002</v>
      </c>
      <c r="M126" s="197">
        <f t="shared" si="304"/>
        <v>455.10175600000002</v>
      </c>
      <c r="N126" s="196">
        <f t="shared" si="315"/>
        <v>373.58692890375721</v>
      </c>
      <c r="O126" s="197">
        <f t="shared" si="316"/>
        <v>224.71394219774871</v>
      </c>
      <c r="P126" s="197">
        <f t="shared" si="317"/>
        <v>288.39872052005762</v>
      </c>
      <c r="Q126" s="197">
        <f t="shared" si="318"/>
        <v>85.188208383699603</v>
      </c>
      <c r="R126" s="199">
        <f t="shared" si="319"/>
        <v>309.90215058144832</v>
      </c>
      <c r="S126" s="196">
        <f t="shared" si="358"/>
        <v>5435.5404295410844</v>
      </c>
      <c r="T126" s="197">
        <f t="shared" si="320"/>
        <v>3839.5352600750457</v>
      </c>
      <c r="U126" s="197">
        <f t="shared" si="320"/>
        <v>6975.8447684877274</v>
      </c>
      <c r="V126" s="197">
        <f t="shared" si="320"/>
        <v>-1540.3043389466441</v>
      </c>
      <c r="W126" s="199">
        <f t="shared" si="320"/>
        <v>2299.230921128401</v>
      </c>
      <c r="X126" s="197"/>
      <c r="Z126" s="900">
        <v>14</v>
      </c>
      <c r="AA126" s="760">
        <f t="shared" si="321"/>
        <v>12.54</v>
      </c>
      <c r="AB126" s="197">
        <f>'Energy Inputs'!$E$58*$AB$109</f>
        <v>65.625</v>
      </c>
      <c r="AC126" s="197">
        <f t="shared" si="359"/>
        <v>822.9375</v>
      </c>
      <c r="AD126" s="197">
        <f>'Margins summary'!$S$14</f>
        <v>330</v>
      </c>
      <c r="AE126" s="197">
        <f t="shared" si="322"/>
        <v>1152.9375</v>
      </c>
      <c r="AF126" s="197"/>
      <c r="AG126" s="918">
        <f>'Energy NPV'!U52</f>
        <v>423.52324399999998</v>
      </c>
      <c r="AH126" s="197"/>
      <c r="AI126" s="197">
        <f t="shared" si="323"/>
        <v>423.52324399999998</v>
      </c>
      <c r="AJ126" s="197">
        <f t="shared" si="305"/>
        <v>399.41425600000002</v>
      </c>
      <c r="AK126" s="197">
        <f t="shared" si="306"/>
        <v>729.41425600000002</v>
      </c>
      <c r="AL126" s="196">
        <f t="shared" si="324"/>
        <v>560.38039335563587</v>
      </c>
      <c r="AM126" s="197">
        <f t="shared" si="325"/>
        <v>224.71394219774871</v>
      </c>
      <c r="AN126" s="197">
        <f t="shared" si="326"/>
        <v>288.39872052005762</v>
      </c>
      <c r="AO126" s="197">
        <f t="shared" si="327"/>
        <v>271.98167283557819</v>
      </c>
      <c r="AP126" s="199">
        <f t="shared" si="328"/>
        <v>496.69561503332693</v>
      </c>
      <c r="AQ126" s="196">
        <f t="shared" si="360"/>
        <v>8153.3106443116267</v>
      </c>
      <c r="AR126" s="197">
        <f t="shared" si="329"/>
        <v>3839.5352600750457</v>
      </c>
      <c r="AS126" s="197">
        <f t="shared" si="329"/>
        <v>6975.8447684877274</v>
      </c>
      <c r="AT126" s="197">
        <f t="shared" si="329"/>
        <v>1177.4658758238979</v>
      </c>
      <c r="AU126" s="199">
        <f t="shared" si="329"/>
        <v>5017.0011358989432</v>
      </c>
      <c r="AV126" s="197"/>
      <c r="AX126" s="900">
        <v>14</v>
      </c>
      <c r="AY126" s="760">
        <f t="shared" si="330"/>
        <v>12.54</v>
      </c>
      <c r="AZ126" s="197">
        <f>'Energy Inputs'!$E$58*$AZ$109</f>
        <v>21.875</v>
      </c>
      <c r="BA126" s="197">
        <f t="shared" si="361"/>
        <v>274.3125</v>
      </c>
      <c r="BB126" s="197">
        <f>'Margins summary'!$S$14</f>
        <v>330</v>
      </c>
      <c r="BC126" s="197">
        <f t="shared" si="331"/>
        <v>604.3125</v>
      </c>
      <c r="BD126" s="197"/>
      <c r="BE126" s="918">
        <f>'Energy NPV'!U52</f>
        <v>423.52324399999998</v>
      </c>
      <c r="BF126" s="197"/>
      <c r="BG126" s="197">
        <f t="shared" si="332"/>
        <v>423.52324399999998</v>
      </c>
      <c r="BH126" s="197">
        <f t="shared" si="307"/>
        <v>-149.21074399999998</v>
      </c>
      <c r="BI126" s="197">
        <f t="shared" si="308"/>
        <v>180.78925600000002</v>
      </c>
      <c r="BJ126" s="196">
        <f t="shared" si="333"/>
        <v>186.79346445187861</v>
      </c>
      <c r="BK126" s="197">
        <f t="shared" si="334"/>
        <v>224.71394219774871</v>
      </c>
      <c r="BL126" s="197">
        <f t="shared" si="335"/>
        <v>288.39872052005762</v>
      </c>
      <c r="BM126" s="197">
        <f t="shared" si="336"/>
        <v>-101.60525606817902</v>
      </c>
      <c r="BN126" s="199">
        <f t="shared" si="337"/>
        <v>123.10868612956969</v>
      </c>
      <c r="BO126" s="196">
        <f t="shared" si="362"/>
        <v>2717.7702147705422</v>
      </c>
      <c r="BP126" s="197">
        <f t="shared" si="338"/>
        <v>3839.5352600750457</v>
      </c>
      <c r="BQ126" s="197">
        <f t="shared" si="338"/>
        <v>6975.8447684877274</v>
      </c>
      <c r="BR126" s="197">
        <f t="shared" si="338"/>
        <v>-4258.0745537171861</v>
      </c>
      <c r="BS126" s="199">
        <f t="shared" si="338"/>
        <v>-418.53929364214093</v>
      </c>
      <c r="BV126" s="900">
        <v>14</v>
      </c>
      <c r="BW126" s="760">
        <f t="shared" si="339"/>
        <v>12.54</v>
      </c>
      <c r="BX126" s="197">
        <f>'Energy Inputs'!$E$58*$BX$109</f>
        <v>87.5</v>
      </c>
      <c r="BY126" s="197">
        <f t="shared" si="363"/>
        <v>1097.25</v>
      </c>
      <c r="BZ126" s="197">
        <f>'Margins summary'!$S$14</f>
        <v>330</v>
      </c>
      <c r="CA126" s="197">
        <f t="shared" si="340"/>
        <v>1427.25</v>
      </c>
      <c r="CB126" s="197"/>
      <c r="CC126" s="918">
        <f>'Energy NPV'!U52</f>
        <v>423.52324399999998</v>
      </c>
      <c r="CD126" s="197"/>
      <c r="CE126" s="197">
        <f t="shared" si="341"/>
        <v>423.52324399999998</v>
      </c>
      <c r="CF126" s="197">
        <f t="shared" si="309"/>
        <v>673.72675600000002</v>
      </c>
      <c r="CG126" s="197">
        <f t="shared" si="310"/>
        <v>1003.726756</v>
      </c>
      <c r="CH126" s="196">
        <f t="shared" si="342"/>
        <v>747.17385780751442</v>
      </c>
      <c r="CI126" s="197">
        <f t="shared" si="343"/>
        <v>224.71394219774871</v>
      </c>
      <c r="CJ126" s="197">
        <f t="shared" si="344"/>
        <v>288.39872052005762</v>
      </c>
      <c r="CK126" s="197">
        <f t="shared" si="345"/>
        <v>458.77513728745686</v>
      </c>
      <c r="CL126" s="199">
        <f t="shared" si="346"/>
        <v>683.48907948520559</v>
      </c>
      <c r="CM126" s="196">
        <f t="shared" si="364"/>
        <v>10871.080859082169</v>
      </c>
      <c r="CN126" s="197">
        <f t="shared" si="347"/>
        <v>3839.5352600750457</v>
      </c>
      <c r="CO126" s="197">
        <f t="shared" si="347"/>
        <v>6975.8447684877274</v>
      </c>
      <c r="CP126" s="197">
        <f t="shared" si="347"/>
        <v>3895.2360905944392</v>
      </c>
      <c r="CQ126" s="199">
        <f t="shared" si="347"/>
        <v>7734.7713506694854</v>
      </c>
      <c r="CT126" s="204">
        <f t="shared" si="365"/>
        <v>14</v>
      </c>
      <c r="CU126" s="760">
        <f t="shared" si="348"/>
        <v>12.54</v>
      </c>
      <c r="CV126" s="197">
        <f>'Energy Inputs'!$E$58*$CV$109</f>
        <v>0</v>
      </c>
      <c r="CW126" s="197">
        <f t="shared" si="366"/>
        <v>0</v>
      </c>
      <c r="CX126" s="197">
        <f>'Margins summary'!$S$14</f>
        <v>330</v>
      </c>
      <c r="CY126" s="197">
        <f t="shared" si="349"/>
        <v>330</v>
      </c>
      <c r="CZ126" s="197"/>
      <c r="DA126" s="918">
        <f>'Energy NPV'!U52</f>
        <v>423.52324399999998</v>
      </c>
      <c r="DB126" s="197"/>
      <c r="DC126" s="197">
        <f t="shared" si="350"/>
        <v>423.52324399999998</v>
      </c>
      <c r="DD126" s="197">
        <f t="shared" si="311"/>
        <v>-423.52324399999998</v>
      </c>
      <c r="DE126" s="197">
        <f t="shared" si="312"/>
        <v>-93.523243999999977</v>
      </c>
      <c r="DF126" s="196">
        <f t="shared" si="351"/>
        <v>0</v>
      </c>
      <c r="DG126" s="197">
        <f t="shared" si="352"/>
        <v>224.71394219774871</v>
      </c>
      <c r="DH126" s="197">
        <f t="shared" si="353"/>
        <v>288.39872052005762</v>
      </c>
      <c r="DI126" s="197">
        <f t="shared" si="354"/>
        <v>-288.39872052005762</v>
      </c>
      <c r="DJ126" s="199">
        <f t="shared" si="355"/>
        <v>-63.684778322308922</v>
      </c>
      <c r="DK126" s="196">
        <f t="shared" si="367"/>
        <v>0</v>
      </c>
      <c r="DL126" s="197">
        <f t="shared" si="356"/>
        <v>3839.5352600750457</v>
      </c>
      <c r="DM126" s="197">
        <f t="shared" si="356"/>
        <v>6975.8447684877274</v>
      </c>
      <c r="DN126" s="197">
        <f t="shared" si="356"/>
        <v>-6975.8447684877274</v>
      </c>
      <c r="DO126" s="199">
        <f t="shared" si="356"/>
        <v>-3136.3095084126821</v>
      </c>
    </row>
    <row r="127" spans="2:119" x14ac:dyDescent="0.3">
      <c r="B127" s="900">
        <v>15</v>
      </c>
      <c r="C127" s="760">
        <f>'Energy NPV'!$D53</f>
        <v>12.54</v>
      </c>
      <c r="D127" s="197">
        <f>'Energy Inputs'!$E$58*$E$109</f>
        <v>43.75</v>
      </c>
      <c r="E127" s="197">
        <f t="shared" si="357"/>
        <v>548.625</v>
      </c>
      <c r="F127" s="197">
        <f>'Margins summary'!$S$14</f>
        <v>330</v>
      </c>
      <c r="G127" s="197">
        <f t="shared" si="313"/>
        <v>878.625</v>
      </c>
      <c r="H127" s="197"/>
      <c r="I127" s="918">
        <f>'Energy NPV'!U53</f>
        <v>423.52324399999998</v>
      </c>
      <c r="J127" s="197"/>
      <c r="K127" s="197">
        <f t="shared" si="314"/>
        <v>423.52324399999998</v>
      </c>
      <c r="L127" s="197">
        <f t="shared" si="303"/>
        <v>125.10175600000002</v>
      </c>
      <c r="M127" s="197">
        <f t="shared" si="304"/>
        <v>455.10175600000002</v>
      </c>
      <c r="N127" s="196">
        <f t="shared" si="315"/>
        <v>362.70575621723998</v>
      </c>
      <c r="O127" s="197">
        <f t="shared" si="316"/>
        <v>218.16887592014436</v>
      </c>
      <c r="P127" s="197">
        <f t="shared" si="317"/>
        <v>279.99875778646367</v>
      </c>
      <c r="Q127" s="197">
        <f t="shared" si="318"/>
        <v>82.706998430776295</v>
      </c>
      <c r="R127" s="199">
        <f t="shared" si="319"/>
        <v>300.87587435092064</v>
      </c>
      <c r="S127" s="196">
        <f t="shared" si="358"/>
        <v>5798.2461857583248</v>
      </c>
      <c r="T127" s="197">
        <f t="shared" si="320"/>
        <v>4057.70413599519</v>
      </c>
      <c r="U127" s="197">
        <f t="shared" si="320"/>
        <v>7255.8435262741914</v>
      </c>
      <c r="V127" s="197">
        <f t="shared" si="320"/>
        <v>-1457.5973405158677</v>
      </c>
      <c r="W127" s="199">
        <f t="shared" si="320"/>
        <v>2600.1067954793216</v>
      </c>
      <c r="X127" s="197"/>
      <c r="Z127" s="900">
        <v>15</v>
      </c>
      <c r="AA127" s="760">
        <f t="shared" si="321"/>
        <v>12.54</v>
      </c>
      <c r="AB127" s="197">
        <f>'Energy Inputs'!$E$58*$AB$109</f>
        <v>65.625</v>
      </c>
      <c r="AC127" s="197">
        <f t="shared" si="359"/>
        <v>822.9375</v>
      </c>
      <c r="AD127" s="197">
        <f>'Margins summary'!$S$14</f>
        <v>330</v>
      </c>
      <c r="AE127" s="197">
        <f t="shared" si="322"/>
        <v>1152.9375</v>
      </c>
      <c r="AF127" s="197"/>
      <c r="AG127" s="918">
        <f>'Energy NPV'!U53</f>
        <v>423.52324399999998</v>
      </c>
      <c r="AH127" s="197"/>
      <c r="AI127" s="197">
        <f t="shared" si="323"/>
        <v>423.52324399999998</v>
      </c>
      <c r="AJ127" s="197">
        <f t="shared" si="305"/>
        <v>399.41425600000002</v>
      </c>
      <c r="AK127" s="197">
        <f t="shared" si="306"/>
        <v>729.41425600000002</v>
      </c>
      <c r="AL127" s="196">
        <f t="shared" si="324"/>
        <v>544.05863432586</v>
      </c>
      <c r="AM127" s="197">
        <f t="shared" si="325"/>
        <v>218.16887592014436</v>
      </c>
      <c r="AN127" s="197">
        <f t="shared" si="326"/>
        <v>279.99875778646367</v>
      </c>
      <c r="AO127" s="197">
        <f t="shared" si="327"/>
        <v>264.05987653939627</v>
      </c>
      <c r="AP127" s="199">
        <f t="shared" si="328"/>
        <v>482.22875245954066</v>
      </c>
      <c r="AQ127" s="196">
        <f t="shared" si="360"/>
        <v>8697.3692786374868</v>
      </c>
      <c r="AR127" s="197">
        <f t="shared" si="329"/>
        <v>4057.70413599519</v>
      </c>
      <c r="AS127" s="197">
        <f t="shared" si="329"/>
        <v>7255.8435262741914</v>
      </c>
      <c r="AT127" s="197">
        <f t="shared" si="329"/>
        <v>1441.5257523632943</v>
      </c>
      <c r="AU127" s="199">
        <f t="shared" si="329"/>
        <v>5499.2298883584835</v>
      </c>
      <c r="AV127" s="197"/>
      <c r="AX127" s="900">
        <v>15</v>
      </c>
      <c r="AY127" s="760">
        <f t="shared" si="330"/>
        <v>12.54</v>
      </c>
      <c r="AZ127" s="197">
        <f>'Energy Inputs'!$E$58*$AZ$109</f>
        <v>21.875</v>
      </c>
      <c r="BA127" s="197">
        <f t="shared" si="361"/>
        <v>274.3125</v>
      </c>
      <c r="BB127" s="197">
        <f>'Margins summary'!$S$14</f>
        <v>330</v>
      </c>
      <c r="BC127" s="197">
        <f t="shared" si="331"/>
        <v>604.3125</v>
      </c>
      <c r="BD127" s="197"/>
      <c r="BE127" s="918">
        <f>'Energy NPV'!U53</f>
        <v>423.52324399999998</v>
      </c>
      <c r="BF127" s="197"/>
      <c r="BG127" s="197">
        <f t="shared" si="332"/>
        <v>423.52324399999998</v>
      </c>
      <c r="BH127" s="197">
        <f t="shared" si="307"/>
        <v>-149.21074399999998</v>
      </c>
      <c r="BI127" s="197">
        <f t="shared" si="308"/>
        <v>180.78925600000002</v>
      </c>
      <c r="BJ127" s="196">
        <f t="shared" si="333"/>
        <v>181.35287810861999</v>
      </c>
      <c r="BK127" s="197">
        <f t="shared" si="334"/>
        <v>218.16887592014436</v>
      </c>
      <c r="BL127" s="197">
        <f t="shared" si="335"/>
        <v>279.99875778646367</v>
      </c>
      <c r="BM127" s="197">
        <f t="shared" si="336"/>
        <v>-98.645879677843695</v>
      </c>
      <c r="BN127" s="199">
        <f t="shared" si="337"/>
        <v>119.52299624230066</v>
      </c>
      <c r="BO127" s="196">
        <f t="shared" si="362"/>
        <v>2899.1230928791624</v>
      </c>
      <c r="BP127" s="197">
        <f t="shared" si="338"/>
        <v>4057.70413599519</v>
      </c>
      <c r="BQ127" s="197">
        <f t="shared" si="338"/>
        <v>7255.8435262741914</v>
      </c>
      <c r="BR127" s="197">
        <f t="shared" si="338"/>
        <v>-4356.7204333950294</v>
      </c>
      <c r="BS127" s="199">
        <f t="shared" si="338"/>
        <v>-299.01629739984025</v>
      </c>
      <c r="BV127" s="900">
        <v>15</v>
      </c>
      <c r="BW127" s="760">
        <f t="shared" si="339"/>
        <v>12.54</v>
      </c>
      <c r="BX127" s="197">
        <f>'Energy Inputs'!$E$58*$BX$109</f>
        <v>87.5</v>
      </c>
      <c r="BY127" s="197">
        <f t="shared" si="363"/>
        <v>1097.25</v>
      </c>
      <c r="BZ127" s="197">
        <f>'Margins summary'!$S$14</f>
        <v>330</v>
      </c>
      <c r="CA127" s="197">
        <f t="shared" si="340"/>
        <v>1427.25</v>
      </c>
      <c r="CB127" s="197"/>
      <c r="CC127" s="918">
        <f>'Energy NPV'!U53</f>
        <v>423.52324399999998</v>
      </c>
      <c r="CD127" s="197"/>
      <c r="CE127" s="197">
        <f t="shared" si="341"/>
        <v>423.52324399999998</v>
      </c>
      <c r="CF127" s="197">
        <f t="shared" si="309"/>
        <v>673.72675600000002</v>
      </c>
      <c r="CG127" s="197">
        <f t="shared" si="310"/>
        <v>1003.726756</v>
      </c>
      <c r="CH127" s="196">
        <f t="shared" si="342"/>
        <v>725.41151243447996</v>
      </c>
      <c r="CI127" s="197">
        <f t="shared" si="343"/>
        <v>218.16887592014436</v>
      </c>
      <c r="CJ127" s="197">
        <f t="shared" si="344"/>
        <v>279.99875778646367</v>
      </c>
      <c r="CK127" s="197">
        <f t="shared" si="345"/>
        <v>445.41275464801629</v>
      </c>
      <c r="CL127" s="199">
        <f t="shared" si="346"/>
        <v>663.58163056816068</v>
      </c>
      <c r="CM127" s="196">
        <f t="shared" si="364"/>
        <v>11596.49237151665</v>
      </c>
      <c r="CN127" s="197">
        <f t="shared" si="347"/>
        <v>4057.70413599519</v>
      </c>
      <c r="CO127" s="197">
        <f t="shared" si="347"/>
        <v>7255.8435262741914</v>
      </c>
      <c r="CP127" s="197">
        <f t="shared" si="347"/>
        <v>4340.6488452424555</v>
      </c>
      <c r="CQ127" s="199">
        <f t="shared" si="347"/>
        <v>8398.3529812376455</v>
      </c>
      <c r="CT127" s="204">
        <f t="shared" si="365"/>
        <v>15</v>
      </c>
      <c r="CU127" s="760">
        <f t="shared" si="348"/>
        <v>12.54</v>
      </c>
      <c r="CV127" s="197">
        <f>'Energy Inputs'!$E$58*$CV$109</f>
        <v>0</v>
      </c>
      <c r="CW127" s="197">
        <f t="shared" si="366"/>
        <v>0</v>
      </c>
      <c r="CX127" s="197">
        <f>'Margins summary'!$S$14</f>
        <v>330</v>
      </c>
      <c r="CY127" s="197">
        <f t="shared" si="349"/>
        <v>330</v>
      </c>
      <c r="CZ127" s="197"/>
      <c r="DA127" s="918">
        <f>'Energy NPV'!U53</f>
        <v>423.52324399999998</v>
      </c>
      <c r="DB127" s="197"/>
      <c r="DC127" s="197">
        <f t="shared" si="350"/>
        <v>423.52324399999998</v>
      </c>
      <c r="DD127" s="197">
        <f t="shared" si="311"/>
        <v>-423.52324399999998</v>
      </c>
      <c r="DE127" s="197">
        <f t="shared" si="312"/>
        <v>-93.523243999999977</v>
      </c>
      <c r="DF127" s="196">
        <f t="shared" si="351"/>
        <v>0</v>
      </c>
      <c r="DG127" s="197">
        <f t="shared" si="352"/>
        <v>218.16887592014436</v>
      </c>
      <c r="DH127" s="197">
        <f t="shared" si="353"/>
        <v>279.99875778646367</v>
      </c>
      <c r="DI127" s="197">
        <f t="shared" si="354"/>
        <v>-279.99875778646367</v>
      </c>
      <c r="DJ127" s="199">
        <f t="shared" si="355"/>
        <v>-61.829881866319333</v>
      </c>
      <c r="DK127" s="196">
        <f t="shared" si="367"/>
        <v>0</v>
      </c>
      <c r="DL127" s="197">
        <f t="shared" si="356"/>
        <v>4057.70413599519</v>
      </c>
      <c r="DM127" s="197">
        <f t="shared" si="356"/>
        <v>7255.8435262741914</v>
      </c>
      <c r="DN127" s="197">
        <f t="shared" si="356"/>
        <v>-7255.8435262741914</v>
      </c>
      <c r="DO127" s="199">
        <f t="shared" si="356"/>
        <v>-3198.1393902790014</v>
      </c>
    </row>
    <row r="128" spans="2:119" x14ac:dyDescent="0.3">
      <c r="B128" s="901">
        <v>16</v>
      </c>
      <c r="C128" s="761">
        <f>'Energy NPV'!$D54</f>
        <v>12.54</v>
      </c>
      <c r="D128" s="207">
        <f>'Energy Inputs'!$E$58*$E$109</f>
        <v>43.75</v>
      </c>
      <c r="E128" s="207">
        <f t="shared" si="357"/>
        <v>548.625</v>
      </c>
      <c r="F128" s="207">
        <f>'Margins summary'!$S$14</f>
        <v>330</v>
      </c>
      <c r="G128" s="207">
        <f t="shared" si="313"/>
        <v>878.625</v>
      </c>
      <c r="H128" s="207"/>
      <c r="I128" s="919">
        <f>'Energy NPV'!U54</f>
        <v>423.52324399999998</v>
      </c>
      <c r="J128" s="207">
        <f>'Energy margins'!$Q$67</f>
        <v>192.1</v>
      </c>
      <c r="K128" s="207">
        <f t="shared" si="314"/>
        <v>615.623244</v>
      </c>
      <c r="L128" s="207">
        <f t="shared" si="303"/>
        <v>-66.998244</v>
      </c>
      <c r="M128" s="207">
        <f t="shared" si="304"/>
        <v>263.001756</v>
      </c>
      <c r="N128" s="208">
        <f t="shared" si="315"/>
        <v>352.14151089052422</v>
      </c>
      <c r="O128" s="207">
        <f t="shared" si="316"/>
        <v>211.81444264091684</v>
      </c>
      <c r="P128" s="207">
        <f t="shared" si="317"/>
        <v>395.14513425652467</v>
      </c>
      <c r="Q128" s="207">
        <f t="shared" si="318"/>
        <v>-43.003623366000454</v>
      </c>
      <c r="R128" s="209">
        <f t="shared" si="319"/>
        <v>168.81081927491638</v>
      </c>
      <c r="S128" s="208">
        <f t="shared" si="358"/>
        <v>6150.3876966488488</v>
      </c>
      <c r="T128" s="207">
        <f t="shared" si="320"/>
        <v>4269.5185786361071</v>
      </c>
      <c r="U128" s="207">
        <f t="shared" si="320"/>
        <v>7650.9886605307165</v>
      </c>
      <c r="V128" s="207">
        <f t="shared" si="320"/>
        <v>-1500.6009638818682</v>
      </c>
      <c r="W128" s="209">
        <f t="shared" si="320"/>
        <v>2768.917614754238</v>
      </c>
      <c r="X128" s="197"/>
      <c r="Z128" s="901">
        <v>16</v>
      </c>
      <c r="AA128" s="761">
        <f t="shared" si="321"/>
        <v>12.54</v>
      </c>
      <c r="AB128" s="207">
        <f>'Energy Inputs'!$E$58*$AB$109</f>
        <v>65.625</v>
      </c>
      <c r="AC128" s="207">
        <f t="shared" si="359"/>
        <v>822.9375</v>
      </c>
      <c r="AD128" s="207">
        <f>'Margins summary'!$S$14</f>
        <v>330</v>
      </c>
      <c r="AE128" s="207">
        <f t="shared" si="322"/>
        <v>1152.9375</v>
      </c>
      <c r="AF128" s="207"/>
      <c r="AG128" s="919">
        <f>'Energy NPV'!U54</f>
        <v>423.52324399999998</v>
      </c>
      <c r="AH128" s="207">
        <f>'Energy margins'!$Q$67</f>
        <v>192.1</v>
      </c>
      <c r="AI128" s="207">
        <f t="shared" si="323"/>
        <v>615.623244</v>
      </c>
      <c r="AJ128" s="207">
        <f t="shared" si="305"/>
        <v>207.314256</v>
      </c>
      <c r="AK128" s="207">
        <f t="shared" si="306"/>
        <v>537.314256</v>
      </c>
      <c r="AL128" s="208">
        <f t="shared" si="324"/>
        <v>528.21226633578635</v>
      </c>
      <c r="AM128" s="207">
        <f t="shared" si="325"/>
        <v>211.81444264091684</v>
      </c>
      <c r="AN128" s="207">
        <f t="shared" si="326"/>
        <v>395.14513425652467</v>
      </c>
      <c r="AO128" s="207">
        <f t="shared" si="327"/>
        <v>133.06713207926165</v>
      </c>
      <c r="AP128" s="209">
        <f t="shared" si="328"/>
        <v>344.88157472017849</v>
      </c>
      <c r="AQ128" s="208">
        <f>AQ127+AL128</f>
        <v>9225.5815449732727</v>
      </c>
      <c r="AR128" s="207">
        <f t="shared" si="329"/>
        <v>4269.5185786361071</v>
      </c>
      <c r="AS128" s="207">
        <f t="shared" si="329"/>
        <v>7650.9886605307165</v>
      </c>
      <c r="AT128" s="207">
        <f t="shared" si="329"/>
        <v>1574.5928844425559</v>
      </c>
      <c r="AU128" s="209">
        <f t="shared" si="329"/>
        <v>5844.1114630786624</v>
      </c>
      <c r="AV128" s="197"/>
      <c r="AX128" s="901">
        <v>16</v>
      </c>
      <c r="AY128" s="761">
        <f t="shared" si="330"/>
        <v>12.54</v>
      </c>
      <c r="AZ128" s="207">
        <f>'Energy Inputs'!$E$58*$AZ$109</f>
        <v>21.875</v>
      </c>
      <c r="BA128" s="207">
        <f t="shared" si="361"/>
        <v>274.3125</v>
      </c>
      <c r="BB128" s="207">
        <f>'Margins summary'!$S$14</f>
        <v>330</v>
      </c>
      <c r="BC128" s="207">
        <f t="shared" si="331"/>
        <v>604.3125</v>
      </c>
      <c r="BD128" s="207"/>
      <c r="BE128" s="919">
        <f>'Energy NPV'!U54</f>
        <v>423.52324399999998</v>
      </c>
      <c r="BF128" s="207">
        <f>'Energy margins'!$Q$67</f>
        <v>192.1</v>
      </c>
      <c r="BG128" s="207">
        <f t="shared" si="332"/>
        <v>615.623244</v>
      </c>
      <c r="BH128" s="207">
        <f t="shared" si="307"/>
        <v>-341.310744</v>
      </c>
      <c r="BI128" s="207">
        <f t="shared" si="308"/>
        <v>-11.310744</v>
      </c>
      <c r="BJ128" s="208">
        <f t="shared" si="333"/>
        <v>176.07075544526211</v>
      </c>
      <c r="BK128" s="207">
        <f t="shared" si="334"/>
        <v>211.81444264091684</v>
      </c>
      <c r="BL128" s="207">
        <f t="shared" si="335"/>
        <v>395.14513425652467</v>
      </c>
      <c r="BM128" s="207">
        <f t="shared" si="336"/>
        <v>-219.07437881126256</v>
      </c>
      <c r="BN128" s="209">
        <f t="shared" si="337"/>
        <v>-7.2599361703457399</v>
      </c>
      <c r="BO128" s="208">
        <f t="shared" si="362"/>
        <v>3075.1938483244244</v>
      </c>
      <c r="BP128" s="207">
        <f t="shared" si="338"/>
        <v>4269.5185786361071</v>
      </c>
      <c r="BQ128" s="207">
        <f t="shared" si="338"/>
        <v>7650.9886605307165</v>
      </c>
      <c r="BR128" s="207">
        <f t="shared" si="338"/>
        <v>-4575.7948122062917</v>
      </c>
      <c r="BS128" s="209">
        <f t="shared" si="338"/>
        <v>-306.27623357018598</v>
      </c>
      <c r="BV128" s="901">
        <v>16</v>
      </c>
      <c r="BW128" s="761">
        <f t="shared" si="339"/>
        <v>12.54</v>
      </c>
      <c r="BX128" s="207">
        <f>'Energy Inputs'!$E$58*$BX$109</f>
        <v>87.5</v>
      </c>
      <c r="BY128" s="207">
        <f t="shared" si="363"/>
        <v>1097.25</v>
      </c>
      <c r="BZ128" s="207">
        <f>'Margins summary'!$S$14</f>
        <v>330</v>
      </c>
      <c r="CA128" s="207">
        <f t="shared" si="340"/>
        <v>1427.25</v>
      </c>
      <c r="CB128" s="207"/>
      <c r="CC128" s="919">
        <f>'Energy NPV'!U54</f>
        <v>423.52324399999998</v>
      </c>
      <c r="CD128" s="207">
        <f>'Energy margins'!$Q$67</f>
        <v>192.1</v>
      </c>
      <c r="CE128" s="207">
        <f t="shared" si="341"/>
        <v>615.623244</v>
      </c>
      <c r="CF128" s="207">
        <f t="shared" si="309"/>
        <v>481.626756</v>
      </c>
      <c r="CG128" s="207">
        <f t="shared" si="310"/>
        <v>811.626756</v>
      </c>
      <c r="CH128" s="208">
        <f t="shared" si="342"/>
        <v>704.28302178104843</v>
      </c>
      <c r="CI128" s="207">
        <f t="shared" si="343"/>
        <v>211.81444264091684</v>
      </c>
      <c r="CJ128" s="207">
        <f t="shared" si="344"/>
        <v>395.14513425652467</v>
      </c>
      <c r="CK128" s="207">
        <f t="shared" si="345"/>
        <v>309.13788752452376</v>
      </c>
      <c r="CL128" s="209">
        <f t="shared" si="346"/>
        <v>520.95233016544057</v>
      </c>
      <c r="CM128" s="208">
        <f t="shared" si="364"/>
        <v>12300.775393297698</v>
      </c>
      <c r="CN128" s="207">
        <f t="shared" si="347"/>
        <v>4269.5185786361071</v>
      </c>
      <c r="CO128" s="207">
        <f t="shared" si="347"/>
        <v>7650.9886605307165</v>
      </c>
      <c r="CP128" s="207">
        <f t="shared" si="347"/>
        <v>4649.7867327669792</v>
      </c>
      <c r="CQ128" s="209">
        <f t="shared" si="347"/>
        <v>8919.3053114030863</v>
      </c>
      <c r="CT128" s="206">
        <f t="shared" si="365"/>
        <v>16</v>
      </c>
      <c r="CU128" s="761">
        <f t="shared" si="348"/>
        <v>12.54</v>
      </c>
      <c r="CV128" s="207">
        <f>'Energy Inputs'!$E$58*$CV$109</f>
        <v>0</v>
      </c>
      <c r="CW128" s="207">
        <f t="shared" si="366"/>
        <v>0</v>
      </c>
      <c r="CX128" s="207">
        <f>'Margins summary'!$S$14</f>
        <v>330</v>
      </c>
      <c r="CY128" s="207">
        <f t="shared" si="349"/>
        <v>330</v>
      </c>
      <c r="CZ128" s="207"/>
      <c r="DA128" s="919">
        <f>'Energy NPV'!U54</f>
        <v>423.52324399999998</v>
      </c>
      <c r="DB128" s="207">
        <f>'Energy margins'!$Q$67</f>
        <v>192.1</v>
      </c>
      <c r="DC128" s="207">
        <f t="shared" si="350"/>
        <v>615.623244</v>
      </c>
      <c r="DD128" s="207">
        <f t="shared" si="311"/>
        <v>-615.623244</v>
      </c>
      <c r="DE128" s="207">
        <f t="shared" si="312"/>
        <v>-285.623244</v>
      </c>
      <c r="DF128" s="208">
        <f t="shared" si="351"/>
        <v>0</v>
      </c>
      <c r="DG128" s="207">
        <f t="shared" si="352"/>
        <v>211.81444264091684</v>
      </c>
      <c r="DH128" s="207">
        <f t="shared" si="353"/>
        <v>395.14513425652467</v>
      </c>
      <c r="DI128" s="207">
        <f t="shared" si="354"/>
        <v>-395.14513425652467</v>
      </c>
      <c r="DJ128" s="209">
        <f t="shared" si="355"/>
        <v>-183.33069161560786</v>
      </c>
      <c r="DK128" s="208">
        <f t="shared" si="367"/>
        <v>0</v>
      </c>
      <c r="DL128" s="207">
        <f t="shared" si="356"/>
        <v>4269.5185786361071</v>
      </c>
      <c r="DM128" s="207">
        <f t="shared" si="356"/>
        <v>7650.9886605307165</v>
      </c>
      <c r="DN128" s="207">
        <f t="shared" si="356"/>
        <v>-7650.9886605307165</v>
      </c>
      <c r="DO128" s="209">
        <f t="shared" si="356"/>
        <v>-3381.4700818946094</v>
      </c>
    </row>
    <row r="134" spans="2:118" x14ac:dyDescent="0.3">
      <c r="B134" s="212" t="s">
        <v>255</v>
      </c>
      <c r="C134" s="763" t="s">
        <v>384</v>
      </c>
      <c r="D134" s="269" t="s">
        <v>395</v>
      </c>
      <c r="E134" s="913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255</v>
      </c>
      <c r="AA134" s="763" t="s">
        <v>385</v>
      </c>
      <c r="AB134" s="269" t="s">
        <v>395</v>
      </c>
      <c r="AC134" s="913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255</v>
      </c>
      <c r="AY134" s="763" t="s">
        <v>386</v>
      </c>
      <c r="AZ134" s="269" t="s">
        <v>395</v>
      </c>
      <c r="BA134" s="913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255</v>
      </c>
      <c r="BW134" s="763" t="s">
        <v>387</v>
      </c>
      <c r="BX134" s="269" t="s">
        <v>395</v>
      </c>
      <c r="BY134" s="913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255</v>
      </c>
      <c r="CU134" s="763" t="s">
        <v>388</v>
      </c>
      <c r="CV134" s="269" t="s">
        <v>395</v>
      </c>
      <c r="CW134" s="913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8"/>
      <c r="F135" s="758"/>
      <c r="G135" s="758"/>
      <c r="H135" s="148"/>
      <c r="I135" s="148"/>
      <c r="J135" s="758"/>
      <c r="K135" s="148"/>
      <c r="L135" s="148"/>
      <c r="M135" s="894" t="s">
        <v>270</v>
      </c>
      <c r="N135" s="895"/>
      <c r="O135" s="895"/>
      <c r="P135" s="895"/>
      <c r="Q135" s="896"/>
      <c r="R135" s="894" t="s">
        <v>271</v>
      </c>
      <c r="S135" s="895"/>
      <c r="T135" s="895"/>
      <c r="U135" s="895"/>
      <c r="V135" s="896"/>
      <c r="Z135" s="203"/>
      <c r="AB135" s="158"/>
      <c r="AC135" s="758"/>
      <c r="AD135" s="758"/>
      <c r="AE135" s="758"/>
      <c r="AF135" s="148"/>
      <c r="AG135" s="148"/>
      <c r="AH135" s="758"/>
      <c r="AI135" s="148"/>
      <c r="AJ135" s="148"/>
      <c r="AK135" s="894" t="s">
        <v>270</v>
      </c>
      <c r="AL135" s="895"/>
      <c r="AM135" s="895"/>
      <c r="AN135" s="895"/>
      <c r="AO135" s="896"/>
      <c r="AP135" s="894" t="s">
        <v>271</v>
      </c>
      <c r="AQ135" s="895"/>
      <c r="AR135" s="895"/>
      <c r="AS135" s="895"/>
      <c r="AT135" s="896"/>
      <c r="AX135" s="203"/>
      <c r="AZ135" s="158"/>
      <c r="BA135" s="758"/>
      <c r="BB135" s="758"/>
      <c r="BC135" s="758"/>
      <c r="BD135" s="148"/>
      <c r="BE135" s="148"/>
      <c r="BF135" s="758"/>
      <c r="BG135" s="148"/>
      <c r="BH135" s="148"/>
      <c r="BI135" s="894" t="s">
        <v>270</v>
      </c>
      <c r="BJ135" s="895"/>
      <c r="BK135" s="895"/>
      <c r="BL135" s="895"/>
      <c r="BM135" s="896"/>
      <c r="BN135" s="894" t="s">
        <v>271</v>
      </c>
      <c r="BO135" s="895"/>
      <c r="BP135" s="895"/>
      <c r="BQ135" s="895"/>
      <c r="BR135" s="896"/>
      <c r="BV135" s="203"/>
      <c r="BX135" s="158"/>
      <c r="BY135" s="758"/>
      <c r="BZ135" s="758"/>
      <c r="CA135" s="758"/>
      <c r="CB135" s="148"/>
      <c r="CC135" s="148"/>
      <c r="CD135" s="758"/>
      <c r="CE135" s="148"/>
      <c r="CF135" s="148"/>
      <c r="CG135" s="894" t="s">
        <v>270</v>
      </c>
      <c r="CH135" s="895"/>
      <c r="CI135" s="895"/>
      <c r="CJ135" s="895"/>
      <c r="CK135" s="896"/>
      <c r="CL135" s="894" t="s">
        <v>271</v>
      </c>
      <c r="CM135" s="895"/>
      <c r="CN135" s="895"/>
      <c r="CO135" s="895"/>
      <c r="CP135" s="896"/>
      <c r="CT135" s="203"/>
      <c r="CV135" s="158"/>
      <c r="CW135" s="758"/>
      <c r="CX135" s="758"/>
      <c r="CY135" s="758"/>
      <c r="CZ135" s="148"/>
      <c r="DA135" s="148"/>
      <c r="DB135" s="758"/>
      <c r="DC135" s="148"/>
      <c r="DD135" s="148"/>
      <c r="DE135" s="894" t="s">
        <v>270</v>
      </c>
      <c r="DF135" s="895"/>
      <c r="DG135" s="895"/>
      <c r="DH135" s="895"/>
      <c r="DI135" s="896"/>
      <c r="DJ135" s="894" t="s">
        <v>271</v>
      </c>
      <c r="DK135" s="895"/>
      <c r="DL135" s="895"/>
      <c r="DM135" s="895"/>
      <c r="DN135" s="896"/>
    </row>
    <row r="136" spans="2:118" ht="51" x14ac:dyDescent="0.3">
      <c r="B136" s="204" t="s">
        <v>272</v>
      </c>
      <c r="C136" s="205" t="s">
        <v>289</v>
      </c>
      <c r="D136" s="205" t="s">
        <v>290</v>
      </c>
      <c r="E136" s="171" t="s">
        <v>676</v>
      </c>
      <c r="F136" s="171" t="s">
        <v>672</v>
      </c>
      <c r="G136" s="171" t="s">
        <v>677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276</v>
      </c>
      <c r="K136" s="171" t="s">
        <v>678</v>
      </c>
      <c r="L136" s="171" t="s">
        <v>679</v>
      </c>
      <c r="M136" s="195" t="s">
        <v>277</v>
      </c>
      <c r="N136" s="171" t="s">
        <v>680</v>
      </c>
      <c r="O136" s="171" t="s">
        <v>278</v>
      </c>
      <c r="P136" s="171" t="s">
        <v>681</v>
      </c>
      <c r="Q136" s="198" t="s">
        <v>279</v>
      </c>
      <c r="R136" s="195" t="s">
        <v>280</v>
      </c>
      <c r="S136" s="171" t="s">
        <v>682</v>
      </c>
      <c r="T136" s="171" t="s">
        <v>281</v>
      </c>
      <c r="U136" s="171" t="s">
        <v>683</v>
      </c>
      <c r="V136" s="198" t="s">
        <v>282</v>
      </c>
      <c r="Z136" s="204" t="s">
        <v>272</v>
      </c>
      <c r="AA136" s="205" t="s">
        <v>289</v>
      </c>
      <c r="AB136" s="205" t="s">
        <v>290</v>
      </c>
      <c r="AC136" s="171" t="s">
        <v>676</v>
      </c>
      <c r="AD136" s="171" t="s">
        <v>672</v>
      </c>
      <c r="AE136" s="171" t="s">
        <v>677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276</v>
      </c>
      <c r="AI136" s="171" t="s">
        <v>678</v>
      </c>
      <c r="AJ136" s="171" t="s">
        <v>679</v>
      </c>
      <c r="AK136" s="195" t="s">
        <v>277</v>
      </c>
      <c r="AL136" s="171" t="s">
        <v>680</v>
      </c>
      <c r="AM136" s="171" t="s">
        <v>278</v>
      </c>
      <c r="AN136" s="171" t="s">
        <v>681</v>
      </c>
      <c r="AO136" s="198" t="s">
        <v>279</v>
      </c>
      <c r="AP136" s="195" t="s">
        <v>280</v>
      </c>
      <c r="AQ136" s="171" t="s">
        <v>682</v>
      </c>
      <c r="AR136" s="171" t="s">
        <v>281</v>
      </c>
      <c r="AS136" s="171" t="s">
        <v>683</v>
      </c>
      <c r="AT136" s="198" t="s">
        <v>282</v>
      </c>
      <c r="AX136" s="204" t="s">
        <v>272</v>
      </c>
      <c r="AY136" s="205" t="s">
        <v>289</v>
      </c>
      <c r="AZ136" s="205" t="s">
        <v>290</v>
      </c>
      <c r="BA136" s="171" t="s">
        <v>676</v>
      </c>
      <c r="BB136" s="171" t="s">
        <v>672</v>
      </c>
      <c r="BC136" s="171" t="s">
        <v>677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276</v>
      </c>
      <c r="BG136" s="171" t="s">
        <v>678</v>
      </c>
      <c r="BH136" s="171" t="s">
        <v>679</v>
      </c>
      <c r="BI136" s="195" t="s">
        <v>277</v>
      </c>
      <c r="BJ136" s="171" t="s">
        <v>680</v>
      </c>
      <c r="BK136" s="171" t="s">
        <v>278</v>
      </c>
      <c r="BL136" s="171" t="s">
        <v>681</v>
      </c>
      <c r="BM136" s="198" t="s">
        <v>279</v>
      </c>
      <c r="BN136" s="195" t="s">
        <v>280</v>
      </c>
      <c r="BO136" s="171" t="s">
        <v>682</v>
      </c>
      <c r="BP136" s="171" t="s">
        <v>281</v>
      </c>
      <c r="BQ136" s="171" t="s">
        <v>683</v>
      </c>
      <c r="BR136" s="198" t="s">
        <v>282</v>
      </c>
      <c r="BV136" s="204" t="s">
        <v>272</v>
      </c>
      <c r="BW136" s="205" t="s">
        <v>289</v>
      </c>
      <c r="BX136" s="205" t="s">
        <v>290</v>
      </c>
      <c r="BY136" s="171" t="s">
        <v>676</v>
      </c>
      <c r="BZ136" s="171" t="s">
        <v>672</v>
      </c>
      <c r="CA136" s="171" t="s">
        <v>677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276</v>
      </c>
      <c r="CE136" s="171" t="s">
        <v>678</v>
      </c>
      <c r="CF136" s="171" t="s">
        <v>679</v>
      </c>
      <c r="CG136" s="195" t="s">
        <v>277</v>
      </c>
      <c r="CH136" s="171" t="s">
        <v>680</v>
      </c>
      <c r="CI136" s="171" t="s">
        <v>278</v>
      </c>
      <c r="CJ136" s="171" t="s">
        <v>681</v>
      </c>
      <c r="CK136" s="198" t="s">
        <v>279</v>
      </c>
      <c r="CL136" s="195" t="s">
        <v>280</v>
      </c>
      <c r="CM136" s="171" t="s">
        <v>682</v>
      </c>
      <c r="CN136" s="171" t="s">
        <v>281</v>
      </c>
      <c r="CO136" s="171" t="s">
        <v>683</v>
      </c>
      <c r="CP136" s="198" t="s">
        <v>282</v>
      </c>
      <c r="CT136" s="204" t="s">
        <v>272</v>
      </c>
      <c r="CU136" s="205" t="s">
        <v>289</v>
      </c>
      <c r="CV136" s="205" t="s">
        <v>290</v>
      </c>
      <c r="CW136" s="171" t="s">
        <v>676</v>
      </c>
      <c r="CX136" s="171" t="s">
        <v>672</v>
      </c>
      <c r="CY136" s="171" t="s">
        <v>677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276</v>
      </c>
      <c r="DC136" s="171" t="s">
        <v>678</v>
      </c>
      <c r="DD136" s="171" t="s">
        <v>679</v>
      </c>
      <c r="DE136" s="195" t="s">
        <v>277</v>
      </c>
      <c r="DF136" s="171" t="s">
        <v>680</v>
      </c>
      <c r="DG136" s="171" t="s">
        <v>278</v>
      </c>
      <c r="DH136" s="171" t="s">
        <v>681</v>
      </c>
      <c r="DI136" s="198" t="s">
        <v>279</v>
      </c>
      <c r="DJ136" s="195" t="s">
        <v>280</v>
      </c>
      <c r="DK136" s="171" t="s">
        <v>682</v>
      </c>
      <c r="DL136" s="171" t="s">
        <v>281</v>
      </c>
      <c r="DM136" s="171" t="s">
        <v>683</v>
      </c>
      <c r="DN136" s="198" t="s">
        <v>282</v>
      </c>
    </row>
    <row r="137" spans="2:118" x14ac:dyDescent="0.3">
      <c r="B137" s="173"/>
      <c r="C137" s="226" t="s">
        <v>332</v>
      </c>
      <c r="D137" s="226" t="s">
        <v>569</v>
      </c>
      <c r="E137" s="201" t="s">
        <v>567</v>
      </c>
      <c r="F137" s="201" t="s">
        <v>567</v>
      </c>
      <c r="G137" s="201" t="s">
        <v>567</v>
      </c>
      <c r="H137" s="201" t="s">
        <v>567</v>
      </c>
      <c r="I137" s="201" t="s">
        <v>567</v>
      </c>
      <c r="J137" s="201" t="s">
        <v>567</v>
      </c>
      <c r="K137" s="201" t="s">
        <v>567</v>
      </c>
      <c r="L137" s="202" t="s">
        <v>567</v>
      </c>
      <c r="M137" s="201" t="s">
        <v>567</v>
      </c>
      <c r="N137" s="201" t="s">
        <v>567</v>
      </c>
      <c r="O137" s="201" t="s">
        <v>567</v>
      </c>
      <c r="P137" s="201" t="s">
        <v>567</v>
      </c>
      <c r="Q137" s="202" t="s">
        <v>567</v>
      </c>
      <c r="R137" s="201" t="s">
        <v>567</v>
      </c>
      <c r="S137" s="201" t="s">
        <v>567</v>
      </c>
      <c r="T137" s="201" t="s">
        <v>567</v>
      </c>
      <c r="U137" s="201" t="s">
        <v>567</v>
      </c>
      <c r="V137" s="202" t="s">
        <v>567</v>
      </c>
      <c r="Z137" s="173"/>
      <c r="AA137" s="226" t="s">
        <v>332</v>
      </c>
      <c r="AB137" s="226" t="s">
        <v>569</v>
      </c>
      <c r="AC137" s="201" t="s">
        <v>567</v>
      </c>
      <c r="AD137" s="201" t="s">
        <v>567</v>
      </c>
      <c r="AE137" s="201" t="s">
        <v>567</v>
      </c>
      <c r="AF137" s="201" t="s">
        <v>567</v>
      </c>
      <c r="AG137" s="201" t="s">
        <v>567</v>
      </c>
      <c r="AH137" s="201" t="s">
        <v>567</v>
      </c>
      <c r="AI137" s="201" t="s">
        <v>567</v>
      </c>
      <c r="AJ137" s="202" t="s">
        <v>567</v>
      </c>
      <c r="AK137" s="201" t="s">
        <v>567</v>
      </c>
      <c r="AL137" s="201" t="s">
        <v>567</v>
      </c>
      <c r="AM137" s="201" t="s">
        <v>567</v>
      </c>
      <c r="AN137" s="201" t="s">
        <v>567</v>
      </c>
      <c r="AO137" s="202" t="s">
        <v>567</v>
      </c>
      <c r="AP137" s="201" t="s">
        <v>567</v>
      </c>
      <c r="AQ137" s="201" t="s">
        <v>567</v>
      </c>
      <c r="AR137" s="201" t="s">
        <v>567</v>
      </c>
      <c r="AS137" s="201" t="s">
        <v>567</v>
      </c>
      <c r="AT137" s="202" t="s">
        <v>567</v>
      </c>
      <c r="AX137" s="173"/>
      <c r="AY137" s="226" t="s">
        <v>332</v>
      </c>
      <c r="AZ137" s="226" t="s">
        <v>569</v>
      </c>
      <c r="BA137" s="201" t="s">
        <v>567</v>
      </c>
      <c r="BB137" s="201" t="s">
        <v>567</v>
      </c>
      <c r="BC137" s="201" t="s">
        <v>567</v>
      </c>
      <c r="BD137" s="201" t="s">
        <v>567</v>
      </c>
      <c r="BE137" s="201" t="s">
        <v>567</v>
      </c>
      <c r="BF137" s="201" t="s">
        <v>567</v>
      </c>
      <c r="BG137" s="201" t="s">
        <v>567</v>
      </c>
      <c r="BH137" s="202" t="s">
        <v>567</v>
      </c>
      <c r="BI137" s="201" t="s">
        <v>567</v>
      </c>
      <c r="BJ137" s="201" t="s">
        <v>567</v>
      </c>
      <c r="BK137" s="201" t="s">
        <v>567</v>
      </c>
      <c r="BL137" s="201" t="s">
        <v>567</v>
      </c>
      <c r="BM137" s="202" t="s">
        <v>567</v>
      </c>
      <c r="BN137" s="201" t="s">
        <v>567</v>
      </c>
      <c r="BO137" s="201" t="s">
        <v>567</v>
      </c>
      <c r="BP137" s="201" t="s">
        <v>567</v>
      </c>
      <c r="BQ137" s="201" t="s">
        <v>567</v>
      </c>
      <c r="BR137" s="202" t="s">
        <v>567</v>
      </c>
      <c r="BV137" s="173"/>
      <c r="BW137" s="226" t="s">
        <v>332</v>
      </c>
      <c r="BX137" s="226" t="s">
        <v>569</v>
      </c>
      <c r="BY137" s="201" t="s">
        <v>567</v>
      </c>
      <c r="BZ137" s="201" t="s">
        <v>567</v>
      </c>
      <c r="CA137" s="201" t="s">
        <v>567</v>
      </c>
      <c r="CB137" s="201" t="s">
        <v>567</v>
      </c>
      <c r="CC137" s="201" t="s">
        <v>567</v>
      </c>
      <c r="CD137" s="201" t="s">
        <v>567</v>
      </c>
      <c r="CE137" s="201" t="s">
        <v>567</v>
      </c>
      <c r="CF137" s="202" t="s">
        <v>567</v>
      </c>
      <c r="CG137" s="201" t="s">
        <v>567</v>
      </c>
      <c r="CH137" s="201" t="s">
        <v>567</v>
      </c>
      <c r="CI137" s="201" t="s">
        <v>567</v>
      </c>
      <c r="CJ137" s="201" t="s">
        <v>567</v>
      </c>
      <c r="CK137" s="202" t="s">
        <v>567</v>
      </c>
      <c r="CL137" s="201" t="s">
        <v>567</v>
      </c>
      <c r="CM137" s="201" t="s">
        <v>567</v>
      </c>
      <c r="CN137" s="201" t="s">
        <v>567</v>
      </c>
      <c r="CO137" s="201" t="s">
        <v>567</v>
      </c>
      <c r="CP137" s="202" t="s">
        <v>567</v>
      </c>
      <c r="CT137" s="173"/>
      <c r="CU137" s="226" t="s">
        <v>332</v>
      </c>
      <c r="CV137" s="226" t="s">
        <v>569</v>
      </c>
      <c r="CW137" s="201" t="s">
        <v>567</v>
      </c>
      <c r="CX137" s="201" t="s">
        <v>567</v>
      </c>
      <c r="CY137" s="201" t="s">
        <v>567</v>
      </c>
      <c r="CZ137" s="201" t="s">
        <v>567</v>
      </c>
      <c r="DA137" s="201" t="s">
        <v>567</v>
      </c>
      <c r="DB137" s="201" t="s">
        <v>567</v>
      </c>
      <c r="DC137" s="201" t="s">
        <v>567</v>
      </c>
      <c r="DD137" s="202" t="s">
        <v>567</v>
      </c>
      <c r="DE137" s="201" t="s">
        <v>567</v>
      </c>
      <c r="DF137" s="201" t="s">
        <v>567</v>
      </c>
      <c r="DG137" s="201" t="s">
        <v>567</v>
      </c>
      <c r="DH137" s="201" t="s">
        <v>567</v>
      </c>
      <c r="DI137" s="202" t="s">
        <v>567</v>
      </c>
      <c r="DJ137" s="201" t="s">
        <v>567</v>
      </c>
      <c r="DK137" s="201" t="s">
        <v>567</v>
      </c>
      <c r="DL137" s="201" t="s">
        <v>567</v>
      </c>
      <c r="DM137" s="201" t="s">
        <v>567</v>
      </c>
      <c r="DN137" s="202" t="s">
        <v>567</v>
      </c>
    </row>
    <row r="138" spans="2:118" x14ac:dyDescent="0.3">
      <c r="B138" s="899">
        <v>1</v>
      </c>
      <c r="C138" s="911">
        <f>'Arable Inputs'!$H$18</f>
        <v>9.4</v>
      </c>
      <c r="D138" s="760">
        <f>'Arable Inputs'!$H$25*$E$134</f>
        <v>94.285714285714292</v>
      </c>
      <c r="E138" s="762">
        <f>C138*D138</f>
        <v>886.28571428571433</v>
      </c>
      <c r="F138" s="197">
        <f>'Arable NPV'!$D117</f>
        <v>330</v>
      </c>
      <c r="G138" s="197">
        <f>E138+F138</f>
        <v>1216.2857142857142</v>
      </c>
      <c r="H138" s="197">
        <f>'Arable NPV'!$F117</f>
        <v>566.71194999999989</v>
      </c>
      <c r="I138" s="197">
        <f>'Arable NPV'!$G117</f>
        <v>691.46913599999993</v>
      </c>
      <c r="J138" s="197">
        <f>H138+I138</f>
        <v>1258.1810859999998</v>
      </c>
      <c r="K138" s="197">
        <f>E138-J138</f>
        <v>-371.89537171428549</v>
      </c>
      <c r="L138" s="197">
        <f>G138-J138</f>
        <v>-41.895371714285602</v>
      </c>
      <c r="M138" s="1033">
        <f>E138/(1+$B$4)^(B138-1)</f>
        <v>886.28571428571433</v>
      </c>
      <c r="N138" s="213">
        <f>F138/(1+$B$4)^(B138-1)</f>
        <v>330</v>
      </c>
      <c r="O138" s="213">
        <f>J138/(1+$B$4)^(B138-1)</f>
        <v>1258.1810859999998</v>
      </c>
      <c r="P138" s="213">
        <f>K138/(1+$B$4)^(B138-1)</f>
        <v>-371.89537171428549</v>
      </c>
      <c r="Q138" s="929">
        <f>L138/(1+$B$4)^(B138-1)</f>
        <v>-41.895371714285602</v>
      </c>
      <c r="R138" s="196">
        <f>M138</f>
        <v>886.28571428571433</v>
      </c>
      <c r="S138" s="197">
        <f>N138</f>
        <v>330</v>
      </c>
      <c r="T138" s="197">
        <f>O138</f>
        <v>1258.1810859999998</v>
      </c>
      <c r="U138" s="197">
        <f>P138</f>
        <v>-371.89537171428549</v>
      </c>
      <c r="V138" s="199">
        <f>Q138</f>
        <v>-41.895371714285602</v>
      </c>
      <c r="Z138" s="899">
        <v>1</v>
      </c>
      <c r="AA138" s="911">
        <f>'Arable Inputs'!$H$18</f>
        <v>9.4</v>
      </c>
      <c r="AB138" s="760">
        <f>'Arable Inputs'!$H$25*$AC$134</f>
        <v>141.42857142857144</v>
      </c>
      <c r="AC138" s="762">
        <f>AA138*AB138</f>
        <v>1329.4285714285716</v>
      </c>
      <c r="AD138" s="197">
        <f>'Arable NPV'!$D117</f>
        <v>330</v>
      </c>
      <c r="AE138" s="197">
        <f>AC138+AD138</f>
        <v>1659.4285714285716</v>
      </c>
      <c r="AF138" s="197">
        <f>'Arable NPV'!$F117</f>
        <v>566.71194999999989</v>
      </c>
      <c r="AG138" s="197">
        <f>'Arable NPV'!$G117</f>
        <v>691.46913599999993</v>
      </c>
      <c r="AH138" s="197">
        <f>AF138+AG138</f>
        <v>1258.1810859999998</v>
      </c>
      <c r="AI138" s="197">
        <f>AC138-AH138</f>
        <v>71.247485428571736</v>
      </c>
      <c r="AJ138" s="197">
        <f>AE138-AH138</f>
        <v>401.24748542857174</v>
      </c>
      <c r="AK138" s="1033">
        <f>AC138/(1+$B$4)^(Z138-1)</f>
        <v>1329.4285714285716</v>
      </c>
      <c r="AL138" s="213">
        <f>AD138/(1+$B$4)^(Z138-1)</f>
        <v>330</v>
      </c>
      <c r="AM138" s="213">
        <f>AH138/(1+$B$4)^(Z138-1)</f>
        <v>1258.1810859999998</v>
      </c>
      <c r="AN138" s="213">
        <f>AI138/(1+$B$4)^(Z138-1)</f>
        <v>71.247485428571736</v>
      </c>
      <c r="AO138" s="929">
        <f>AJ138/(1+$B$4)^(Z138-1)</f>
        <v>401.24748542857174</v>
      </c>
      <c r="AP138" s="196">
        <f>AK138</f>
        <v>1329.4285714285716</v>
      </c>
      <c r="AQ138" s="197">
        <f>AL138</f>
        <v>330</v>
      </c>
      <c r="AR138" s="197">
        <f>AM138</f>
        <v>1258.1810859999998</v>
      </c>
      <c r="AS138" s="197">
        <f>AN138</f>
        <v>71.247485428571736</v>
      </c>
      <c r="AT138" s="199">
        <f>AO138</f>
        <v>401.24748542857174</v>
      </c>
      <c r="AX138" s="899">
        <v>1</v>
      </c>
      <c r="AY138" s="911">
        <f>'Arable Inputs'!$H$18</f>
        <v>9.4</v>
      </c>
      <c r="AZ138" s="760">
        <f>'Arable Inputs'!$H$25*$BA$134</f>
        <v>47.142857142857146</v>
      </c>
      <c r="BA138" s="762">
        <f>AY138*AZ138</f>
        <v>443.14285714285717</v>
      </c>
      <c r="BB138" s="197">
        <f>'Arable NPV'!$D117</f>
        <v>330</v>
      </c>
      <c r="BC138" s="197">
        <f>BA138+BB138</f>
        <v>773.14285714285711</v>
      </c>
      <c r="BD138" s="197">
        <f>'Arable NPV'!$F117</f>
        <v>566.71194999999989</v>
      </c>
      <c r="BE138" s="197">
        <f>'Arable NPV'!$G117</f>
        <v>691.46913599999993</v>
      </c>
      <c r="BF138" s="197">
        <f>BD138+BE138</f>
        <v>1258.1810859999998</v>
      </c>
      <c r="BG138" s="197">
        <f>BA138-BF138</f>
        <v>-815.03822885714271</v>
      </c>
      <c r="BH138" s="197">
        <f>BC138-BF138</f>
        <v>-485.03822885714271</v>
      </c>
      <c r="BI138" s="1033">
        <f>BA138/(1+$B$4)^(AX138-1)</f>
        <v>443.14285714285717</v>
      </c>
      <c r="BJ138" s="213">
        <f>BB138/(1+$B$4)^(AX138-1)</f>
        <v>330</v>
      </c>
      <c r="BK138" s="213">
        <f>BF138/(1+$B$4)^(AX138-1)</f>
        <v>1258.1810859999998</v>
      </c>
      <c r="BL138" s="213">
        <f>BG138/(1+$B$4)^(AX138-1)</f>
        <v>-815.03822885714271</v>
      </c>
      <c r="BM138" s="929">
        <f>BH138/(1+$B$4)^(AX138-1)</f>
        <v>-485.03822885714271</v>
      </c>
      <c r="BN138" s="196">
        <f>BI138</f>
        <v>443.14285714285717</v>
      </c>
      <c r="BO138" s="197">
        <f>BJ138</f>
        <v>330</v>
      </c>
      <c r="BP138" s="197">
        <f>BK138</f>
        <v>1258.1810859999998</v>
      </c>
      <c r="BQ138" s="197">
        <f>BL138</f>
        <v>-815.03822885714271</v>
      </c>
      <c r="BR138" s="199">
        <f>BM138</f>
        <v>-485.03822885714271</v>
      </c>
      <c r="BV138" s="899">
        <v>1</v>
      </c>
      <c r="BW138" s="911">
        <f>'Arable Inputs'!$H$18</f>
        <v>9.4</v>
      </c>
      <c r="BX138" s="760">
        <f>'Arable Inputs'!$H$25*$BY$134</f>
        <v>188.57142857142858</v>
      </c>
      <c r="BY138" s="762">
        <f>BW138*BX138</f>
        <v>1772.5714285714287</v>
      </c>
      <c r="BZ138" s="197">
        <f>'Arable NPV'!$D117</f>
        <v>330</v>
      </c>
      <c r="CA138" s="197">
        <f>BY138+BZ138</f>
        <v>2102.5714285714284</v>
      </c>
      <c r="CB138" s="197">
        <f>'Arable NPV'!$F117</f>
        <v>566.71194999999989</v>
      </c>
      <c r="CC138" s="197">
        <f>'Arable NPV'!$G117</f>
        <v>691.46913599999993</v>
      </c>
      <c r="CD138" s="197">
        <f>CB138+CC138</f>
        <v>1258.1810859999998</v>
      </c>
      <c r="CE138" s="197">
        <f>BY138-CD138</f>
        <v>514.39034257142885</v>
      </c>
      <c r="CF138" s="197">
        <f>CA138-CD138</f>
        <v>844.39034257142862</v>
      </c>
      <c r="CG138" s="1033">
        <f>BY138/(1+$B$4)^(BV138-1)</f>
        <v>1772.5714285714287</v>
      </c>
      <c r="CH138" s="213">
        <f>BZ138/(1+$B$4)^(BV138-1)</f>
        <v>330</v>
      </c>
      <c r="CI138" s="213">
        <f>CD138/(1+$B$4)^(BV138-1)</f>
        <v>1258.1810859999998</v>
      </c>
      <c r="CJ138" s="213">
        <f>CE138/(1+$B$4)^(BV138-1)</f>
        <v>514.39034257142885</v>
      </c>
      <c r="CK138" s="929">
        <f>CF138/(1+$B$4)^(BV138-1)</f>
        <v>844.39034257142862</v>
      </c>
      <c r="CL138" s="196">
        <f>CG138</f>
        <v>1772.5714285714287</v>
      </c>
      <c r="CM138" s="197">
        <f>CH138</f>
        <v>330</v>
      </c>
      <c r="CN138" s="197">
        <f>CI138</f>
        <v>1258.1810859999998</v>
      </c>
      <c r="CO138" s="197">
        <f>CJ138</f>
        <v>514.39034257142885</v>
      </c>
      <c r="CP138" s="199">
        <f>CK138</f>
        <v>844.39034257142862</v>
      </c>
      <c r="CT138" s="899">
        <v>1</v>
      </c>
      <c r="CU138" s="911">
        <f>'Arable Inputs'!$H$18</f>
        <v>9.4</v>
      </c>
      <c r="CV138" s="760">
        <f>'Arable Inputs'!$H$25*$CW$134</f>
        <v>0</v>
      </c>
      <c r="CW138" s="762">
        <f>CU138*CV138</f>
        <v>0</v>
      </c>
      <c r="CX138" s="197">
        <f>'Arable NPV'!$D117</f>
        <v>330</v>
      </c>
      <c r="CY138" s="197">
        <f>CW138+CX138</f>
        <v>330</v>
      </c>
      <c r="CZ138" s="197">
        <f>'Arable NPV'!$F117</f>
        <v>566.71194999999989</v>
      </c>
      <c r="DA138" s="197">
        <f>'Arable NPV'!$G117</f>
        <v>691.46913599999993</v>
      </c>
      <c r="DB138" s="197">
        <f>CZ138+DA138</f>
        <v>1258.1810859999998</v>
      </c>
      <c r="DC138" s="197">
        <f>CW138-DB138</f>
        <v>-1258.1810859999998</v>
      </c>
      <c r="DD138" s="197">
        <f>CY138-DB138</f>
        <v>-928.18108599999982</v>
      </c>
      <c r="DE138" s="1033">
        <f>CW138/(1+$B$4)^(CT138-1)</f>
        <v>0</v>
      </c>
      <c r="DF138" s="213">
        <f>CX138/(1+$B$4)^(CT138-1)</f>
        <v>330</v>
      </c>
      <c r="DG138" s="213">
        <f>DB138/(1+$B$4)^(CT138-1)</f>
        <v>1258.1810859999998</v>
      </c>
      <c r="DH138" s="213">
        <f>DC138/(1+$B$4)^(CT138-1)</f>
        <v>-1258.1810859999998</v>
      </c>
      <c r="DI138" s="929">
        <f>DD138/(1+$B$4)^(CT138-1)</f>
        <v>-928.18108599999982</v>
      </c>
      <c r="DJ138" s="196">
        <f>DE138</f>
        <v>0</v>
      </c>
      <c r="DK138" s="197">
        <f>DF138</f>
        <v>330</v>
      </c>
      <c r="DL138" s="197">
        <f>DG138</f>
        <v>1258.1810859999998</v>
      </c>
      <c r="DM138" s="197">
        <f>DH138</f>
        <v>-1258.1810859999998</v>
      </c>
      <c r="DN138" s="199">
        <f>DI138</f>
        <v>-928.18108599999982</v>
      </c>
    </row>
    <row r="139" spans="2:118" x14ac:dyDescent="0.3">
      <c r="B139" s="900">
        <v>2</v>
      </c>
      <c r="C139" s="911">
        <f>'Arable Inputs'!$H$18</f>
        <v>9.4</v>
      </c>
      <c r="D139" s="760">
        <f>'Arable Inputs'!$H$25*$E$134</f>
        <v>94.285714285714292</v>
      </c>
      <c r="E139" s="762">
        <f t="shared" ref="E139:E153" si="368">C139*D139</f>
        <v>886.28571428571433</v>
      </c>
      <c r="F139" s="197">
        <f>'Arable NPV'!$D118</f>
        <v>330</v>
      </c>
      <c r="G139" s="197">
        <f>E139+F139</f>
        <v>1216.2857142857142</v>
      </c>
      <c r="H139" s="197">
        <f>'Arable NPV'!$F118</f>
        <v>566.71194999999989</v>
      </c>
      <c r="I139" s="197">
        <f>'Arable NPV'!$G118</f>
        <v>691.46913599999993</v>
      </c>
      <c r="J139" s="197">
        <f>H139+I139</f>
        <v>1258.1810859999998</v>
      </c>
      <c r="K139" s="197">
        <f t="shared" ref="K139:K153" si="369">E139-J139</f>
        <v>-371.89537171428549</v>
      </c>
      <c r="L139" s="197">
        <f t="shared" ref="L139:L153" si="370">G139-J139</f>
        <v>-41.895371714285602</v>
      </c>
      <c r="M139" s="196">
        <f t="shared" ref="M139:M153" si="371">E139/(1+$B$4)^(B139-1)</f>
        <v>860.47156726768378</v>
      </c>
      <c r="N139" s="197">
        <f t="shared" ref="N139:N153" si="372">F139/(1+$B$4)^(B139-1)</f>
        <v>320.38834951456312</v>
      </c>
      <c r="O139" s="197">
        <f t="shared" ref="O139:O153" si="373">J139/(1+$B$4)^(B139-1)</f>
        <v>1221.5350349514561</v>
      </c>
      <c r="P139" s="197">
        <f t="shared" ref="P139:P153" si="374">K139/(1+$B$4)^(B139-1)</f>
        <v>-361.06346768377233</v>
      </c>
      <c r="Q139" s="199">
        <f t="shared" ref="Q139:Q153" si="375">L139/(1+$B$4)^(B139-1)</f>
        <v>-40.67511816920932</v>
      </c>
      <c r="R139" s="196">
        <f t="shared" ref="R139:R153" si="376">R138+M139</f>
        <v>1746.7572815533981</v>
      </c>
      <c r="S139" s="197">
        <f t="shared" ref="S139:S153" si="377">S138+N139</f>
        <v>650.38834951456306</v>
      </c>
      <c r="T139" s="197">
        <f t="shared" ref="T139:T153" si="378">T138+O139</f>
        <v>2479.7161209514561</v>
      </c>
      <c r="U139" s="197">
        <f t="shared" ref="U139:U153" si="379">U138+P139</f>
        <v>-732.95883939805776</v>
      </c>
      <c r="V139" s="199">
        <f t="shared" ref="V139:V153" si="380">V138+Q139</f>
        <v>-82.570489883494929</v>
      </c>
      <c r="Z139" s="900">
        <v>2</v>
      </c>
      <c r="AA139" s="911">
        <f>'Arable Inputs'!$H$18</f>
        <v>9.4</v>
      </c>
      <c r="AB139" s="760">
        <f>'Arable Inputs'!$H$25*$AC$134</f>
        <v>141.42857142857144</v>
      </c>
      <c r="AC139" s="762">
        <f t="shared" ref="AC139:AC153" si="381">AA139*AB139</f>
        <v>1329.4285714285716</v>
      </c>
      <c r="AD139" s="197">
        <f>'Arable NPV'!$D118</f>
        <v>330</v>
      </c>
      <c r="AE139" s="197">
        <f>AC139+AD139</f>
        <v>1659.4285714285716</v>
      </c>
      <c r="AF139" s="197">
        <f>'Arable NPV'!$F118</f>
        <v>566.71194999999989</v>
      </c>
      <c r="AG139" s="197">
        <f>'Arable NPV'!$G118</f>
        <v>691.46913599999993</v>
      </c>
      <c r="AH139" s="197">
        <f>AF139+AG139</f>
        <v>1258.1810859999998</v>
      </c>
      <c r="AI139" s="197">
        <f t="shared" ref="AI139:AI153" si="382">AC139-AH139</f>
        <v>71.247485428571736</v>
      </c>
      <c r="AJ139" s="197">
        <f t="shared" ref="AJ139:AJ153" si="383">AE139-AH139</f>
        <v>401.24748542857174</v>
      </c>
      <c r="AK139" s="196">
        <f t="shared" ref="AK139:AK153" si="384">AC139/(1+$B$4)^(Z139-1)</f>
        <v>1290.7073509015258</v>
      </c>
      <c r="AL139" s="197">
        <f t="shared" ref="AL139:AL153" si="385">AD139/(1+$B$4)^(Z139-1)</f>
        <v>320.38834951456312</v>
      </c>
      <c r="AM139" s="197">
        <f t="shared" ref="AM139:AM153" si="386">AH139/(1+$B$4)^(Z139-1)</f>
        <v>1221.5350349514561</v>
      </c>
      <c r="AN139" s="197">
        <f t="shared" ref="AN139:AN153" si="387">AI139/(1+$B$4)^(Z139-1)</f>
        <v>69.172315950069645</v>
      </c>
      <c r="AO139" s="199">
        <f t="shared" ref="AO139:AO153" si="388">AJ139/(1+$B$4)^(Z139-1)</f>
        <v>389.56066546463273</v>
      </c>
      <c r="AP139" s="196">
        <f t="shared" ref="AP139:AP153" si="389">AP138+AK139</f>
        <v>2620.1359223300974</v>
      </c>
      <c r="AQ139" s="197">
        <f t="shared" ref="AQ139:AQ153" si="390">AQ138+AL139</f>
        <v>650.38834951456306</v>
      </c>
      <c r="AR139" s="197">
        <f t="shared" ref="AR139:AR153" si="391">AR138+AM139</f>
        <v>2479.7161209514561</v>
      </c>
      <c r="AS139" s="197">
        <f t="shared" ref="AS139:AS153" si="392">AS138+AN139</f>
        <v>140.41980137864138</v>
      </c>
      <c r="AT139" s="199">
        <f t="shared" ref="AT139:AT153" si="393">AT138+AO139</f>
        <v>790.80815089320447</v>
      </c>
      <c r="AX139" s="900">
        <v>2</v>
      </c>
      <c r="AY139" s="911">
        <f>'Arable Inputs'!$H$18</f>
        <v>9.4</v>
      </c>
      <c r="AZ139" s="760">
        <f>'Arable Inputs'!$H$25*$BA$134</f>
        <v>47.142857142857146</v>
      </c>
      <c r="BA139" s="762">
        <f t="shared" ref="BA139:BA153" si="394">AY139*AZ139</f>
        <v>443.14285714285717</v>
      </c>
      <c r="BB139" s="197">
        <f>'Arable NPV'!$D118</f>
        <v>330</v>
      </c>
      <c r="BC139" s="197">
        <f>BA139+BB139</f>
        <v>773.14285714285711</v>
      </c>
      <c r="BD139" s="197">
        <f>'Arable NPV'!$F118</f>
        <v>566.71194999999989</v>
      </c>
      <c r="BE139" s="197">
        <f>'Arable NPV'!$G118</f>
        <v>691.46913599999993</v>
      </c>
      <c r="BF139" s="197">
        <f>BD139+BE139</f>
        <v>1258.1810859999998</v>
      </c>
      <c r="BG139" s="197">
        <f t="shared" ref="BG139:BG153" si="395">BA139-BF139</f>
        <v>-815.03822885714271</v>
      </c>
      <c r="BH139" s="197">
        <f t="shared" ref="BH139:BH153" si="396">BC139-BF139</f>
        <v>-485.03822885714271</v>
      </c>
      <c r="BI139" s="196">
        <f t="shared" ref="BI139:BI144" si="397">BA139/(1+$B$4)^(AX139-1)</f>
        <v>430.23578363384189</v>
      </c>
      <c r="BJ139" s="197">
        <f t="shared" ref="BJ139:BJ143" si="398">BB139/(1+$B$4)^(AX139-1)</f>
        <v>320.38834951456312</v>
      </c>
      <c r="BK139" s="197">
        <f t="shared" ref="BK139:BK144" si="399">BF139/(1+$B$4)^(AX139-1)</f>
        <v>1221.5350349514561</v>
      </c>
      <c r="BL139" s="197">
        <f t="shared" ref="BL139:BL144" si="400">BG139/(1+$B$4)^(AX139-1)</f>
        <v>-791.29925131761422</v>
      </c>
      <c r="BM139" s="199">
        <f t="shared" ref="BM139:BM153" si="401">BH139/(1+$B$4)^(AX139-1)</f>
        <v>-470.91090180305116</v>
      </c>
      <c r="BN139" s="196">
        <f t="shared" ref="BN139:BN153" si="402">BN138+BI139</f>
        <v>873.37864077669906</v>
      </c>
      <c r="BO139" s="197">
        <f t="shared" ref="BO139:BO153" si="403">BO138+BJ139</f>
        <v>650.38834951456306</v>
      </c>
      <c r="BP139" s="197">
        <f t="shared" ref="BP139:BP153" si="404">BP138+BK139</f>
        <v>2479.7161209514561</v>
      </c>
      <c r="BQ139" s="197">
        <f t="shared" ref="BQ139:BQ153" si="405">BQ138+BL139</f>
        <v>-1606.3374801747568</v>
      </c>
      <c r="BR139" s="199">
        <f t="shared" ref="BR139:BR153" si="406">BR138+BM139</f>
        <v>-955.94913066019387</v>
      </c>
      <c r="BV139" s="900">
        <v>2</v>
      </c>
      <c r="BW139" s="911">
        <f>'Arable Inputs'!$H$18</f>
        <v>9.4</v>
      </c>
      <c r="BX139" s="760">
        <f>'Arable Inputs'!$H$25*$BY$134</f>
        <v>188.57142857142858</v>
      </c>
      <c r="BY139" s="762">
        <f t="shared" ref="BY139:BY153" si="407">BW139*BX139</f>
        <v>1772.5714285714287</v>
      </c>
      <c r="BZ139" s="197">
        <f>'Arable NPV'!$D118</f>
        <v>330</v>
      </c>
      <c r="CA139" s="197">
        <f>BY139+BZ139</f>
        <v>2102.5714285714284</v>
      </c>
      <c r="CB139" s="197">
        <f>'Arable NPV'!$F118</f>
        <v>566.71194999999989</v>
      </c>
      <c r="CC139" s="197">
        <f>'Arable NPV'!$G118</f>
        <v>691.46913599999993</v>
      </c>
      <c r="CD139" s="197">
        <f>CB139+CC139</f>
        <v>1258.1810859999998</v>
      </c>
      <c r="CE139" s="197">
        <f t="shared" ref="CE139:CE153" si="408">BY139-CD139</f>
        <v>514.39034257142885</v>
      </c>
      <c r="CF139" s="197">
        <f t="shared" ref="CF139:CF153" si="409">CA139-CD139</f>
        <v>844.39034257142862</v>
      </c>
      <c r="CG139" s="196">
        <f t="shared" ref="CG139:CG144" si="410">BY139/(1+$B$4)^(BV139-1)</f>
        <v>1720.9431345353676</v>
      </c>
      <c r="CH139" s="197">
        <f t="shared" ref="CH139:CH143" si="411">BZ139/(1+$B$4)^(BV139-1)</f>
        <v>320.38834951456312</v>
      </c>
      <c r="CI139" s="197">
        <f t="shared" ref="CI139:CI144" si="412">CD139/(1+$B$4)^(BV139-1)</f>
        <v>1221.5350349514561</v>
      </c>
      <c r="CJ139" s="197">
        <f t="shared" ref="CJ139:CJ144" si="413">CE139/(1+$B$4)^(BV139-1)</f>
        <v>499.40809958391151</v>
      </c>
      <c r="CK139" s="199">
        <f t="shared" ref="CK139:CK153" si="414">CF139/(1+$B$4)^(BV139-1)</f>
        <v>819.79644909847434</v>
      </c>
      <c r="CL139" s="196">
        <f t="shared" ref="CL139:CL153" si="415">CL138+CG139</f>
        <v>3493.5145631067962</v>
      </c>
      <c r="CM139" s="197">
        <f t="shared" ref="CM139:CM153" si="416">CM138+CH139</f>
        <v>650.38834951456306</v>
      </c>
      <c r="CN139" s="197">
        <f t="shared" ref="CN139:CN153" si="417">CN138+CI139</f>
        <v>2479.7161209514561</v>
      </c>
      <c r="CO139" s="197">
        <f t="shared" ref="CO139:CO153" si="418">CO138+CJ139</f>
        <v>1013.7984421553404</v>
      </c>
      <c r="CP139" s="199">
        <f t="shared" ref="CP139:CP153" si="419">CP138+CK139</f>
        <v>1664.186791669903</v>
      </c>
      <c r="CT139" s="900">
        <v>2</v>
      </c>
      <c r="CU139" s="911">
        <f>'Arable Inputs'!$H$18</f>
        <v>9.4</v>
      </c>
      <c r="CV139" s="760">
        <f>'Arable Inputs'!$H$25*$CW$134</f>
        <v>0</v>
      </c>
      <c r="CW139" s="762">
        <f t="shared" ref="CW139:CW153" si="420">CU139*CV139</f>
        <v>0</v>
      </c>
      <c r="CX139" s="197">
        <f>'Arable NPV'!$D118</f>
        <v>330</v>
      </c>
      <c r="CY139" s="197">
        <f>CW139+CX139</f>
        <v>330</v>
      </c>
      <c r="CZ139" s="197">
        <f>'Arable NPV'!$F118</f>
        <v>566.71194999999989</v>
      </c>
      <c r="DA139" s="197">
        <f>'Arable NPV'!$G118</f>
        <v>691.46913599999993</v>
      </c>
      <c r="DB139" s="197">
        <f>CZ139+DA139</f>
        <v>1258.1810859999998</v>
      </c>
      <c r="DC139" s="197">
        <f t="shared" ref="DC139:DC153" si="421">CW139-DB139</f>
        <v>-1258.1810859999998</v>
      </c>
      <c r="DD139" s="197">
        <f t="shared" ref="DD139:DD153" si="422">CY139-DB139</f>
        <v>-928.18108599999982</v>
      </c>
      <c r="DE139" s="196">
        <f t="shared" ref="DE139:DE144" si="423">CW139/(1+$B$4)^(CT139-1)</f>
        <v>0</v>
      </c>
      <c r="DF139" s="197">
        <f t="shared" ref="DF139:DF143" si="424">CX139/(1+$B$4)^(CT139-1)</f>
        <v>320.38834951456312</v>
      </c>
      <c r="DG139" s="197">
        <f t="shared" ref="DG139:DG144" si="425">DB139/(1+$B$4)^(CT139-1)</f>
        <v>1221.5350349514561</v>
      </c>
      <c r="DH139" s="197">
        <f t="shared" ref="DH139:DH143" si="426">DC139/(1+$B$4)^(CT139-1)</f>
        <v>-1221.5350349514561</v>
      </c>
      <c r="DI139" s="199">
        <f t="shared" ref="DI139:DI153" si="427">DD139/(1+$B$4)^(CT139-1)</f>
        <v>-901.14668543689299</v>
      </c>
      <c r="DJ139" s="196">
        <f t="shared" ref="DJ139:DJ153" si="428">DJ138+DE139</f>
        <v>0</v>
      </c>
      <c r="DK139" s="197">
        <f t="shared" ref="DK139:DK153" si="429">DK138+DF139</f>
        <v>650.38834951456306</v>
      </c>
      <c r="DL139" s="197">
        <f t="shared" ref="DL139:DL153" si="430">DL138+DG139</f>
        <v>2479.7161209514561</v>
      </c>
      <c r="DM139" s="197">
        <f t="shared" ref="DM139:DM153" si="431">DM138+DH139</f>
        <v>-2479.7161209514561</v>
      </c>
      <c r="DN139" s="199">
        <f t="shared" ref="DN139:DN153" si="432">DN138+DI139</f>
        <v>-1829.3277714368928</v>
      </c>
    </row>
    <row r="140" spans="2:118" x14ac:dyDescent="0.3">
      <c r="B140" s="900">
        <v>3</v>
      </c>
      <c r="C140" s="911">
        <f>'Arable Inputs'!$H$18</f>
        <v>9.4</v>
      </c>
      <c r="D140" s="760">
        <f>'Arable Inputs'!$H$25*$E$134</f>
        <v>94.285714285714292</v>
      </c>
      <c r="E140" s="762">
        <f t="shared" si="368"/>
        <v>886.28571428571433</v>
      </c>
      <c r="F140" s="197">
        <f>'Arable NPV'!$D119</f>
        <v>330</v>
      </c>
      <c r="G140" s="197">
        <f t="shared" ref="G140:G152" si="433">E140+F140</f>
        <v>1216.2857142857142</v>
      </c>
      <c r="H140" s="197">
        <f>'Arable NPV'!$F119</f>
        <v>566.71194999999989</v>
      </c>
      <c r="I140" s="197">
        <f>'Arable NPV'!$G119</f>
        <v>691.46913599999993</v>
      </c>
      <c r="J140" s="197">
        <f t="shared" ref="J140:J153" si="434">H140+I140</f>
        <v>1258.1810859999998</v>
      </c>
      <c r="K140" s="197">
        <f t="shared" si="369"/>
        <v>-371.89537171428549</v>
      </c>
      <c r="L140" s="197">
        <f t="shared" si="370"/>
        <v>-41.895371714285602</v>
      </c>
      <c r="M140" s="196">
        <f t="shared" si="371"/>
        <v>835.40928860940176</v>
      </c>
      <c r="N140" s="197">
        <f t="shared" si="372"/>
        <v>311.05665001413894</v>
      </c>
      <c r="O140" s="197">
        <f t="shared" si="373"/>
        <v>1185.9563446130642</v>
      </c>
      <c r="P140" s="197">
        <f t="shared" si="374"/>
        <v>-350.54705600366248</v>
      </c>
      <c r="Q140" s="199">
        <f t="shared" si="375"/>
        <v>-39.490405989523616</v>
      </c>
      <c r="R140" s="196">
        <f t="shared" si="376"/>
        <v>2582.1665701627999</v>
      </c>
      <c r="S140" s="197">
        <f t="shared" si="377"/>
        <v>961.44499952870206</v>
      </c>
      <c r="T140" s="197">
        <f t="shared" si="378"/>
        <v>3665.6724655645203</v>
      </c>
      <c r="U140" s="197">
        <f t="shared" si="379"/>
        <v>-1083.5058954017202</v>
      </c>
      <c r="V140" s="199">
        <f t="shared" si="380"/>
        <v>-122.06089587301855</v>
      </c>
      <c r="Z140" s="900">
        <v>3</v>
      </c>
      <c r="AA140" s="911">
        <f>'Arable Inputs'!$H$18</f>
        <v>9.4</v>
      </c>
      <c r="AB140" s="760">
        <f>'Arable Inputs'!$H$25*$AC$134</f>
        <v>141.42857142857144</v>
      </c>
      <c r="AC140" s="762">
        <f t="shared" si="381"/>
        <v>1329.4285714285716</v>
      </c>
      <c r="AD140" s="197">
        <f>'Arable NPV'!$D119</f>
        <v>330</v>
      </c>
      <c r="AE140" s="197">
        <f t="shared" ref="AE140:AE152" si="435">AC140+AD140</f>
        <v>1659.4285714285716</v>
      </c>
      <c r="AF140" s="197">
        <f>'Arable NPV'!$F119</f>
        <v>566.71194999999989</v>
      </c>
      <c r="AG140" s="197">
        <f>'Arable NPV'!$G119</f>
        <v>691.46913599999993</v>
      </c>
      <c r="AH140" s="197">
        <f t="shared" ref="AH140:AH153" si="436">AF140+AG140</f>
        <v>1258.1810859999998</v>
      </c>
      <c r="AI140" s="197">
        <f t="shared" si="382"/>
        <v>71.247485428571736</v>
      </c>
      <c r="AJ140" s="197">
        <f t="shared" si="383"/>
        <v>401.24748542857174</v>
      </c>
      <c r="AK140" s="196">
        <f t="shared" si="384"/>
        <v>1253.1139329141029</v>
      </c>
      <c r="AL140" s="197">
        <f t="shared" si="385"/>
        <v>311.05665001413894</v>
      </c>
      <c r="AM140" s="197">
        <f t="shared" si="386"/>
        <v>1185.9563446130642</v>
      </c>
      <c r="AN140" s="197">
        <f t="shared" si="387"/>
        <v>67.157588301038501</v>
      </c>
      <c r="AO140" s="199">
        <f t="shared" si="388"/>
        <v>378.21423831517745</v>
      </c>
      <c r="AP140" s="196">
        <f t="shared" si="389"/>
        <v>3873.2498552442003</v>
      </c>
      <c r="AQ140" s="197">
        <f t="shared" si="390"/>
        <v>961.44499952870206</v>
      </c>
      <c r="AR140" s="197">
        <f t="shared" si="391"/>
        <v>3665.6724655645203</v>
      </c>
      <c r="AS140" s="197">
        <f t="shared" si="392"/>
        <v>207.57738967967987</v>
      </c>
      <c r="AT140" s="199">
        <f t="shared" si="393"/>
        <v>1169.0223892083818</v>
      </c>
      <c r="AX140" s="900">
        <v>3</v>
      </c>
      <c r="AY140" s="911">
        <f>'Arable Inputs'!$H$18</f>
        <v>9.4</v>
      </c>
      <c r="AZ140" s="760">
        <f>'Arable Inputs'!$H$25*$BA$134</f>
        <v>47.142857142857146</v>
      </c>
      <c r="BA140" s="762">
        <f t="shared" si="394"/>
        <v>443.14285714285717</v>
      </c>
      <c r="BB140" s="197">
        <f>'Arable NPV'!$D119</f>
        <v>330</v>
      </c>
      <c r="BC140" s="197">
        <f t="shared" ref="BC140:BC152" si="437">BA140+BB140</f>
        <v>773.14285714285711</v>
      </c>
      <c r="BD140" s="197">
        <f>'Arable NPV'!$F119</f>
        <v>566.71194999999989</v>
      </c>
      <c r="BE140" s="197">
        <f>'Arable NPV'!$G119</f>
        <v>691.46913599999993</v>
      </c>
      <c r="BF140" s="197">
        <f t="shared" ref="BF140:BF153" si="438">BD140+BE140</f>
        <v>1258.1810859999998</v>
      </c>
      <c r="BG140" s="197">
        <f t="shared" si="395"/>
        <v>-815.03822885714271</v>
      </c>
      <c r="BH140" s="197">
        <f t="shared" si="396"/>
        <v>-485.03822885714271</v>
      </c>
      <c r="BI140" s="196">
        <f t="shared" si="397"/>
        <v>417.70464430470088</v>
      </c>
      <c r="BJ140" s="197">
        <f t="shared" si="398"/>
        <v>311.05665001413894</v>
      </c>
      <c r="BK140" s="197">
        <f t="shared" si="399"/>
        <v>1185.9563446130642</v>
      </c>
      <c r="BL140" s="197">
        <f t="shared" si="400"/>
        <v>-768.25170030836341</v>
      </c>
      <c r="BM140" s="199">
        <f t="shared" si="401"/>
        <v>-457.19505029422447</v>
      </c>
      <c r="BN140" s="196">
        <f t="shared" si="402"/>
        <v>1291.0832850813999</v>
      </c>
      <c r="BO140" s="197">
        <f t="shared" si="403"/>
        <v>961.44499952870206</v>
      </c>
      <c r="BP140" s="197">
        <f t="shared" si="404"/>
        <v>3665.6724655645203</v>
      </c>
      <c r="BQ140" s="197">
        <f t="shared" si="405"/>
        <v>-2374.5891804831203</v>
      </c>
      <c r="BR140" s="199">
        <f t="shared" si="406"/>
        <v>-1413.1441809544183</v>
      </c>
      <c r="BV140" s="900">
        <v>3</v>
      </c>
      <c r="BW140" s="911">
        <f>'Arable Inputs'!$H$18</f>
        <v>9.4</v>
      </c>
      <c r="BX140" s="760">
        <f>'Arable Inputs'!$H$25*$BY$134</f>
        <v>188.57142857142858</v>
      </c>
      <c r="BY140" s="762">
        <f t="shared" si="407"/>
        <v>1772.5714285714287</v>
      </c>
      <c r="BZ140" s="197">
        <f>'Arable NPV'!$D119</f>
        <v>330</v>
      </c>
      <c r="CA140" s="197">
        <f t="shared" ref="CA140:CA152" si="439">BY140+BZ140</f>
        <v>2102.5714285714284</v>
      </c>
      <c r="CB140" s="197">
        <f>'Arable NPV'!$F119</f>
        <v>566.71194999999989</v>
      </c>
      <c r="CC140" s="197">
        <f>'Arable NPV'!$G119</f>
        <v>691.46913599999993</v>
      </c>
      <c r="CD140" s="197">
        <f t="shared" ref="CD140:CD153" si="440">CB140+CC140</f>
        <v>1258.1810859999998</v>
      </c>
      <c r="CE140" s="197">
        <f t="shared" si="408"/>
        <v>514.39034257142885</v>
      </c>
      <c r="CF140" s="197">
        <f t="shared" si="409"/>
        <v>844.39034257142862</v>
      </c>
      <c r="CG140" s="196">
        <f t="shared" si="410"/>
        <v>1670.8185772188035</v>
      </c>
      <c r="CH140" s="197">
        <f t="shared" si="411"/>
        <v>311.05665001413894</v>
      </c>
      <c r="CI140" s="197">
        <f t="shared" si="412"/>
        <v>1185.9563446130642</v>
      </c>
      <c r="CJ140" s="197">
        <f t="shared" si="413"/>
        <v>484.86223260573934</v>
      </c>
      <c r="CK140" s="199">
        <f t="shared" si="414"/>
        <v>795.9188826198781</v>
      </c>
      <c r="CL140" s="196">
        <f t="shared" si="415"/>
        <v>5164.3331403255997</v>
      </c>
      <c r="CM140" s="197">
        <f t="shared" si="416"/>
        <v>961.44499952870206</v>
      </c>
      <c r="CN140" s="197">
        <f t="shared" si="417"/>
        <v>3665.6724655645203</v>
      </c>
      <c r="CO140" s="197">
        <f t="shared" si="418"/>
        <v>1498.6606747610797</v>
      </c>
      <c r="CP140" s="199">
        <f t="shared" si="419"/>
        <v>2460.1056742897808</v>
      </c>
      <c r="CT140" s="900">
        <v>3</v>
      </c>
      <c r="CU140" s="911">
        <f>'Arable Inputs'!$H$18</f>
        <v>9.4</v>
      </c>
      <c r="CV140" s="760">
        <f>'Arable Inputs'!$H$25*$CW$134</f>
        <v>0</v>
      </c>
      <c r="CW140" s="762">
        <f t="shared" si="420"/>
        <v>0</v>
      </c>
      <c r="CX140" s="197">
        <f>'Arable NPV'!$D119</f>
        <v>330</v>
      </c>
      <c r="CY140" s="197">
        <f t="shared" ref="CY140:CY152" si="441">CW140+CX140</f>
        <v>330</v>
      </c>
      <c r="CZ140" s="197">
        <f>'Arable NPV'!$F119</f>
        <v>566.71194999999989</v>
      </c>
      <c r="DA140" s="197">
        <f>'Arable NPV'!$G119</f>
        <v>691.46913599999993</v>
      </c>
      <c r="DB140" s="197">
        <f t="shared" ref="DB140:DB153" si="442">CZ140+DA140</f>
        <v>1258.1810859999998</v>
      </c>
      <c r="DC140" s="197">
        <f t="shared" si="421"/>
        <v>-1258.1810859999998</v>
      </c>
      <c r="DD140" s="197">
        <f t="shared" si="422"/>
        <v>-928.18108599999982</v>
      </c>
      <c r="DE140" s="196">
        <f t="shared" si="423"/>
        <v>0</v>
      </c>
      <c r="DF140" s="197">
        <f t="shared" si="424"/>
        <v>311.05665001413894</v>
      </c>
      <c r="DG140" s="197">
        <f t="shared" si="425"/>
        <v>1185.9563446130642</v>
      </c>
      <c r="DH140" s="197">
        <f t="shared" si="426"/>
        <v>-1185.9563446130642</v>
      </c>
      <c r="DI140" s="199">
        <f t="shared" si="427"/>
        <v>-874.89969459892529</v>
      </c>
      <c r="DJ140" s="196">
        <f t="shared" si="428"/>
        <v>0</v>
      </c>
      <c r="DK140" s="197">
        <f t="shared" si="429"/>
        <v>961.44499952870206</v>
      </c>
      <c r="DL140" s="197">
        <f t="shared" si="430"/>
        <v>3665.6724655645203</v>
      </c>
      <c r="DM140" s="197">
        <f t="shared" si="431"/>
        <v>-3665.6724655645203</v>
      </c>
      <c r="DN140" s="199">
        <f t="shared" si="432"/>
        <v>-2704.227466035818</v>
      </c>
    </row>
    <row r="141" spans="2:118" x14ac:dyDescent="0.3">
      <c r="B141" s="900">
        <v>4</v>
      </c>
      <c r="C141" s="911">
        <f>'Arable Inputs'!$H$18</f>
        <v>9.4</v>
      </c>
      <c r="D141" s="760">
        <f>'Arable Inputs'!$H$25*$E$134</f>
        <v>94.285714285714292</v>
      </c>
      <c r="E141" s="762">
        <f t="shared" si="368"/>
        <v>886.28571428571433</v>
      </c>
      <c r="F141" s="197">
        <f>'Arable NPV'!$D120</f>
        <v>330</v>
      </c>
      <c r="G141" s="197">
        <f t="shared" si="433"/>
        <v>1216.2857142857142</v>
      </c>
      <c r="H141" s="197">
        <f>'Arable NPV'!$F120</f>
        <v>566.71194999999989</v>
      </c>
      <c r="I141" s="197">
        <f>'Arable NPV'!$G120</f>
        <v>691.46913599999993</v>
      </c>
      <c r="J141" s="197">
        <f t="shared" si="434"/>
        <v>1258.1810859999998</v>
      </c>
      <c r="K141" s="197">
        <f t="shared" si="369"/>
        <v>-371.89537171428549</v>
      </c>
      <c r="L141" s="197">
        <f t="shared" si="370"/>
        <v>-41.895371714285602</v>
      </c>
      <c r="M141" s="196">
        <f t="shared" si="371"/>
        <v>811.07697923242893</v>
      </c>
      <c r="N141" s="197">
        <f t="shared" si="372"/>
        <v>301.99674758654265</v>
      </c>
      <c r="O141" s="197">
        <f t="shared" si="373"/>
        <v>1151.4139268088002</v>
      </c>
      <c r="P141" s="197">
        <f t="shared" si="374"/>
        <v>-340.3369475763713</v>
      </c>
      <c r="Q141" s="199">
        <f t="shared" si="375"/>
        <v>-38.340199989828754</v>
      </c>
      <c r="R141" s="196">
        <f t="shared" si="376"/>
        <v>3393.2435493952289</v>
      </c>
      <c r="S141" s="197">
        <f t="shared" si="377"/>
        <v>1263.4417471152447</v>
      </c>
      <c r="T141" s="197">
        <f t="shared" si="378"/>
        <v>4817.0863923733205</v>
      </c>
      <c r="U141" s="197">
        <f t="shared" si="379"/>
        <v>-1423.8428429780915</v>
      </c>
      <c r="V141" s="199">
        <f t="shared" si="380"/>
        <v>-160.40109586284731</v>
      </c>
      <c r="Z141" s="900">
        <v>4</v>
      </c>
      <c r="AA141" s="911">
        <f>'Arable Inputs'!$H$18</f>
        <v>9.4</v>
      </c>
      <c r="AB141" s="760">
        <f>'Arable Inputs'!$H$25*$AC$134</f>
        <v>141.42857142857144</v>
      </c>
      <c r="AC141" s="762">
        <f t="shared" si="381"/>
        <v>1329.4285714285716</v>
      </c>
      <c r="AD141" s="197">
        <f>'Arable NPV'!$D120</f>
        <v>330</v>
      </c>
      <c r="AE141" s="197">
        <f t="shared" si="435"/>
        <v>1659.4285714285716</v>
      </c>
      <c r="AF141" s="197">
        <f>'Arable NPV'!$F120</f>
        <v>566.71194999999989</v>
      </c>
      <c r="AG141" s="197">
        <f>'Arable NPV'!$G120</f>
        <v>691.46913599999993</v>
      </c>
      <c r="AH141" s="197">
        <f t="shared" si="436"/>
        <v>1258.1810859999998</v>
      </c>
      <c r="AI141" s="197">
        <f t="shared" si="382"/>
        <v>71.247485428571736</v>
      </c>
      <c r="AJ141" s="197">
        <f t="shared" si="383"/>
        <v>401.24748542857174</v>
      </c>
      <c r="AK141" s="196">
        <f t="shared" si="384"/>
        <v>1216.6154688486433</v>
      </c>
      <c r="AL141" s="197">
        <f t="shared" si="385"/>
        <v>301.99674758654265</v>
      </c>
      <c r="AM141" s="197">
        <f t="shared" si="386"/>
        <v>1151.4139268088002</v>
      </c>
      <c r="AN141" s="197">
        <f t="shared" si="387"/>
        <v>65.20154203984319</v>
      </c>
      <c r="AO141" s="199">
        <f t="shared" si="388"/>
        <v>367.19828962638587</v>
      </c>
      <c r="AP141" s="196">
        <f t="shared" si="389"/>
        <v>5089.8653240928434</v>
      </c>
      <c r="AQ141" s="197">
        <f t="shared" si="390"/>
        <v>1263.4417471152447</v>
      </c>
      <c r="AR141" s="197">
        <f t="shared" si="391"/>
        <v>4817.0863923733205</v>
      </c>
      <c r="AS141" s="197">
        <f t="shared" si="392"/>
        <v>272.77893171952303</v>
      </c>
      <c r="AT141" s="199">
        <f t="shared" si="393"/>
        <v>1536.2206788347676</v>
      </c>
      <c r="AX141" s="900">
        <v>4</v>
      </c>
      <c r="AY141" s="911">
        <f>'Arable Inputs'!$H$18</f>
        <v>9.4</v>
      </c>
      <c r="AZ141" s="760">
        <f>'Arable Inputs'!$H$25*$BA$134</f>
        <v>47.142857142857146</v>
      </c>
      <c r="BA141" s="762">
        <f t="shared" si="394"/>
        <v>443.14285714285717</v>
      </c>
      <c r="BB141" s="197">
        <f>'Arable NPV'!$D120</f>
        <v>330</v>
      </c>
      <c r="BC141" s="197">
        <f t="shared" si="437"/>
        <v>773.14285714285711</v>
      </c>
      <c r="BD141" s="197">
        <f>'Arable NPV'!$F120</f>
        <v>566.71194999999989</v>
      </c>
      <c r="BE141" s="197">
        <f>'Arable NPV'!$G120</f>
        <v>691.46913599999993</v>
      </c>
      <c r="BF141" s="197">
        <f t="shared" si="438"/>
        <v>1258.1810859999998</v>
      </c>
      <c r="BG141" s="197">
        <f t="shared" si="395"/>
        <v>-815.03822885714271</v>
      </c>
      <c r="BH141" s="197">
        <f t="shared" si="396"/>
        <v>-485.03822885714271</v>
      </c>
      <c r="BI141" s="196">
        <f t="shared" si="397"/>
        <v>405.53848961621446</v>
      </c>
      <c r="BJ141" s="197">
        <f t="shared" si="398"/>
        <v>301.99674758654265</v>
      </c>
      <c r="BK141" s="197">
        <f t="shared" si="399"/>
        <v>1151.4139268088002</v>
      </c>
      <c r="BL141" s="197">
        <f t="shared" si="400"/>
        <v>-745.87543719258576</v>
      </c>
      <c r="BM141" s="199">
        <f t="shared" si="401"/>
        <v>-443.87868960604317</v>
      </c>
      <c r="BN141" s="196">
        <f t="shared" si="402"/>
        <v>1696.6217746976145</v>
      </c>
      <c r="BO141" s="197">
        <f t="shared" si="403"/>
        <v>1263.4417471152447</v>
      </c>
      <c r="BP141" s="197">
        <f t="shared" si="404"/>
        <v>4817.0863923733205</v>
      </c>
      <c r="BQ141" s="197">
        <f t="shared" si="405"/>
        <v>-3120.464617675706</v>
      </c>
      <c r="BR141" s="199">
        <f t="shared" si="406"/>
        <v>-1857.0228705604613</v>
      </c>
      <c r="BV141" s="900">
        <v>4</v>
      </c>
      <c r="BW141" s="911">
        <f>'Arable Inputs'!$H$18</f>
        <v>9.4</v>
      </c>
      <c r="BX141" s="760">
        <f>'Arable Inputs'!$H$25*$BY$134</f>
        <v>188.57142857142858</v>
      </c>
      <c r="BY141" s="762">
        <f t="shared" si="407"/>
        <v>1772.5714285714287</v>
      </c>
      <c r="BZ141" s="197">
        <f>'Arable NPV'!$D120</f>
        <v>330</v>
      </c>
      <c r="CA141" s="197">
        <f t="shared" si="439"/>
        <v>2102.5714285714284</v>
      </c>
      <c r="CB141" s="197">
        <f>'Arable NPV'!$F120</f>
        <v>566.71194999999989</v>
      </c>
      <c r="CC141" s="197">
        <f>'Arable NPV'!$G120</f>
        <v>691.46913599999993</v>
      </c>
      <c r="CD141" s="197">
        <f t="shared" si="440"/>
        <v>1258.1810859999998</v>
      </c>
      <c r="CE141" s="197">
        <f t="shared" si="408"/>
        <v>514.39034257142885</v>
      </c>
      <c r="CF141" s="197">
        <f t="shared" si="409"/>
        <v>844.39034257142862</v>
      </c>
      <c r="CG141" s="196">
        <f t="shared" si="410"/>
        <v>1622.1539584648579</v>
      </c>
      <c r="CH141" s="197">
        <f t="shared" si="411"/>
        <v>301.99674758654265</v>
      </c>
      <c r="CI141" s="197">
        <f t="shared" si="412"/>
        <v>1151.4139268088002</v>
      </c>
      <c r="CJ141" s="197">
        <f t="shared" si="413"/>
        <v>470.74003165605757</v>
      </c>
      <c r="CK141" s="199">
        <f t="shared" si="414"/>
        <v>772.73677924260005</v>
      </c>
      <c r="CL141" s="196">
        <f t="shared" si="415"/>
        <v>6786.4870987904578</v>
      </c>
      <c r="CM141" s="197">
        <f t="shared" si="416"/>
        <v>1263.4417471152447</v>
      </c>
      <c r="CN141" s="197">
        <f t="shared" si="417"/>
        <v>4817.0863923733205</v>
      </c>
      <c r="CO141" s="197">
        <f t="shared" si="418"/>
        <v>1969.4007064171374</v>
      </c>
      <c r="CP141" s="199">
        <f t="shared" si="419"/>
        <v>3232.8424535323811</v>
      </c>
      <c r="CT141" s="900">
        <v>4</v>
      </c>
      <c r="CU141" s="911">
        <f>'Arable Inputs'!$H$18</f>
        <v>9.4</v>
      </c>
      <c r="CV141" s="760">
        <f>'Arable Inputs'!$H$25*$CW$134</f>
        <v>0</v>
      </c>
      <c r="CW141" s="762">
        <f t="shared" si="420"/>
        <v>0</v>
      </c>
      <c r="CX141" s="197">
        <f>'Arable NPV'!$D120</f>
        <v>330</v>
      </c>
      <c r="CY141" s="197">
        <f t="shared" si="441"/>
        <v>330</v>
      </c>
      <c r="CZ141" s="197">
        <f>'Arable NPV'!$F120</f>
        <v>566.71194999999989</v>
      </c>
      <c r="DA141" s="197">
        <f>'Arable NPV'!$G120</f>
        <v>691.46913599999993</v>
      </c>
      <c r="DB141" s="197">
        <f t="shared" si="442"/>
        <v>1258.1810859999998</v>
      </c>
      <c r="DC141" s="197">
        <f t="shared" si="421"/>
        <v>-1258.1810859999998</v>
      </c>
      <c r="DD141" s="197">
        <f t="shared" si="422"/>
        <v>-928.18108599999982</v>
      </c>
      <c r="DE141" s="196">
        <f t="shared" si="423"/>
        <v>0</v>
      </c>
      <c r="DF141" s="197">
        <f t="shared" si="424"/>
        <v>301.99674758654265</v>
      </c>
      <c r="DG141" s="197">
        <f t="shared" si="425"/>
        <v>1151.4139268088002</v>
      </c>
      <c r="DH141" s="197">
        <f t="shared" si="426"/>
        <v>-1151.4139268088002</v>
      </c>
      <c r="DI141" s="199">
        <f t="shared" si="427"/>
        <v>-849.41717922225757</v>
      </c>
      <c r="DJ141" s="196">
        <f t="shared" si="428"/>
        <v>0</v>
      </c>
      <c r="DK141" s="197">
        <f t="shared" si="429"/>
        <v>1263.4417471152447</v>
      </c>
      <c r="DL141" s="197">
        <f t="shared" si="430"/>
        <v>4817.0863923733205</v>
      </c>
      <c r="DM141" s="197">
        <f t="shared" si="431"/>
        <v>-4817.0863923733205</v>
      </c>
      <c r="DN141" s="199">
        <f t="shared" si="432"/>
        <v>-3553.6446452580758</v>
      </c>
    </row>
    <row r="142" spans="2:118" x14ac:dyDescent="0.3">
      <c r="B142" s="900">
        <v>5</v>
      </c>
      <c r="C142" s="911">
        <f>'Arable Inputs'!$H$18</f>
        <v>9.4</v>
      </c>
      <c r="D142" s="760">
        <f>'Arable Inputs'!$H$25*$E$134</f>
        <v>94.285714285714292</v>
      </c>
      <c r="E142" s="762">
        <f t="shared" si="368"/>
        <v>886.28571428571433</v>
      </c>
      <c r="F142" s="197">
        <f>'Arable NPV'!$D121</f>
        <v>330</v>
      </c>
      <c r="G142" s="197">
        <f t="shared" si="433"/>
        <v>1216.2857142857142</v>
      </c>
      <c r="H142" s="197">
        <f>'Arable NPV'!$F121</f>
        <v>566.71194999999989</v>
      </c>
      <c r="I142" s="197">
        <f>'Arable NPV'!$G121</f>
        <v>691.46913599999993</v>
      </c>
      <c r="J142" s="197">
        <f t="shared" si="434"/>
        <v>1258.1810859999998</v>
      </c>
      <c r="K142" s="197">
        <f t="shared" si="369"/>
        <v>-371.89537171428549</v>
      </c>
      <c r="L142" s="197">
        <f t="shared" si="370"/>
        <v>-41.895371714285602</v>
      </c>
      <c r="M142" s="196">
        <f t="shared" si="371"/>
        <v>787.45337789556208</v>
      </c>
      <c r="N142" s="197">
        <f t="shared" si="372"/>
        <v>293.20072581217738</v>
      </c>
      <c r="O142" s="197">
        <f t="shared" si="373"/>
        <v>1117.8775988434954</v>
      </c>
      <c r="P142" s="197">
        <f t="shared" si="374"/>
        <v>-330.42422094793335</v>
      </c>
      <c r="Q142" s="199">
        <f t="shared" si="375"/>
        <v>-37.223495135756075</v>
      </c>
      <c r="R142" s="196">
        <f t="shared" si="376"/>
        <v>4180.6969272907909</v>
      </c>
      <c r="S142" s="197">
        <f t="shared" si="377"/>
        <v>1556.642472927422</v>
      </c>
      <c r="T142" s="197">
        <f t="shared" si="378"/>
        <v>5934.9639912168159</v>
      </c>
      <c r="U142" s="197">
        <f t="shared" si="379"/>
        <v>-1754.267063926025</v>
      </c>
      <c r="V142" s="199">
        <f t="shared" si="380"/>
        <v>-197.6245909986034</v>
      </c>
      <c r="Z142" s="900">
        <v>5</v>
      </c>
      <c r="AA142" s="911">
        <f>'Arable Inputs'!$H$18</f>
        <v>9.4</v>
      </c>
      <c r="AB142" s="760">
        <f>'Arable Inputs'!$H$25*$AC$134</f>
        <v>141.42857142857144</v>
      </c>
      <c r="AC142" s="762">
        <f t="shared" si="381"/>
        <v>1329.4285714285716</v>
      </c>
      <c r="AD142" s="197">
        <f>'Arable NPV'!$D121</f>
        <v>330</v>
      </c>
      <c r="AE142" s="197">
        <f t="shared" si="435"/>
        <v>1659.4285714285716</v>
      </c>
      <c r="AF142" s="197">
        <f>'Arable NPV'!$F121</f>
        <v>566.71194999999989</v>
      </c>
      <c r="AG142" s="197">
        <f>'Arable NPV'!$G121</f>
        <v>691.46913599999993</v>
      </c>
      <c r="AH142" s="197">
        <f t="shared" si="436"/>
        <v>1258.1810859999998</v>
      </c>
      <c r="AI142" s="197">
        <f t="shared" si="382"/>
        <v>71.247485428571736</v>
      </c>
      <c r="AJ142" s="197">
        <f t="shared" si="383"/>
        <v>401.24748542857174</v>
      </c>
      <c r="AK142" s="196">
        <f t="shared" si="384"/>
        <v>1181.1800668433432</v>
      </c>
      <c r="AL142" s="197">
        <f t="shared" si="385"/>
        <v>293.20072581217738</v>
      </c>
      <c r="AM142" s="197">
        <f t="shared" si="386"/>
        <v>1117.8775988434954</v>
      </c>
      <c r="AN142" s="197">
        <f t="shared" si="387"/>
        <v>63.302467999847771</v>
      </c>
      <c r="AO142" s="199">
        <f t="shared" si="388"/>
        <v>356.50319381202513</v>
      </c>
      <c r="AP142" s="196">
        <f t="shared" si="389"/>
        <v>6271.0453909361868</v>
      </c>
      <c r="AQ142" s="197">
        <f t="shared" si="390"/>
        <v>1556.642472927422</v>
      </c>
      <c r="AR142" s="197">
        <f t="shared" si="391"/>
        <v>5934.9639912168159</v>
      </c>
      <c r="AS142" s="197">
        <f t="shared" si="392"/>
        <v>336.08139971937078</v>
      </c>
      <c r="AT142" s="199">
        <f t="shared" si="393"/>
        <v>1892.7238726467926</v>
      </c>
      <c r="AX142" s="900">
        <v>5</v>
      </c>
      <c r="AY142" s="911">
        <f>'Arable Inputs'!$H$18</f>
        <v>9.4</v>
      </c>
      <c r="AZ142" s="760">
        <f>'Arable Inputs'!$H$25*$BA$134</f>
        <v>47.142857142857146</v>
      </c>
      <c r="BA142" s="762">
        <f t="shared" si="394"/>
        <v>443.14285714285717</v>
      </c>
      <c r="BB142" s="197">
        <f>'Arable NPV'!$D121</f>
        <v>330</v>
      </c>
      <c r="BC142" s="197">
        <f t="shared" si="437"/>
        <v>773.14285714285711</v>
      </c>
      <c r="BD142" s="197">
        <f>'Arable NPV'!$F121</f>
        <v>566.71194999999989</v>
      </c>
      <c r="BE142" s="197">
        <f>'Arable NPV'!$G121</f>
        <v>691.46913599999993</v>
      </c>
      <c r="BF142" s="197">
        <f t="shared" si="438"/>
        <v>1258.1810859999998</v>
      </c>
      <c r="BG142" s="197">
        <f t="shared" si="395"/>
        <v>-815.03822885714271</v>
      </c>
      <c r="BH142" s="197">
        <f t="shared" si="396"/>
        <v>-485.03822885714271</v>
      </c>
      <c r="BI142" s="196">
        <f t="shared" si="397"/>
        <v>393.72668894778104</v>
      </c>
      <c r="BJ142" s="197">
        <f t="shared" si="398"/>
        <v>293.20072581217738</v>
      </c>
      <c r="BK142" s="197">
        <f t="shared" si="399"/>
        <v>1117.8775988434954</v>
      </c>
      <c r="BL142" s="197">
        <f t="shared" si="400"/>
        <v>-724.15090989571445</v>
      </c>
      <c r="BM142" s="199">
        <f t="shared" si="401"/>
        <v>-430.95018408353707</v>
      </c>
      <c r="BN142" s="196">
        <f t="shared" si="402"/>
        <v>2090.3484636453954</v>
      </c>
      <c r="BO142" s="197">
        <f t="shared" si="403"/>
        <v>1556.642472927422</v>
      </c>
      <c r="BP142" s="197">
        <f t="shared" si="404"/>
        <v>5934.9639912168159</v>
      </c>
      <c r="BQ142" s="197">
        <f t="shared" si="405"/>
        <v>-3844.6155275714204</v>
      </c>
      <c r="BR142" s="199">
        <f t="shared" si="406"/>
        <v>-2287.9730546439982</v>
      </c>
      <c r="BV142" s="900">
        <v>5</v>
      </c>
      <c r="BW142" s="911">
        <f>'Arable Inputs'!$H$18</f>
        <v>9.4</v>
      </c>
      <c r="BX142" s="760">
        <f>'Arable Inputs'!$H$25*$BY$134</f>
        <v>188.57142857142858</v>
      </c>
      <c r="BY142" s="762">
        <f t="shared" si="407"/>
        <v>1772.5714285714287</v>
      </c>
      <c r="BZ142" s="197">
        <f>'Arable NPV'!$D121</f>
        <v>330</v>
      </c>
      <c r="CA142" s="197">
        <f t="shared" si="439"/>
        <v>2102.5714285714284</v>
      </c>
      <c r="CB142" s="197">
        <f>'Arable NPV'!$F121</f>
        <v>566.71194999999989</v>
      </c>
      <c r="CC142" s="197">
        <f>'Arable NPV'!$G121</f>
        <v>691.46913599999993</v>
      </c>
      <c r="CD142" s="197">
        <f t="shared" si="440"/>
        <v>1258.1810859999998</v>
      </c>
      <c r="CE142" s="197">
        <f t="shared" si="408"/>
        <v>514.39034257142885</v>
      </c>
      <c r="CF142" s="197">
        <f t="shared" si="409"/>
        <v>844.39034257142862</v>
      </c>
      <c r="CG142" s="196">
        <f t="shared" si="410"/>
        <v>1574.9067557911242</v>
      </c>
      <c r="CH142" s="197">
        <f t="shared" si="411"/>
        <v>293.20072581217738</v>
      </c>
      <c r="CI142" s="197">
        <f t="shared" si="412"/>
        <v>1117.8775988434954</v>
      </c>
      <c r="CJ142" s="197">
        <f t="shared" si="413"/>
        <v>457.02915694762879</v>
      </c>
      <c r="CK142" s="199">
        <f t="shared" si="414"/>
        <v>750.22988275980595</v>
      </c>
      <c r="CL142" s="196">
        <f t="shared" si="415"/>
        <v>8361.3938545815818</v>
      </c>
      <c r="CM142" s="197">
        <f t="shared" si="416"/>
        <v>1556.642472927422</v>
      </c>
      <c r="CN142" s="197">
        <f t="shared" si="417"/>
        <v>5934.9639912168159</v>
      </c>
      <c r="CO142" s="197">
        <f t="shared" si="418"/>
        <v>2426.4298633647663</v>
      </c>
      <c r="CP142" s="199">
        <f t="shared" si="419"/>
        <v>3983.0723362921872</v>
      </c>
      <c r="CT142" s="900">
        <v>5</v>
      </c>
      <c r="CU142" s="911">
        <f>'Arable Inputs'!$H$18</f>
        <v>9.4</v>
      </c>
      <c r="CV142" s="760">
        <f>'Arable Inputs'!$H$25*$CW$134</f>
        <v>0</v>
      </c>
      <c r="CW142" s="762">
        <f t="shared" si="420"/>
        <v>0</v>
      </c>
      <c r="CX142" s="197">
        <f>'Arable NPV'!$D121</f>
        <v>330</v>
      </c>
      <c r="CY142" s="197">
        <f t="shared" si="441"/>
        <v>330</v>
      </c>
      <c r="CZ142" s="197">
        <f>'Arable NPV'!$F121</f>
        <v>566.71194999999989</v>
      </c>
      <c r="DA142" s="197">
        <f>'Arable NPV'!$G121</f>
        <v>691.46913599999993</v>
      </c>
      <c r="DB142" s="197">
        <f t="shared" si="442"/>
        <v>1258.1810859999998</v>
      </c>
      <c r="DC142" s="197">
        <f t="shared" si="421"/>
        <v>-1258.1810859999998</v>
      </c>
      <c r="DD142" s="197">
        <f t="shared" si="422"/>
        <v>-928.18108599999982</v>
      </c>
      <c r="DE142" s="196">
        <f t="shared" si="423"/>
        <v>0</v>
      </c>
      <c r="DF142" s="197">
        <f t="shared" si="424"/>
        <v>293.20072581217738</v>
      </c>
      <c r="DG142" s="197">
        <f t="shared" si="425"/>
        <v>1117.8775988434954</v>
      </c>
      <c r="DH142" s="197">
        <f t="shared" si="426"/>
        <v>-1117.8775988434954</v>
      </c>
      <c r="DI142" s="199">
        <f t="shared" si="427"/>
        <v>-824.67687303131811</v>
      </c>
      <c r="DJ142" s="196">
        <f t="shared" si="428"/>
        <v>0</v>
      </c>
      <c r="DK142" s="197">
        <f t="shared" si="429"/>
        <v>1556.642472927422</v>
      </c>
      <c r="DL142" s="197">
        <f t="shared" si="430"/>
        <v>5934.9639912168159</v>
      </c>
      <c r="DM142" s="197">
        <f t="shared" si="431"/>
        <v>-5934.9639912168159</v>
      </c>
      <c r="DN142" s="199">
        <f t="shared" si="432"/>
        <v>-4378.3215182893937</v>
      </c>
    </row>
    <row r="143" spans="2:118" x14ac:dyDescent="0.3">
      <c r="B143" s="900">
        <v>6</v>
      </c>
      <c r="C143" s="911">
        <f>'Arable Inputs'!$H$18</f>
        <v>9.4</v>
      </c>
      <c r="D143" s="760">
        <f>'Arable Inputs'!$H$25*$E$134</f>
        <v>94.285714285714292</v>
      </c>
      <c r="E143" s="762">
        <f t="shared" si="368"/>
        <v>886.28571428571433</v>
      </c>
      <c r="F143" s="197">
        <f>'Arable NPV'!$D122</f>
        <v>330</v>
      </c>
      <c r="G143" s="197">
        <f t="shared" si="433"/>
        <v>1216.2857142857142</v>
      </c>
      <c r="H143" s="197">
        <f>'Arable NPV'!$F122</f>
        <v>566.71194999999989</v>
      </c>
      <c r="I143" s="197">
        <f>'Arable NPV'!$G122</f>
        <v>691.46913599999993</v>
      </c>
      <c r="J143" s="197">
        <f t="shared" si="434"/>
        <v>1258.1810859999998</v>
      </c>
      <c r="K143" s="197">
        <f t="shared" si="369"/>
        <v>-371.89537171428549</v>
      </c>
      <c r="L143" s="197">
        <f t="shared" si="370"/>
        <v>-41.895371714285602</v>
      </c>
      <c r="M143" s="196">
        <f t="shared" si="371"/>
        <v>764.51784261705063</v>
      </c>
      <c r="N143" s="197">
        <f t="shared" si="372"/>
        <v>284.66089884677416</v>
      </c>
      <c r="O143" s="197">
        <f t="shared" si="373"/>
        <v>1085.3180571296073</v>
      </c>
      <c r="P143" s="197">
        <f t="shared" si="374"/>
        <v>-320.80021451255664</v>
      </c>
      <c r="Q143" s="199">
        <f t="shared" si="375"/>
        <v>-36.139315665782597</v>
      </c>
      <c r="R143" s="196">
        <f t="shared" si="376"/>
        <v>4945.2147699078414</v>
      </c>
      <c r="S143" s="197">
        <f t="shared" si="377"/>
        <v>1841.3033717741962</v>
      </c>
      <c r="T143" s="197">
        <f t="shared" si="378"/>
        <v>7020.2820483464229</v>
      </c>
      <c r="U143" s="197">
        <f t="shared" si="379"/>
        <v>-2075.0672784385815</v>
      </c>
      <c r="V143" s="199">
        <f t="shared" si="380"/>
        <v>-233.76390666438598</v>
      </c>
      <c r="Z143" s="900">
        <v>6</v>
      </c>
      <c r="AA143" s="911">
        <f>'Arable Inputs'!$H$18</f>
        <v>9.4</v>
      </c>
      <c r="AB143" s="760">
        <f>'Arable Inputs'!$H$25*$AC$134</f>
        <v>141.42857142857144</v>
      </c>
      <c r="AC143" s="762">
        <f t="shared" si="381"/>
        <v>1329.4285714285716</v>
      </c>
      <c r="AD143" s="197">
        <f>'Arable NPV'!$D122</f>
        <v>330</v>
      </c>
      <c r="AE143" s="197">
        <f t="shared" si="435"/>
        <v>1659.4285714285716</v>
      </c>
      <c r="AF143" s="197">
        <f>'Arable NPV'!$F122</f>
        <v>566.71194999999989</v>
      </c>
      <c r="AG143" s="197">
        <f>'Arable NPV'!$G122</f>
        <v>691.46913599999993</v>
      </c>
      <c r="AH143" s="197">
        <f t="shared" si="436"/>
        <v>1258.1810859999998</v>
      </c>
      <c r="AI143" s="197">
        <f t="shared" si="382"/>
        <v>71.247485428571736</v>
      </c>
      <c r="AJ143" s="197">
        <f t="shared" si="383"/>
        <v>401.24748542857174</v>
      </c>
      <c r="AK143" s="196">
        <f t="shared" si="384"/>
        <v>1146.776763925576</v>
      </c>
      <c r="AL143" s="197">
        <f t="shared" si="385"/>
        <v>284.66089884677416</v>
      </c>
      <c r="AM143" s="197">
        <f t="shared" si="386"/>
        <v>1085.3180571296073</v>
      </c>
      <c r="AN143" s="197">
        <f t="shared" si="387"/>
        <v>61.458706795968709</v>
      </c>
      <c r="AO143" s="199">
        <f t="shared" si="388"/>
        <v>346.11960564274284</v>
      </c>
      <c r="AP143" s="196">
        <f t="shared" si="389"/>
        <v>7417.822154861763</v>
      </c>
      <c r="AQ143" s="197">
        <f t="shared" si="390"/>
        <v>1841.3033717741962</v>
      </c>
      <c r="AR143" s="197">
        <f t="shared" si="391"/>
        <v>7020.2820483464229</v>
      </c>
      <c r="AS143" s="197">
        <f t="shared" si="392"/>
        <v>397.54010651533952</v>
      </c>
      <c r="AT143" s="199">
        <f t="shared" si="393"/>
        <v>2238.8434782895356</v>
      </c>
      <c r="AX143" s="900">
        <v>6</v>
      </c>
      <c r="AY143" s="911">
        <f>'Arable Inputs'!$H$18</f>
        <v>9.4</v>
      </c>
      <c r="AZ143" s="760">
        <f>'Arable Inputs'!$H$25*$BA$134</f>
        <v>47.142857142857146</v>
      </c>
      <c r="BA143" s="762">
        <f t="shared" si="394"/>
        <v>443.14285714285717</v>
      </c>
      <c r="BB143" s="197">
        <f>'Arable NPV'!$D122</f>
        <v>330</v>
      </c>
      <c r="BC143" s="197">
        <f t="shared" si="437"/>
        <v>773.14285714285711</v>
      </c>
      <c r="BD143" s="197">
        <f>'Arable NPV'!$F122</f>
        <v>566.71194999999989</v>
      </c>
      <c r="BE143" s="197">
        <f>'Arable NPV'!$G122</f>
        <v>691.46913599999993</v>
      </c>
      <c r="BF143" s="197">
        <f t="shared" si="438"/>
        <v>1258.1810859999998</v>
      </c>
      <c r="BG143" s="197">
        <f t="shared" si="395"/>
        <v>-815.03822885714271</v>
      </c>
      <c r="BH143" s="197">
        <f t="shared" si="396"/>
        <v>-485.03822885714271</v>
      </c>
      <c r="BI143" s="196">
        <f t="shared" si="397"/>
        <v>382.25892130852532</v>
      </c>
      <c r="BJ143" s="197">
        <f t="shared" si="398"/>
        <v>284.66089884677416</v>
      </c>
      <c r="BK143" s="197">
        <f t="shared" si="399"/>
        <v>1085.3180571296073</v>
      </c>
      <c r="BL143" s="197">
        <f t="shared" si="400"/>
        <v>-703.05913582108201</v>
      </c>
      <c r="BM143" s="199">
        <f t="shared" si="401"/>
        <v>-418.39823697430785</v>
      </c>
      <c r="BN143" s="196">
        <f t="shared" si="402"/>
        <v>2472.6073849539207</v>
      </c>
      <c r="BO143" s="197">
        <f t="shared" si="403"/>
        <v>1841.3033717741962</v>
      </c>
      <c r="BP143" s="197">
        <f t="shared" si="404"/>
        <v>7020.2820483464229</v>
      </c>
      <c r="BQ143" s="197">
        <f t="shared" si="405"/>
        <v>-4547.6746633925022</v>
      </c>
      <c r="BR143" s="199">
        <f t="shared" si="406"/>
        <v>-2706.3712916183063</v>
      </c>
      <c r="BV143" s="900">
        <v>6</v>
      </c>
      <c r="BW143" s="911">
        <f>'Arable Inputs'!$H$18</f>
        <v>9.4</v>
      </c>
      <c r="BX143" s="760">
        <f>'Arable Inputs'!$H$25*$BY$134</f>
        <v>188.57142857142858</v>
      </c>
      <c r="BY143" s="762">
        <f t="shared" si="407"/>
        <v>1772.5714285714287</v>
      </c>
      <c r="BZ143" s="197">
        <f>'Arable NPV'!$D122</f>
        <v>330</v>
      </c>
      <c r="CA143" s="197">
        <f t="shared" si="439"/>
        <v>2102.5714285714284</v>
      </c>
      <c r="CB143" s="197">
        <f>'Arable NPV'!$F122</f>
        <v>566.71194999999989</v>
      </c>
      <c r="CC143" s="197">
        <f>'Arable NPV'!$G122</f>
        <v>691.46913599999993</v>
      </c>
      <c r="CD143" s="197">
        <f t="shared" si="440"/>
        <v>1258.1810859999998</v>
      </c>
      <c r="CE143" s="197">
        <f t="shared" si="408"/>
        <v>514.39034257142885</v>
      </c>
      <c r="CF143" s="197">
        <f t="shared" si="409"/>
        <v>844.39034257142862</v>
      </c>
      <c r="CG143" s="196">
        <f t="shared" si="410"/>
        <v>1529.0356852341013</v>
      </c>
      <c r="CH143" s="197">
        <f t="shared" si="411"/>
        <v>284.66089884677416</v>
      </c>
      <c r="CI143" s="197">
        <f t="shared" si="412"/>
        <v>1085.3180571296073</v>
      </c>
      <c r="CJ143" s="197">
        <f t="shared" si="413"/>
        <v>443.717628104494</v>
      </c>
      <c r="CK143" s="199">
        <f t="shared" si="414"/>
        <v>728.37852695126799</v>
      </c>
      <c r="CL143" s="196">
        <f t="shared" si="415"/>
        <v>9890.4295398156828</v>
      </c>
      <c r="CM143" s="197">
        <f t="shared" si="416"/>
        <v>1841.3033717741962</v>
      </c>
      <c r="CN143" s="197">
        <f t="shared" si="417"/>
        <v>7020.2820483464229</v>
      </c>
      <c r="CO143" s="197">
        <f t="shared" si="418"/>
        <v>2870.1474914692603</v>
      </c>
      <c r="CP143" s="199">
        <f t="shared" si="419"/>
        <v>4711.4508632434554</v>
      </c>
      <c r="CT143" s="900">
        <v>6</v>
      </c>
      <c r="CU143" s="911">
        <f>'Arable Inputs'!$H$18</f>
        <v>9.4</v>
      </c>
      <c r="CV143" s="760">
        <f>'Arable Inputs'!$H$25*$CW$134</f>
        <v>0</v>
      </c>
      <c r="CW143" s="762">
        <f t="shared" si="420"/>
        <v>0</v>
      </c>
      <c r="CX143" s="197">
        <f>'Arable NPV'!$D122</f>
        <v>330</v>
      </c>
      <c r="CY143" s="197">
        <f t="shared" si="441"/>
        <v>330</v>
      </c>
      <c r="CZ143" s="197">
        <f>'Arable NPV'!$F122</f>
        <v>566.71194999999989</v>
      </c>
      <c r="DA143" s="197">
        <f>'Arable NPV'!$G122</f>
        <v>691.46913599999993</v>
      </c>
      <c r="DB143" s="197">
        <f t="shared" si="442"/>
        <v>1258.1810859999998</v>
      </c>
      <c r="DC143" s="197">
        <f t="shared" si="421"/>
        <v>-1258.1810859999998</v>
      </c>
      <c r="DD143" s="197">
        <f t="shared" si="422"/>
        <v>-928.18108599999982</v>
      </c>
      <c r="DE143" s="196">
        <f t="shared" si="423"/>
        <v>0</v>
      </c>
      <c r="DF143" s="197">
        <f t="shared" si="424"/>
        <v>284.66089884677416</v>
      </c>
      <c r="DG143" s="197">
        <f t="shared" si="425"/>
        <v>1085.3180571296073</v>
      </c>
      <c r="DH143" s="197">
        <f t="shared" si="426"/>
        <v>-1085.3180571296073</v>
      </c>
      <c r="DI143" s="199">
        <f t="shared" si="427"/>
        <v>-800.65715828283317</v>
      </c>
      <c r="DJ143" s="196">
        <f t="shared" si="428"/>
        <v>0</v>
      </c>
      <c r="DK143" s="197">
        <f t="shared" si="429"/>
        <v>1841.3033717741962</v>
      </c>
      <c r="DL143" s="197">
        <f t="shared" si="430"/>
        <v>7020.2820483464229</v>
      </c>
      <c r="DM143" s="197">
        <f t="shared" si="431"/>
        <v>-7020.2820483464229</v>
      </c>
      <c r="DN143" s="199">
        <f t="shared" si="432"/>
        <v>-5178.9786765722265</v>
      </c>
    </row>
    <row r="144" spans="2:118" x14ac:dyDescent="0.3">
      <c r="B144" s="900">
        <v>7</v>
      </c>
      <c r="C144" s="911">
        <f>'Arable Inputs'!$H$18</f>
        <v>9.4</v>
      </c>
      <c r="D144" s="760">
        <f>'Arable Inputs'!$H$25*$E$134</f>
        <v>94.285714285714292</v>
      </c>
      <c r="E144" s="762">
        <f t="shared" si="368"/>
        <v>886.28571428571433</v>
      </c>
      <c r="F144" s="197">
        <f>'Arable NPV'!$D123</f>
        <v>330</v>
      </c>
      <c r="G144" s="197">
        <f t="shared" si="433"/>
        <v>1216.2857142857142</v>
      </c>
      <c r="H144" s="197">
        <f>'Arable NPV'!$F123</f>
        <v>566.71194999999989</v>
      </c>
      <c r="I144" s="197">
        <f>'Arable NPV'!$G123</f>
        <v>691.46913599999993</v>
      </c>
      <c r="J144" s="197">
        <f t="shared" si="434"/>
        <v>1258.1810859999998</v>
      </c>
      <c r="K144" s="197">
        <f t="shared" si="369"/>
        <v>-371.89537171428549</v>
      </c>
      <c r="L144" s="197">
        <f t="shared" si="370"/>
        <v>-41.895371714285602</v>
      </c>
      <c r="M144" s="196">
        <f t="shared" si="371"/>
        <v>742.25033263791317</v>
      </c>
      <c r="N144" s="197">
        <f t="shared" si="372"/>
        <v>276.36980470560593</v>
      </c>
      <c r="O144" s="197">
        <f t="shared" si="373"/>
        <v>1053.7068515821429</v>
      </c>
      <c r="P144" s="197">
        <f t="shared" si="374"/>
        <v>-311.45651894422974</v>
      </c>
      <c r="Q144" s="199">
        <f t="shared" si="375"/>
        <v>-35.086714238623877</v>
      </c>
      <c r="R144" s="196">
        <f t="shared" si="376"/>
        <v>5687.4651025457542</v>
      </c>
      <c r="S144" s="197">
        <f t="shared" si="377"/>
        <v>2117.6731764798024</v>
      </c>
      <c r="T144" s="197">
        <f t="shared" si="378"/>
        <v>8073.9888999285658</v>
      </c>
      <c r="U144" s="197">
        <f t="shared" si="379"/>
        <v>-2386.5237973828112</v>
      </c>
      <c r="V144" s="199">
        <f t="shared" si="380"/>
        <v>-268.85062090300988</v>
      </c>
      <c r="Z144" s="900">
        <v>7</v>
      </c>
      <c r="AA144" s="911">
        <f>'Arable Inputs'!$H$18</f>
        <v>9.4</v>
      </c>
      <c r="AB144" s="760">
        <f>'Arable Inputs'!$H$25*$AC$134</f>
        <v>141.42857142857144</v>
      </c>
      <c r="AC144" s="762">
        <f t="shared" si="381"/>
        <v>1329.4285714285716</v>
      </c>
      <c r="AD144" s="197">
        <f>'Arable NPV'!$D123</f>
        <v>330</v>
      </c>
      <c r="AE144" s="197">
        <f t="shared" si="435"/>
        <v>1659.4285714285716</v>
      </c>
      <c r="AF144" s="197">
        <f>'Arable NPV'!$F123</f>
        <v>566.71194999999989</v>
      </c>
      <c r="AG144" s="197">
        <f>'Arable NPV'!$G123</f>
        <v>691.46913599999993</v>
      </c>
      <c r="AH144" s="197">
        <f t="shared" si="436"/>
        <v>1258.1810859999998</v>
      </c>
      <c r="AI144" s="197">
        <f t="shared" si="382"/>
        <v>71.247485428571736</v>
      </c>
      <c r="AJ144" s="197">
        <f t="shared" si="383"/>
        <v>401.24748542857174</v>
      </c>
      <c r="AK144" s="196">
        <f t="shared" si="384"/>
        <v>1113.3754989568699</v>
      </c>
      <c r="AL144" s="197">
        <f>AD144/(1+$B$4)^(Z144-1)</f>
        <v>276.36980470560593</v>
      </c>
      <c r="AM144" s="197">
        <f t="shared" si="386"/>
        <v>1053.7068515821429</v>
      </c>
      <c r="AN144" s="197">
        <f t="shared" si="387"/>
        <v>59.668647374726902</v>
      </c>
      <c r="AO144" s="199">
        <f t="shared" si="388"/>
        <v>336.03845208033283</v>
      </c>
      <c r="AP144" s="196">
        <f t="shared" si="389"/>
        <v>8531.1976538186336</v>
      </c>
      <c r="AQ144" s="197">
        <f t="shared" si="390"/>
        <v>2117.6731764798024</v>
      </c>
      <c r="AR144" s="197">
        <f t="shared" si="391"/>
        <v>8073.9888999285658</v>
      </c>
      <c r="AS144" s="197">
        <f t="shared" si="392"/>
        <v>457.20875389006642</v>
      </c>
      <c r="AT144" s="199">
        <f t="shared" si="393"/>
        <v>2574.8819303698683</v>
      </c>
      <c r="AX144" s="900">
        <v>7</v>
      </c>
      <c r="AY144" s="911">
        <f>'Arable Inputs'!$H$18</f>
        <v>9.4</v>
      </c>
      <c r="AZ144" s="760">
        <f>'Arable Inputs'!$H$25*$BA$134</f>
        <v>47.142857142857146</v>
      </c>
      <c r="BA144" s="762">
        <f t="shared" si="394"/>
        <v>443.14285714285717</v>
      </c>
      <c r="BB144" s="197">
        <f>'Arable NPV'!$D123</f>
        <v>330</v>
      </c>
      <c r="BC144" s="197">
        <f t="shared" si="437"/>
        <v>773.14285714285711</v>
      </c>
      <c r="BD144" s="197">
        <f>'Arable NPV'!$F123</f>
        <v>566.71194999999989</v>
      </c>
      <c r="BE144" s="197">
        <f>'Arable NPV'!$G123</f>
        <v>691.46913599999993</v>
      </c>
      <c r="BF144" s="197">
        <f t="shared" si="438"/>
        <v>1258.1810859999998</v>
      </c>
      <c r="BG144" s="197">
        <f t="shared" si="395"/>
        <v>-815.03822885714271</v>
      </c>
      <c r="BH144" s="197">
        <f t="shared" si="396"/>
        <v>-485.03822885714271</v>
      </c>
      <c r="BI144" s="196">
        <f t="shared" si="397"/>
        <v>371.12516631895659</v>
      </c>
      <c r="BJ144" s="197">
        <f>BB144/(1+$B$4)^(AX144-1)</f>
        <v>276.36980470560593</v>
      </c>
      <c r="BK144" s="197">
        <f t="shared" si="399"/>
        <v>1053.7068515821429</v>
      </c>
      <c r="BL144" s="197">
        <f t="shared" si="400"/>
        <v>-682.58168526318639</v>
      </c>
      <c r="BM144" s="199">
        <f t="shared" si="401"/>
        <v>-406.2118805575804</v>
      </c>
      <c r="BN144" s="196">
        <f t="shared" si="402"/>
        <v>2843.7325512728771</v>
      </c>
      <c r="BO144" s="197">
        <f t="shared" si="403"/>
        <v>2117.6731764798024</v>
      </c>
      <c r="BP144" s="197">
        <f t="shared" si="404"/>
        <v>8073.9888999285658</v>
      </c>
      <c r="BQ144" s="197">
        <f t="shared" si="405"/>
        <v>-5230.2563486556883</v>
      </c>
      <c r="BR144" s="199">
        <f t="shared" si="406"/>
        <v>-3112.5831721758868</v>
      </c>
      <c r="BV144" s="900">
        <v>7</v>
      </c>
      <c r="BW144" s="911">
        <f>'Arable Inputs'!$H$18</f>
        <v>9.4</v>
      </c>
      <c r="BX144" s="760">
        <f>'Arable Inputs'!$H$25*$BY$134</f>
        <v>188.57142857142858</v>
      </c>
      <c r="BY144" s="762">
        <f t="shared" si="407"/>
        <v>1772.5714285714287</v>
      </c>
      <c r="BZ144" s="197">
        <f>'Arable NPV'!$D123</f>
        <v>330</v>
      </c>
      <c r="CA144" s="197">
        <f t="shared" si="439"/>
        <v>2102.5714285714284</v>
      </c>
      <c r="CB144" s="197">
        <f>'Arable NPV'!$F123</f>
        <v>566.71194999999989</v>
      </c>
      <c r="CC144" s="197">
        <f>'Arable NPV'!$G123</f>
        <v>691.46913599999993</v>
      </c>
      <c r="CD144" s="197">
        <f t="shared" si="440"/>
        <v>1258.1810859999998</v>
      </c>
      <c r="CE144" s="197">
        <f t="shared" si="408"/>
        <v>514.39034257142885</v>
      </c>
      <c r="CF144" s="197">
        <f t="shared" si="409"/>
        <v>844.39034257142862</v>
      </c>
      <c r="CG144" s="196">
        <f t="shared" si="410"/>
        <v>1484.5006652758263</v>
      </c>
      <c r="CH144" s="197">
        <f>BZ144/(1+$B$4)^(BV144-1)</f>
        <v>276.36980470560593</v>
      </c>
      <c r="CI144" s="197">
        <f t="shared" si="412"/>
        <v>1053.7068515821429</v>
      </c>
      <c r="CJ144" s="197">
        <f t="shared" si="413"/>
        <v>430.79381369368343</v>
      </c>
      <c r="CK144" s="199">
        <f t="shared" si="414"/>
        <v>707.16361839928925</v>
      </c>
      <c r="CL144" s="196">
        <f t="shared" si="415"/>
        <v>11374.930205091508</v>
      </c>
      <c r="CM144" s="197">
        <f t="shared" si="416"/>
        <v>2117.6731764798024</v>
      </c>
      <c r="CN144" s="197">
        <f t="shared" si="417"/>
        <v>8073.9888999285658</v>
      </c>
      <c r="CO144" s="197">
        <f t="shared" si="418"/>
        <v>3300.9413051629435</v>
      </c>
      <c r="CP144" s="199">
        <f t="shared" si="419"/>
        <v>5418.614481642745</v>
      </c>
      <c r="CT144" s="900">
        <v>7</v>
      </c>
      <c r="CU144" s="911">
        <f>'Arable Inputs'!$H$18</f>
        <v>9.4</v>
      </c>
      <c r="CV144" s="760">
        <f>'Arable Inputs'!$H$25*$CW$134</f>
        <v>0</v>
      </c>
      <c r="CW144" s="762">
        <f t="shared" si="420"/>
        <v>0</v>
      </c>
      <c r="CX144" s="197">
        <f>'Arable NPV'!$D123</f>
        <v>330</v>
      </c>
      <c r="CY144" s="197">
        <f t="shared" si="441"/>
        <v>330</v>
      </c>
      <c r="CZ144" s="197">
        <f>'Arable NPV'!$F123</f>
        <v>566.71194999999989</v>
      </c>
      <c r="DA144" s="197">
        <f>'Arable NPV'!$G123</f>
        <v>691.46913599999993</v>
      </c>
      <c r="DB144" s="197">
        <f t="shared" si="442"/>
        <v>1258.1810859999998</v>
      </c>
      <c r="DC144" s="197">
        <f t="shared" si="421"/>
        <v>-1258.1810859999998</v>
      </c>
      <c r="DD144" s="197">
        <f t="shared" si="422"/>
        <v>-928.18108599999982</v>
      </c>
      <c r="DE144" s="196">
        <f t="shared" si="423"/>
        <v>0</v>
      </c>
      <c r="DF144" s="197">
        <f>CX144/(1+$B$4)^(CT144-1)</f>
        <v>276.36980470560593</v>
      </c>
      <c r="DG144" s="197">
        <f t="shared" si="425"/>
        <v>1053.7068515821429</v>
      </c>
      <c r="DH144" s="197">
        <f>DC144/(1+$B$4)^(CT144-1)</f>
        <v>-1053.7068515821429</v>
      </c>
      <c r="DI144" s="199">
        <f t="shared" si="427"/>
        <v>-777.33704687653699</v>
      </c>
      <c r="DJ144" s="196">
        <f t="shared" si="428"/>
        <v>0</v>
      </c>
      <c r="DK144" s="197">
        <f t="shared" si="429"/>
        <v>2117.6731764798024</v>
      </c>
      <c r="DL144" s="197">
        <f t="shared" si="430"/>
        <v>8073.9888999285658</v>
      </c>
      <c r="DM144" s="197">
        <f t="shared" si="431"/>
        <v>-8073.9888999285658</v>
      </c>
      <c r="DN144" s="199">
        <f t="shared" si="432"/>
        <v>-5956.3157234487635</v>
      </c>
    </row>
    <row r="145" spans="2:118" x14ac:dyDescent="0.3">
      <c r="B145" s="900">
        <v>8</v>
      </c>
      <c r="C145" s="911">
        <f>'Arable Inputs'!$H$18</f>
        <v>9.4</v>
      </c>
      <c r="D145" s="760">
        <f>'Arable Inputs'!$H$25*$E$134</f>
        <v>94.285714285714292</v>
      </c>
      <c r="E145" s="762">
        <f t="shared" si="368"/>
        <v>886.28571428571433</v>
      </c>
      <c r="F145" s="197">
        <f>'Arable NPV'!$D124</f>
        <v>330</v>
      </c>
      <c r="G145" s="197">
        <f t="shared" si="433"/>
        <v>1216.2857142857142</v>
      </c>
      <c r="H145" s="197">
        <f>'Arable NPV'!$F124</f>
        <v>566.71194999999989</v>
      </c>
      <c r="I145" s="197">
        <f>'Arable NPV'!$G124</f>
        <v>691.46913599999993</v>
      </c>
      <c r="J145" s="197">
        <f t="shared" si="434"/>
        <v>1258.1810859999998</v>
      </c>
      <c r="K145" s="197">
        <f t="shared" si="369"/>
        <v>-371.89537171428549</v>
      </c>
      <c r="L145" s="197">
        <f t="shared" si="370"/>
        <v>-41.895371714285602</v>
      </c>
      <c r="M145" s="196">
        <f t="shared" si="371"/>
        <v>720.63139091059531</v>
      </c>
      <c r="N145" s="197">
        <f t="shared" si="372"/>
        <v>268.32019874330672</v>
      </c>
      <c r="O145" s="197">
        <f t="shared" si="373"/>
        <v>1023.016360759362</v>
      </c>
      <c r="P145" s="197">
        <f t="shared" si="374"/>
        <v>-302.38496984876673</v>
      </c>
      <c r="Q145" s="199">
        <f t="shared" si="375"/>
        <v>-34.064771105460075</v>
      </c>
      <c r="R145" s="196">
        <f t="shared" si="376"/>
        <v>6408.0964934563499</v>
      </c>
      <c r="S145" s="197">
        <f t="shared" si="377"/>
        <v>2385.9933752231091</v>
      </c>
      <c r="T145" s="197">
        <f t="shared" si="378"/>
        <v>9097.0052606879271</v>
      </c>
      <c r="U145" s="197">
        <f t="shared" si="379"/>
        <v>-2688.9087672315777</v>
      </c>
      <c r="V145" s="199">
        <f t="shared" si="380"/>
        <v>-302.91539200846995</v>
      </c>
      <c r="Z145" s="900">
        <v>8</v>
      </c>
      <c r="AA145" s="911">
        <f>'Arable Inputs'!$H$18</f>
        <v>9.4</v>
      </c>
      <c r="AB145" s="760">
        <f>'Arable Inputs'!$H$25*$AC$134</f>
        <v>141.42857142857144</v>
      </c>
      <c r="AC145" s="762">
        <f t="shared" si="381"/>
        <v>1329.4285714285716</v>
      </c>
      <c r="AD145" s="197">
        <f>'Arable NPV'!$D124</f>
        <v>330</v>
      </c>
      <c r="AE145" s="197">
        <f t="shared" si="435"/>
        <v>1659.4285714285716</v>
      </c>
      <c r="AF145" s="197">
        <f>'Arable NPV'!$F124</f>
        <v>566.71194999999989</v>
      </c>
      <c r="AG145" s="197">
        <f>'Arable NPV'!$G124</f>
        <v>691.46913599999993</v>
      </c>
      <c r="AH145" s="197">
        <f t="shared" si="436"/>
        <v>1258.1810859999998</v>
      </c>
      <c r="AI145" s="197">
        <f t="shared" si="382"/>
        <v>71.247485428571736</v>
      </c>
      <c r="AJ145" s="197">
        <f t="shared" si="383"/>
        <v>401.24748542857174</v>
      </c>
      <c r="AK145" s="196">
        <f>AC145/(1+$B$4)^(Z145-1)</f>
        <v>1080.947086365893</v>
      </c>
      <c r="AL145" s="197">
        <f>AD145/(1+$B$4)^(Z145-1)</f>
        <v>268.32019874330672</v>
      </c>
      <c r="AM145" s="197">
        <f>AH145/(1+$B$4)^(Z145-1)</f>
        <v>1023.016360759362</v>
      </c>
      <c r="AN145" s="197">
        <f>AI145/(1+$B$4)^(Z145-1)</f>
        <v>57.93072560653097</v>
      </c>
      <c r="AO145" s="199">
        <f t="shared" si="388"/>
        <v>326.2509243498377</v>
      </c>
      <c r="AP145" s="196">
        <f t="shared" si="389"/>
        <v>9612.1447401845271</v>
      </c>
      <c r="AQ145" s="197">
        <f t="shared" si="390"/>
        <v>2385.9933752231091</v>
      </c>
      <c r="AR145" s="197">
        <f t="shared" si="391"/>
        <v>9097.0052606879271</v>
      </c>
      <c r="AS145" s="197">
        <f t="shared" si="392"/>
        <v>515.13947949659735</v>
      </c>
      <c r="AT145" s="199">
        <f t="shared" si="393"/>
        <v>2901.1328547197058</v>
      </c>
      <c r="AX145" s="900">
        <v>8</v>
      </c>
      <c r="AY145" s="911">
        <f>'Arable Inputs'!$H$18</f>
        <v>9.4</v>
      </c>
      <c r="AZ145" s="760">
        <f>'Arable Inputs'!$H$25*$BA$134</f>
        <v>47.142857142857146</v>
      </c>
      <c r="BA145" s="762">
        <f t="shared" si="394"/>
        <v>443.14285714285717</v>
      </c>
      <c r="BB145" s="197">
        <f>'Arable NPV'!$D124</f>
        <v>330</v>
      </c>
      <c r="BC145" s="197">
        <f t="shared" si="437"/>
        <v>773.14285714285711</v>
      </c>
      <c r="BD145" s="197">
        <f>'Arable NPV'!$F124</f>
        <v>566.71194999999989</v>
      </c>
      <c r="BE145" s="197">
        <f>'Arable NPV'!$G124</f>
        <v>691.46913599999993</v>
      </c>
      <c r="BF145" s="197">
        <f t="shared" si="438"/>
        <v>1258.1810859999998</v>
      </c>
      <c r="BG145" s="197">
        <f t="shared" si="395"/>
        <v>-815.03822885714271</v>
      </c>
      <c r="BH145" s="197">
        <f t="shared" si="396"/>
        <v>-485.03822885714271</v>
      </c>
      <c r="BI145" s="196">
        <f>BA145/(1+$B$4)^(AX145-1)</f>
        <v>360.31569545529766</v>
      </c>
      <c r="BJ145" s="197">
        <f>BB145/(1+$B$4)^(AX145-1)</f>
        <v>268.32019874330672</v>
      </c>
      <c r="BK145" s="197">
        <f>BF145/(1+$B$4)^(AX145-1)</f>
        <v>1023.016360759362</v>
      </c>
      <c r="BL145" s="197">
        <f>BG145/(1+$B$4)^(AX145-1)</f>
        <v>-662.70066530406439</v>
      </c>
      <c r="BM145" s="199">
        <f t="shared" si="401"/>
        <v>-394.38046656075767</v>
      </c>
      <c r="BN145" s="196">
        <f t="shared" si="402"/>
        <v>3204.0482467281749</v>
      </c>
      <c r="BO145" s="197">
        <f t="shared" si="403"/>
        <v>2385.9933752231091</v>
      </c>
      <c r="BP145" s="197">
        <f t="shared" si="404"/>
        <v>9097.0052606879271</v>
      </c>
      <c r="BQ145" s="197">
        <f t="shared" si="405"/>
        <v>-5892.9570139597527</v>
      </c>
      <c r="BR145" s="199">
        <f t="shared" si="406"/>
        <v>-3506.9636387366445</v>
      </c>
      <c r="BV145" s="900">
        <v>8</v>
      </c>
      <c r="BW145" s="911">
        <f>'Arable Inputs'!$H$18</f>
        <v>9.4</v>
      </c>
      <c r="BX145" s="760">
        <f>'Arable Inputs'!$H$25*$BY$134</f>
        <v>188.57142857142858</v>
      </c>
      <c r="BY145" s="762">
        <f t="shared" si="407"/>
        <v>1772.5714285714287</v>
      </c>
      <c r="BZ145" s="197">
        <f>'Arable NPV'!$D124</f>
        <v>330</v>
      </c>
      <c r="CA145" s="197">
        <f t="shared" si="439"/>
        <v>2102.5714285714284</v>
      </c>
      <c r="CB145" s="197">
        <f>'Arable NPV'!$F124</f>
        <v>566.71194999999989</v>
      </c>
      <c r="CC145" s="197">
        <f>'Arable NPV'!$G124</f>
        <v>691.46913599999993</v>
      </c>
      <c r="CD145" s="197">
        <f t="shared" si="440"/>
        <v>1258.1810859999998</v>
      </c>
      <c r="CE145" s="197">
        <f t="shared" si="408"/>
        <v>514.39034257142885</v>
      </c>
      <c r="CF145" s="197">
        <f t="shared" si="409"/>
        <v>844.39034257142862</v>
      </c>
      <c r="CG145" s="196">
        <f>BY145/(1+$B$4)^(BV145-1)</f>
        <v>1441.2627818211906</v>
      </c>
      <c r="CH145" s="197">
        <f>BZ145/(1+$B$4)^(BV145-1)</f>
        <v>268.32019874330672</v>
      </c>
      <c r="CI145" s="197">
        <f>CD145/(1+$B$4)^(BV145-1)</f>
        <v>1023.016360759362</v>
      </c>
      <c r="CJ145" s="197">
        <f>CE145/(1+$B$4)^(BV145-1)</f>
        <v>418.24642106182858</v>
      </c>
      <c r="CK145" s="199">
        <f t="shared" si="414"/>
        <v>686.56661980513513</v>
      </c>
      <c r="CL145" s="196">
        <f t="shared" si="415"/>
        <v>12816.1929869127</v>
      </c>
      <c r="CM145" s="197">
        <f t="shared" si="416"/>
        <v>2385.9933752231091</v>
      </c>
      <c r="CN145" s="197">
        <f t="shared" si="417"/>
        <v>9097.0052606879271</v>
      </c>
      <c r="CO145" s="197">
        <f t="shared" si="418"/>
        <v>3719.1877262247722</v>
      </c>
      <c r="CP145" s="199">
        <f t="shared" si="419"/>
        <v>6105.1811014478799</v>
      </c>
      <c r="CT145" s="900">
        <v>8</v>
      </c>
      <c r="CU145" s="911">
        <f>'Arable Inputs'!$H$18</f>
        <v>9.4</v>
      </c>
      <c r="CV145" s="760">
        <f>'Arable Inputs'!$H$25*$CW$134</f>
        <v>0</v>
      </c>
      <c r="CW145" s="762">
        <f t="shared" si="420"/>
        <v>0</v>
      </c>
      <c r="CX145" s="197">
        <f>'Arable NPV'!$D124</f>
        <v>330</v>
      </c>
      <c r="CY145" s="197">
        <f t="shared" si="441"/>
        <v>330</v>
      </c>
      <c r="CZ145" s="197">
        <f>'Arable NPV'!$F124</f>
        <v>566.71194999999989</v>
      </c>
      <c r="DA145" s="197">
        <f>'Arable NPV'!$G124</f>
        <v>691.46913599999993</v>
      </c>
      <c r="DB145" s="197">
        <f t="shared" si="442"/>
        <v>1258.1810859999998</v>
      </c>
      <c r="DC145" s="197">
        <f t="shared" si="421"/>
        <v>-1258.1810859999998</v>
      </c>
      <c r="DD145" s="197">
        <f t="shared" si="422"/>
        <v>-928.18108599999982</v>
      </c>
      <c r="DE145" s="196">
        <f>CW145/(1+$B$4)^(CT145-1)</f>
        <v>0</v>
      </c>
      <c r="DF145" s="197">
        <f>CX145/(1+$B$4)^(CT145-1)</f>
        <v>268.32019874330672</v>
      </c>
      <c r="DG145" s="197">
        <f>DB145/(1+$B$4)^(CT145-1)</f>
        <v>1023.016360759362</v>
      </c>
      <c r="DH145" s="197">
        <f>DC145/(1+$B$4)^(CT145-1)</f>
        <v>-1023.016360759362</v>
      </c>
      <c r="DI145" s="199">
        <f t="shared" si="427"/>
        <v>-754.69616201605527</v>
      </c>
      <c r="DJ145" s="196">
        <f t="shared" si="428"/>
        <v>0</v>
      </c>
      <c r="DK145" s="197">
        <f t="shared" si="429"/>
        <v>2385.9933752231091</v>
      </c>
      <c r="DL145" s="197">
        <f t="shared" si="430"/>
        <v>9097.0052606879271</v>
      </c>
      <c r="DM145" s="197">
        <f t="shared" si="431"/>
        <v>-9097.0052606879271</v>
      </c>
      <c r="DN145" s="199">
        <f t="shared" si="432"/>
        <v>-6711.011885464819</v>
      </c>
    </row>
    <row r="146" spans="2:118" x14ac:dyDescent="0.3">
      <c r="B146" s="900">
        <v>9</v>
      </c>
      <c r="C146" s="911">
        <f>'Arable Inputs'!$H$18</f>
        <v>9.4</v>
      </c>
      <c r="D146" s="760">
        <f>'Arable Inputs'!$H$25*$E$134</f>
        <v>94.285714285714292</v>
      </c>
      <c r="E146" s="762">
        <f t="shared" si="368"/>
        <v>886.28571428571433</v>
      </c>
      <c r="F146" s="197">
        <f>'Arable NPV'!$D125</f>
        <v>330</v>
      </c>
      <c r="G146" s="197">
        <f t="shared" si="433"/>
        <v>1216.2857142857142</v>
      </c>
      <c r="H146" s="197">
        <f>'Arable NPV'!$F125</f>
        <v>566.71194999999989</v>
      </c>
      <c r="I146" s="197">
        <f>'Arable NPV'!$G125</f>
        <v>691.46913599999993</v>
      </c>
      <c r="J146" s="197">
        <f t="shared" si="434"/>
        <v>1258.1810859999998</v>
      </c>
      <c r="K146" s="197">
        <f t="shared" si="369"/>
        <v>-371.89537171428549</v>
      </c>
      <c r="L146" s="197">
        <f t="shared" si="370"/>
        <v>-41.895371714285602</v>
      </c>
      <c r="M146" s="196">
        <f t="shared" si="371"/>
        <v>699.64212709766537</v>
      </c>
      <c r="N146" s="197">
        <f t="shared" si="372"/>
        <v>260.50504732359883</v>
      </c>
      <c r="O146" s="197">
        <f t="shared" si="373"/>
        <v>993.21976772753601</v>
      </c>
      <c r="P146" s="197">
        <f t="shared" si="374"/>
        <v>-293.57764062987064</v>
      </c>
      <c r="Q146" s="199">
        <f t="shared" si="375"/>
        <v>-33.072593306271919</v>
      </c>
      <c r="R146" s="196">
        <f t="shared" si="376"/>
        <v>7107.7386205540151</v>
      </c>
      <c r="S146" s="197">
        <f t="shared" si="377"/>
        <v>2646.4984225467078</v>
      </c>
      <c r="T146" s="197">
        <f t="shared" si="378"/>
        <v>10090.225028415463</v>
      </c>
      <c r="U146" s="197">
        <f t="shared" si="379"/>
        <v>-2982.4864078614482</v>
      </c>
      <c r="V146" s="199">
        <f t="shared" si="380"/>
        <v>-335.98798531474188</v>
      </c>
      <c r="Z146" s="900">
        <v>9</v>
      </c>
      <c r="AA146" s="911">
        <f>'Arable Inputs'!$H$18</f>
        <v>9.4</v>
      </c>
      <c r="AB146" s="760">
        <f>'Arable Inputs'!$H$25*$AC$134</f>
        <v>141.42857142857144</v>
      </c>
      <c r="AC146" s="762">
        <f t="shared" si="381"/>
        <v>1329.4285714285716</v>
      </c>
      <c r="AD146" s="197">
        <f>'Arable NPV'!$D125</f>
        <v>330</v>
      </c>
      <c r="AE146" s="197">
        <f t="shared" si="435"/>
        <v>1659.4285714285716</v>
      </c>
      <c r="AF146" s="197">
        <f>'Arable NPV'!$F125</f>
        <v>566.71194999999989</v>
      </c>
      <c r="AG146" s="197">
        <f>'Arable NPV'!$G125</f>
        <v>691.46913599999993</v>
      </c>
      <c r="AH146" s="197">
        <f t="shared" si="436"/>
        <v>1258.1810859999998</v>
      </c>
      <c r="AI146" s="197">
        <f t="shared" si="382"/>
        <v>71.247485428571736</v>
      </c>
      <c r="AJ146" s="197">
        <f t="shared" si="383"/>
        <v>401.24748542857174</v>
      </c>
      <c r="AK146" s="196">
        <f t="shared" si="384"/>
        <v>1049.4631906464981</v>
      </c>
      <c r="AL146" s="197">
        <f t="shared" si="385"/>
        <v>260.50504732359883</v>
      </c>
      <c r="AM146" s="197">
        <f t="shared" si="386"/>
        <v>993.21976772753601</v>
      </c>
      <c r="AN146" s="197">
        <f t="shared" si="387"/>
        <v>56.243422918962111</v>
      </c>
      <c r="AO146" s="199">
        <f t="shared" si="388"/>
        <v>316.74847024256093</v>
      </c>
      <c r="AP146" s="196">
        <f t="shared" si="389"/>
        <v>10661.607930831025</v>
      </c>
      <c r="AQ146" s="197">
        <f t="shared" si="390"/>
        <v>2646.4984225467078</v>
      </c>
      <c r="AR146" s="197">
        <f t="shared" si="391"/>
        <v>10090.225028415463</v>
      </c>
      <c r="AS146" s="197">
        <f t="shared" si="392"/>
        <v>571.38290241555944</v>
      </c>
      <c r="AT146" s="199">
        <f t="shared" si="393"/>
        <v>3217.8813249622667</v>
      </c>
      <c r="AX146" s="900">
        <v>9</v>
      </c>
      <c r="AY146" s="911">
        <f>'Arable Inputs'!$H$18</f>
        <v>9.4</v>
      </c>
      <c r="AZ146" s="760">
        <f>'Arable Inputs'!$H$25*$BA$134</f>
        <v>47.142857142857146</v>
      </c>
      <c r="BA146" s="762">
        <f t="shared" si="394"/>
        <v>443.14285714285717</v>
      </c>
      <c r="BB146" s="197">
        <f>'Arable NPV'!$D125</f>
        <v>330</v>
      </c>
      <c r="BC146" s="197">
        <f t="shared" si="437"/>
        <v>773.14285714285711</v>
      </c>
      <c r="BD146" s="197">
        <f>'Arable NPV'!$F125</f>
        <v>566.71194999999989</v>
      </c>
      <c r="BE146" s="197">
        <f>'Arable NPV'!$G125</f>
        <v>691.46913599999993</v>
      </c>
      <c r="BF146" s="197">
        <f t="shared" si="438"/>
        <v>1258.1810859999998</v>
      </c>
      <c r="BG146" s="197">
        <f t="shared" si="395"/>
        <v>-815.03822885714271</v>
      </c>
      <c r="BH146" s="197">
        <f t="shared" si="396"/>
        <v>-485.03822885714271</v>
      </c>
      <c r="BI146" s="196">
        <f t="shared" ref="BI146:BI153" si="443">BA146/(1+$B$4)^(AX146-1)</f>
        <v>349.82106354883268</v>
      </c>
      <c r="BJ146" s="197">
        <f t="shared" ref="BJ146:BJ153" si="444">BB146/(1+$B$4)^(AX146-1)</f>
        <v>260.50504732359883</v>
      </c>
      <c r="BK146" s="197">
        <f t="shared" ref="BK146:BK153" si="445">BF146/(1+$B$4)^(AX146-1)</f>
        <v>993.21976772753601</v>
      </c>
      <c r="BL146" s="197">
        <f t="shared" ref="BL146:BL153" si="446">BG146/(1+$B$4)^(AX146-1)</f>
        <v>-643.39870417870338</v>
      </c>
      <c r="BM146" s="199">
        <f t="shared" si="401"/>
        <v>-382.89365685510455</v>
      </c>
      <c r="BN146" s="196">
        <f t="shared" si="402"/>
        <v>3553.8693102770076</v>
      </c>
      <c r="BO146" s="197">
        <f t="shared" si="403"/>
        <v>2646.4984225467078</v>
      </c>
      <c r="BP146" s="197">
        <f t="shared" si="404"/>
        <v>10090.225028415463</v>
      </c>
      <c r="BQ146" s="197">
        <f t="shared" si="405"/>
        <v>-6536.3557181384558</v>
      </c>
      <c r="BR146" s="199">
        <f t="shared" si="406"/>
        <v>-3889.8572955917489</v>
      </c>
      <c r="BV146" s="900">
        <v>9</v>
      </c>
      <c r="BW146" s="911">
        <f>'Arable Inputs'!$H$18</f>
        <v>9.4</v>
      </c>
      <c r="BX146" s="760">
        <f>'Arable Inputs'!$H$25*$BY$134</f>
        <v>188.57142857142858</v>
      </c>
      <c r="BY146" s="762">
        <f t="shared" si="407"/>
        <v>1772.5714285714287</v>
      </c>
      <c r="BZ146" s="197">
        <f>'Arable NPV'!$D125</f>
        <v>330</v>
      </c>
      <c r="CA146" s="197">
        <f t="shared" si="439"/>
        <v>2102.5714285714284</v>
      </c>
      <c r="CB146" s="197">
        <f>'Arable NPV'!$F125</f>
        <v>566.71194999999989</v>
      </c>
      <c r="CC146" s="197">
        <f>'Arable NPV'!$G125</f>
        <v>691.46913599999993</v>
      </c>
      <c r="CD146" s="197">
        <f t="shared" si="440"/>
        <v>1258.1810859999998</v>
      </c>
      <c r="CE146" s="197">
        <f t="shared" si="408"/>
        <v>514.39034257142885</v>
      </c>
      <c r="CF146" s="197">
        <f t="shared" si="409"/>
        <v>844.39034257142862</v>
      </c>
      <c r="CG146" s="196">
        <f t="shared" ref="CG146:CG153" si="447">BY146/(1+$B$4)^(BV146-1)</f>
        <v>1399.2842541953307</v>
      </c>
      <c r="CH146" s="197">
        <f t="shared" ref="CH146:CH153" si="448">BZ146/(1+$B$4)^(BV146-1)</f>
        <v>260.50504732359883</v>
      </c>
      <c r="CI146" s="197">
        <f t="shared" ref="CI146:CI153" si="449">CD146/(1+$B$4)^(BV146-1)</f>
        <v>993.21976772753601</v>
      </c>
      <c r="CJ146" s="197">
        <f t="shared" ref="CJ146:CJ153" si="450">CE146/(1+$B$4)^(BV146-1)</f>
        <v>406.06448646779478</v>
      </c>
      <c r="CK146" s="199">
        <f t="shared" si="414"/>
        <v>666.56953379139338</v>
      </c>
      <c r="CL146" s="196">
        <f t="shared" si="415"/>
        <v>14215.47724110803</v>
      </c>
      <c r="CM146" s="197">
        <f t="shared" si="416"/>
        <v>2646.4984225467078</v>
      </c>
      <c r="CN146" s="197">
        <f t="shared" si="417"/>
        <v>10090.225028415463</v>
      </c>
      <c r="CO146" s="197">
        <f t="shared" si="418"/>
        <v>4125.2522126925669</v>
      </c>
      <c r="CP146" s="199">
        <f t="shared" si="419"/>
        <v>6771.7506352392729</v>
      </c>
      <c r="CT146" s="900">
        <v>9</v>
      </c>
      <c r="CU146" s="911">
        <f>'Arable Inputs'!$H$18</f>
        <v>9.4</v>
      </c>
      <c r="CV146" s="760">
        <f>'Arable Inputs'!$H$25*$CW$134</f>
        <v>0</v>
      </c>
      <c r="CW146" s="762">
        <f t="shared" si="420"/>
        <v>0</v>
      </c>
      <c r="CX146" s="197">
        <f>'Arable NPV'!$D125</f>
        <v>330</v>
      </c>
      <c r="CY146" s="197">
        <f t="shared" si="441"/>
        <v>330</v>
      </c>
      <c r="CZ146" s="197">
        <f>'Arable NPV'!$F125</f>
        <v>566.71194999999989</v>
      </c>
      <c r="DA146" s="197">
        <f>'Arable NPV'!$G125</f>
        <v>691.46913599999993</v>
      </c>
      <c r="DB146" s="197">
        <f t="shared" si="442"/>
        <v>1258.1810859999998</v>
      </c>
      <c r="DC146" s="197">
        <f t="shared" si="421"/>
        <v>-1258.1810859999998</v>
      </c>
      <c r="DD146" s="197">
        <f t="shared" si="422"/>
        <v>-928.18108599999982</v>
      </c>
      <c r="DE146" s="196">
        <f t="shared" ref="DE146:DE153" si="451">CW146/(1+$B$4)^(CT146-1)</f>
        <v>0</v>
      </c>
      <c r="DF146" s="197">
        <f t="shared" ref="DF146:DF153" si="452">CX146/(1+$B$4)^(CT146-1)</f>
        <v>260.50504732359883</v>
      </c>
      <c r="DG146" s="197">
        <f t="shared" ref="DG146:DG153" si="453">DB146/(1+$B$4)^(CT146-1)</f>
        <v>993.21976772753601</v>
      </c>
      <c r="DH146" s="197">
        <f t="shared" ref="DH146:DH153" si="454">DC146/(1+$B$4)^(CT146-1)</f>
        <v>-993.21976772753601</v>
      </c>
      <c r="DI146" s="199">
        <f t="shared" si="427"/>
        <v>-732.71472040393724</v>
      </c>
      <c r="DJ146" s="196">
        <f t="shared" si="428"/>
        <v>0</v>
      </c>
      <c r="DK146" s="197">
        <f t="shared" si="429"/>
        <v>2646.4984225467078</v>
      </c>
      <c r="DL146" s="197">
        <f t="shared" si="430"/>
        <v>10090.225028415463</v>
      </c>
      <c r="DM146" s="197">
        <f t="shared" si="431"/>
        <v>-10090.225028415463</v>
      </c>
      <c r="DN146" s="199">
        <f t="shared" si="432"/>
        <v>-7443.7266058687565</v>
      </c>
    </row>
    <row r="147" spans="2:118" x14ac:dyDescent="0.3">
      <c r="B147" s="900">
        <v>10</v>
      </c>
      <c r="C147" s="911">
        <f>'Arable Inputs'!$H$18</f>
        <v>9.4</v>
      </c>
      <c r="D147" s="760">
        <f>'Arable Inputs'!$H$25*$E$134</f>
        <v>94.285714285714292</v>
      </c>
      <c r="E147" s="762">
        <f t="shared" si="368"/>
        <v>886.28571428571433</v>
      </c>
      <c r="F147" s="197">
        <f>'Arable NPV'!$D126</f>
        <v>330</v>
      </c>
      <c r="G147" s="197">
        <f t="shared" si="433"/>
        <v>1216.2857142857142</v>
      </c>
      <c r="H147" s="197">
        <f>'Arable NPV'!$F126</f>
        <v>566.71194999999989</v>
      </c>
      <c r="I147" s="197">
        <f>'Arable NPV'!$G126</f>
        <v>691.46913599999993</v>
      </c>
      <c r="J147" s="197">
        <f t="shared" si="434"/>
        <v>1258.1810859999998</v>
      </c>
      <c r="K147" s="197">
        <f t="shared" si="369"/>
        <v>-371.89537171428549</v>
      </c>
      <c r="L147" s="197">
        <f t="shared" si="370"/>
        <v>-41.895371714285602</v>
      </c>
      <c r="M147" s="196">
        <f t="shared" si="371"/>
        <v>679.26420106569458</v>
      </c>
      <c r="N147" s="197">
        <f t="shared" si="372"/>
        <v>252.91752167339689</v>
      </c>
      <c r="O147" s="197">
        <f t="shared" si="373"/>
        <v>964.29103662867578</v>
      </c>
      <c r="P147" s="197">
        <f t="shared" si="374"/>
        <v>-285.0268355629812</v>
      </c>
      <c r="Q147" s="199">
        <f t="shared" si="375"/>
        <v>-32.109313889584385</v>
      </c>
      <c r="R147" s="196">
        <f t="shared" si="376"/>
        <v>7787.0028216197097</v>
      </c>
      <c r="S147" s="197">
        <f t="shared" si="377"/>
        <v>2899.4159442201048</v>
      </c>
      <c r="T147" s="197">
        <f t="shared" si="378"/>
        <v>11054.516065044139</v>
      </c>
      <c r="U147" s="197">
        <f t="shared" si="379"/>
        <v>-3267.5132434244297</v>
      </c>
      <c r="V147" s="199">
        <f t="shared" si="380"/>
        <v>-368.09729920432625</v>
      </c>
      <c r="Z147" s="900">
        <v>10</v>
      </c>
      <c r="AA147" s="911">
        <f>'Arable Inputs'!$H$18</f>
        <v>9.4</v>
      </c>
      <c r="AB147" s="760">
        <f>'Arable Inputs'!$H$25*$AC$134</f>
        <v>141.42857142857144</v>
      </c>
      <c r="AC147" s="762">
        <f t="shared" si="381"/>
        <v>1329.4285714285716</v>
      </c>
      <c r="AD147" s="197">
        <f>'Arable NPV'!$D126</f>
        <v>330</v>
      </c>
      <c r="AE147" s="197">
        <f t="shared" si="435"/>
        <v>1659.4285714285716</v>
      </c>
      <c r="AF147" s="197">
        <f>'Arable NPV'!$F126</f>
        <v>566.71194999999989</v>
      </c>
      <c r="AG147" s="197">
        <f>'Arable NPV'!$G126</f>
        <v>691.46913599999993</v>
      </c>
      <c r="AH147" s="197">
        <f t="shared" si="436"/>
        <v>1258.1810859999998</v>
      </c>
      <c r="AI147" s="197">
        <f t="shared" si="382"/>
        <v>71.247485428571736</v>
      </c>
      <c r="AJ147" s="197">
        <f t="shared" si="383"/>
        <v>401.24748542857174</v>
      </c>
      <c r="AK147" s="196">
        <f t="shared" si="384"/>
        <v>1018.8963015985419</v>
      </c>
      <c r="AL147" s="197">
        <f t="shared" si="385"/>
        <v>252.91752167339689</v>
      </c>
      <c r="AM147" s="197">
        <f t="shared" si="386"/>
        <v>964.29103662867578</v>
      </c>
      <c r="AN147" s="197">
        <f t="shared" si="387"/>
        <v>54.605264969866127</v>
      </c>
      <c r="AO147" s="199">
        <f t="shared" si="388"/>
        <v>307.52278664326303</v>
      </c>
      <c r="AP147" s="196">
        <f t="shared" si="389"/>
        <v>11680.504232429568</v>
      </c>
      <c r="AQ147" s="197">
        <f t="shared" si="390"/>
        <v>2899.4159442201048</v>
      </c>
      <c r="AR147" s="197">
        <f t="shared" si="391"/>
        <v>11054.516065044139</v>
      </c>
      <c r="AS147" s="197">
        <f t="shared" si="392"/>
        <v>625.98816738542553</v>
      </c>
      <c r="AT147" s="199">
        <f t="shared" si="393"/>
        <v>3525.4041116055296</v>
      </c>
      <c r="AX147" s="900">
        <v>10</v>
      </c>
      <c r="AY147" s="911">
        <f>'Arable Inputs'!$H$18</f>
        <v>9.4</v>
      </c>
      <c r="AZ147" s="760">
        <f>'Arable Inputs'!$H$25*$BA$134</f>
        <v>47.142857142857146</v>
      </c>
      <c r="BA147" s="762">
        <f t="shared" si="394"/>
        <v>443.14285714285717</v>
      </c>
      <c r="BB147" s="197">
        <f>'Arable NPV'!$D126</f>
        <v>330</v>
      </c>
      <c r="BC147" s="197">
        <f t="shared" si="437"/>
        <v>773.14285714285711</v>
      </c>
      <c r="BD147" s="197">
        <f>'Arable NPV'!$F126</f>
        <v>566.71194999999989</v>
      </c>
      <c r="BE147" s="197">
        <f>'Arable NPV'!$G126</f>
        <v>691.46913599999993</v>
      </c>
      <c r="BF147" s="197">
        <f t="shared" si="438"/>
        <v>1258.1810859999998</v>
      </c>
      <c r="BG147" s="197">
        <f t="shared" si="395"/>
        <v>-815.03822885714271</v>
      </c>
      <c r="BH147" s="197">
        <f t="shared" si="396"/>
        <v>-485.03822885714271</v>
      </c>
      <c r="BI147" s="196">
        <f t="shared" si="443"/>
        <v>339.63210053284729</v>
      </c>
      <c r="BJ147" s="197">
        <f t="shared" si="444"/>
        <v>252.91752167339689</v>
      </c>
      <c r="BK147" s="197">
        <f t="shared" si="445"/>
        <v>964.29103662867578</v>
      </c>
      <c r="BL147" s="197">
        <f t="shared" si="446"/>
        <v>-624.65893609582849</v>
      </c>
      <c r="BM147" s="199">
        <f t="shared" si="401"/>
        <v>-371.7414144224316</v>
      </c>
      <c r="BN147" s="196">
        <f t="shared" si="402"/>
        <v>3893.5014108098549</v>
      </c>
      <c r="BO147" s="197">
        <f t="shared" si="403"/>
        <v>2899.4159442201048</v>
      </c>
      <c r="BP147" s="197">
        <f t="shared" si="404"/>
        <v>11054.516065044139</v>
      </c>
      <c r="BQ147" s="197">
        <f t="shared" si="405"/>
        <v>-7161.0146542342845</v>
      </c>
      <c r="BR147" s="199">
        <f t="shared" si="406"/>
        <v>-4261.5987100141801</v>
      </c>
      <c r="BV147" s="900">
        <v>10</v>
      </c>
      <c r="BW147" s="911">
        <f>'Arable Inputs'!$H$18</f>
        <v>9.4</v>
      </c>
      <c r="BX147" s="760">
        <f>'Arable Inputs'!$H$25*$BY$134</f>
        <v>188.57142857142858</v>
      </c>
      <c r="BY147" s="762">
        <f t="shared" si="407"/>
        <v>1772.5714285714287</v>
      </c>
      <c r="BZ147" s="197">
        <f>'Arable NPV'!$D126</f>
        <v>330</v>
      </c>
      <c r="CA147" s="197">
        <f t="shared" si="439"/>
        <v>2102.5714285714284</v>
      </c>
      <c r="CB147" s="197">
        <f>'Arable NPV'!$F126</f>
        <v>566.71194999999989</v>
      </c>
      <c r="CC147" s="197">
        <f>'Arable NPV'!$G126</f>
        <v>691.46913599999993</v>
      </c>
      <c r="CD147" s="197">
        <f t="shared" si="440"/>
        <v>1258.1810859999998</v>
      </c>
      <c r="CE147" s="197">
        <f t="shared" si="408"/>
        <v>514.39034257142885</v>
      </c>
      <c r="CF147" s="197">
        <f t="shared" si="409"/>
        <v>844.39034257142862</v>
      </c>
      <c r="CG147" s="196">
        <f t="shared" si="447"/>
        <v>1358.5284021313892</v>
      </c>
      <c r="CH147" s="197">
        <f t="shared" si="448"/>
        <v>252.91752167339689</v>
      </c>
      <c r="CI147" s="197">
        <f t="shared" si="449"/>
        <v>964.29103662867578</v>
      </c>
      <c r="CJ147" s="197">
        <f t="shared" si="450"/>
        <v>394.23736550271337</v>
      </c>
      <c r="CK147" s="199">
        <f t="shared" si="414"/>
        <v>647.15488717611004</v>
      </c>
      <c r="CL147" s="196">
        <f t="shared" si="415"/>
        <v>15574.005643239419</v>
      </c>
      <c r="CM147" s="197">
        <f t="shared" si="416"/>
        <v>2899.4159442201048</v>
      </c>
      <c r="CN147" s="197">
        <f t="shared" si="417"/>
        <v>11054.516065044139</v>
      </c>
      <c r="CO147" s="197">
        <f t="shared" si="418"/>
        <v>4519.48957819528</v>
      </c>
      <c r="CP147" s="199">
        <f t="shared" si="419"/>
        <v>7418.9055224153826</v>
      </c>
      <c r="CT147" s="900">
        <v>10</v>
      </c>
      <c r="CU147" s="911">
        <f>'Arable Inputs'!$H$18</f>
        <v>9.4</v>
      </c>
      <c r="CV147" s="760">
        <f>'Arable Inputs'!$H$25*$CW$134</f>
        <v>0</v>
      </c>
      <c r="CW147" s="762">
        <f t="shared" si="420"/>
        <v>0</v>
      </c>
      <c r="CX147" s="197">
        <f>'Arable NPV'!$D126</f>
        <v>330</v>
      </c>
      <c r="CY147" s="197">
        <f t="shared" si="441"/>
        <v>330</v>
      </c>
      <c r="CZ147" s="197">
        <f>'Arable NPV'!$F126</f>
        <v>566.71194999999989</v>
      </c>
      <c r="DA147" s="197">
        <f>'Arable NPV'!$G126</f>
        <v>691.46913599999993</v>
      </c>
      <c r="DB147" s="197">
        <f t="shared" si="442"/>
        <v>1258.1810859999998</v>
      </c>
      <c r="DC147" s="197">
        <f t="shared" si="421"/>
        <v>-1258.1810859999998</v>
      </c>
      <c r="DD147" s="197">
        <f t="shared" si="422"/>
        <v>-928.18108599999982</v>
      </c>
      <c r="DE147" s="196">
        <f t="shared" si="451"/>
        <v>0</v>
      </c>
      <c r="DF147" s="197">
        <f t="shared" si="452"/>
        <v>252.91752167339689</v>
      </c>
      <c r="DG147" s="197">
        <f t="shared" si="453"/>
        <v>964.29103662867578</v>
      </c>
      <c r="DH147" s="197">
        <f t="shared" si="454"/>
        <v>-964.29103662867578</v>
      </c>
      <c r="DI147" s="199">
        <f t="shared" si="427"/>
        <v>-711.37351495527889</v>
      </c>
      <c r="DJ147" s="196">
        <f t="shared" si="428"/>
        <v>0</v>
      </c>
      <c r="DK147" s="197">
        <f t="shared" si="429"/>
        <v>2899.4159442201048</v>
      </c>
      <c r="DL147" s="197">
        <f t="shared" si="430"/>
        <v>11054.516065044139</v>
      </c>
      <c r="DM147" s="197">
        <f t="shared" si="431"/>
        <v>-11054.516065044139</v>
      </c>
      <c r="DN147" s="199">
        <f t="shared" si="432"/>
        <v>-8155.100120824035</v>
      </c>
    </row>
    <row r="148" spans="2:118" x14ac:dyDescent="0.3">
      <c r="B148" s="900">
        <v>11</v>
      </c>
      <c r="C148" s="911">
        <f>'Arable Inputs'!$H$18</f>
        <v>9.4</v>
      </c>
      <c r="D148" s="760">
        <f>'Arable Inputs'!$H$25*$E$134</f>
        <v>94.285714285714292</v>
      </c>
      <c r="E148" s="762">
        <f t="shared" si="368"/>
        <v>886.28571428571433</v>
      </c>
      <c r="F148" s="197">
        <f>'Arable NPV'!$D127</f>
        <v>330</v>
      </c>
      <c r="G148" s="197">
        <f t="shared" si="433"/>
        <v>1216.2857142857142</v>
      </c>
      <c r="H148" s="197">
        <f>'Arable NPV'!$F127</f>
        <v>566.71194999999989</v>
      </c>
      <c r="I148" s="197">
        <f>'Arable NPV'!$G127</f>
        <v>691.46913599999993</v>
      </c>
      <c r="J148" s="197">
        <f t="shared" si="434"/>
        <v>1258.1810859999998</v>
      </c>
      <c r="K148" s="197">
        <f t="shared" si="369"/>
        <v>-371.89537171428549</v>
      </c>
      <c r="L148" s="197">
        <f t="shared" si="370"/>
        <v>-41.895371714285602</v>
      </c>
      <c r="M148" s="196">
        <f t="shared" si="371"/>
        <v>659.47980685989762</v>
      </c>
      <c r="N148" s="197">
        <f t="shared" si="372"/>
        <v>245.55099191591933</v>
      </c>
      <c r="O148" s="197">
        <f t="shared" si="373"/>
        <v>936.2048899307531</v>
      </c>
      <c r="P148" s="197">
        <f t="shared" si="374"/>
        <v>-276.72508307085553</v>
      </c>
      <c r="Q148" s="199">
        <f t="shared" si="375"/>
        <v>-31.174091154936299</v>
      </c>
      <c r="R148" s="196">
        <f t="shared" si="376"/>
        <v>8446.4826284796072</v>
      </c>
      <c r="S148" s="197">
        <f t="shared" si="377"/>
        <v>3144.9669361360243</v>
      </c>
      <c r="T148" s="197">
        <f t="shared" si="378"/>
        <v>11990.720954974893</v>
      </c>
      <c r="U148" s="197">
        <f t="shared" si="379"/>
        <v>-3544.238326495285</v>
      </c>
      <c r="V148" s="199">
        <f t="shared" si="380"/>
        <v>-399.27139035926257</v>
      </c>
      <c r="Z148" s="900">
        <v>11</v>
      </c>
      <c r="AA148" s="911">
        <f>'Arable Inputs'!$H$18</f>
        <v>9.4</v>
      </c>
      <c r="AB148" s="760">
        <f>'Arable Inputs'!$H$25*$AC$134</f>
        <v>141.42857142857144</v>
      </c>
      <c r="AC148" s="762">
        <f t="shared" si="381"/>
        <v>1329.4285714285716</v>
      </c>
      <c r="AD148" s="197">
        <f>'Arable NPV'!$D127</f>
        <v>330</v>
      </c>
      <c r="AE148" s="197">
        <f t="shared" si="435"/>
        <v>1659.4285714285716</v>
      </c>
      <c r="AF148" s="197">
        <f>'Arable NPV'!$F127</f>
        <v>566.71194999999989</v>
      </c>
      <c r="AG148" s="197">
        <f>'Arable NPV'!$G127</f>
        <v>691.46913599999993</v>
      </c>
      <c r="AH148" s="197">
        <f t="shared" si="436"/>
        <v>1258.1810859999998</v>
      </c>
      <c r="AI148" s="197">
        <f t="shared" si="382"/>
        <v>71.247485428571736</v>
      </c>
      <c r="AJ148" s="197">
        <f t="shared" si="383"/>
        <v>401.24748542857174</v>
      </c>
      <c r="AK148" s="196">
        <f t="shared" si="384"/>
        <v>989.21971028984649</v>
      </c>
      <c r="AL148" s="197">
        <f t="shared" si="385"/>
        <v>245.55099191591933</v>
      </c>
      <c r="AM148" s="197">
        <f t="shared" si="386"/>
        <v>936.2048899307531</v>
      </c>
      <c r="AN148" s="197">
        <f t="shared" si="387"/>
        <v>53.014820359093328</v>
      </c>
      <c r="AO148" s="199">
        <f t="shared" si="388"/>
        <v>298.56581227501266</v>
      </c>
      <c r="AP148" s="196">
        <f t="shared" si="389"/>
        <v>12669.723942719414</v>
      </c>
      <c r="AQ148" s="197">
        <f t="shared" si="390"/>
        <v>3144.9669361360243</v>
      </c>
      <c r="AR148" s="197">
        <f t="shared" si="391"/>
        <v>11990.720954974893</v>
      </c>
      <c r="AS148" s="197">
        <f t="shared" si="392"/>
        <v>679.0029877445188</v>
      </c>
      <c r="AT148" s="199">
        <f t="shared" si="393"/>
        <v>3823.9699238805424</v>
      </c>
      <c r="AX148" s="900">
        <v>11</v>
      </c>
      <c r="AY148" s="911">
        <f>'Arable Inputs'!$H$18</f>
        <v>9.4</v>
      </c>
      <c r="AZ148" s="760">
        <f>'Arable Inputs'!$H$25*$BA$134</f>
        <v>47.142857142857146</v>
      </c>
      <c r="BA148" s="762">
        <f t="shared" si="394"/>
        <v>443.14285714285717</v>
      </c>
      <c r="BB148" s="197">
        <f>'Arable NPV'!$D127</f>
        <v>330</v>
      </c>
      <c r="BC148" s="197">
        <f t="shared" si="437"/>
        <v>773.14285714285711</v>
      </c>
      <c r="BD148" s="197">
        <f>'Arable NPV'!$F127</f>
        <v>566.71194999999989</v>
      </c>
      <c r="BE148" s="197">
        <f>'Arable NPV'!$G127</f>
        <v>691.46913599999993</v>
      </c>
      <c r="BF148" s="197">
        <f t="shared" si="438"/>
        <v>1258.1810859999998</v>
      </c>
      <c r="BG148" s="197">
        <f t="shared" si="395"/>
        <v>-815.03822885714271</v>
      </c>
      <c r="BH148" s="197">
        <f t="shared" si="396"/>
        <v>-485.03822885714271</v>
      </c>
      <c r="BI148" s="196">
        <f t="shared" si="443"/>
        <v>329.73990342994881</v>
      </c>
      <c r="BJ148" s="197">
        <f t="shared" si="444"/>
        <v>245.55099191591933</v>
      </c>
      <c r="BK148" s="197">
        <f t="shared" si="445"/>
        <v>936.2048899307531</v>
      </c>
      <c r="BL148" s="197">
        <f t="shared" si="446"/>
        <v>-606.46498650080434</v>
      </c>
      <c r="BM148" s="199">
        <f t="shared" si="401"/>
        <v>-360.91399458488507</v>
      </c>
      <c r="BN148" s="196">
        <f t="shared" si="402"/>
        <v>4223.2413142398036</v>
      </c>
      <c r="BO148" s="197">
        <f t="shared" si="403"/>
        <v>3144.9669361360243</v>
      </c>
      <c r="BP148" s="197">
        <f t="shared" si="404"/>
        <v>11990.720954974893</v>
      </c>
      <c r="BQ148" s="197">
        <f t="shared" si="405"/>
        <v>-7767.4796407350887</v>
      </c>
      <c r="BR148" s="199">
        <f t="shared" si="406"/>
        <v>-4622.5127045990648</v>
      </c>
      <c r="BV148" s="900">
        <v>11</v>
      </c>
      <c r="BW148" s="911">
        <f>'Arable Inputs'!$H$18</f>
        <v>9.4</v>
      </c>
      <c r="BX148" s="760">
        <f>'Arable Inputs'!$H$25*$BY$134</f>
        <v>188.57142857142858</v>
      </c>
      <c r="BY148" s="762">
        <f t="shared" si="407"/>
        <v>1772.5714285714287</v>
      </c>
      <c r="BZ148" s="197">
        <f>'Arable NPV'!$D127</f>
        <v>330</v>
      </c>
      <c r="CA148" s="197">
        <f t="shared" si="439"/>
        <v>2102.5714285714284</v>
      </c>
      <c r="CB148" s="197">
        <f>'Arable NPV'!$F127</f>
        <v>566.71194999999989</v>
      </c>
      <c r="CC148" s="197">
        <f>'Arable NPV'!$G127</f>
        <v>691.46913599999993</v>
      </c>
      <c r="CD148" s="197">
        <f t="shared" si="440"/>
        <v>1258.1810859999998</v>
      </c>
      <c r="CE148" s="197">
        <f t="shared" si="408"/>
        <v>514.39034257142885</v>
      </c>
      <c r="CF148" s="197">
        <f t="shared" si="409"/>
        <v>844.39034257142862</v>
      </c>
      <c r="CG148" s="196">
        <f t="shared" si="447"/>
        <v>1318.9596137197952</v>
      </c>
      <c r="CH148" s="197">
        <f t="shared" si="448"/>
        <v>245.55099191591933</v>
      </c>
      <c r="CI148" s="197">
        <f t="shared" si="449"/>
        <v>936.2048899307531</v>
      </c>
      <c r="CJ148" s="197">
        <f t="shared" si="450"/>
        <v>382.75472378904209</v>
      </c>
      <c r="CK148" s="199">
        <f t="shared" si="414"/>
        <v>628.30571570496124</v>
      </c>
      <c r="CL148" s="196">
        <f t="shared" si="415"/>
        <v>16892.965256959214</v>
      </c>
      <c r="CM148" s="197">
        <f t="shared" si="416"/>
        <v>3144.9669361360243</v>
      </c>
      <c r="CN148" s="197">
        <f t="shared" si="417"/>
        <v>11990.720954974893</v>
      </c>
      <c r="CO148" s="197">
        <f t="shared" si="418"/>
        <v>4902.2443019843222</v>
      </c>
      <c r="CP148" s="199">
        <f t="shared" si="419"/>
        <v>8047.2112381203442</v>
      </c>
      <c r="CT148" s="900">
        <v>11</v>
      </c>
      <c r="CU148" s="911">
        <f>'Arable Inputs'!$H$18</f>
        <v>9.4</v>
      </c>
      <c r="CV148" s="760">
        <f>'Arable Inputs'!$H$25*$CW$134</f>
        <v>0</v>
      </c>
      <c r="CW148" s="762">
        <f t="shared" si="420"/>
        <v>0</v>
      </c>
      <c r="CX148" s="197">
        <f>'Arable NPV'!$D127</f>
        <v>330</v>
      </c>
      <c r="CY148" s="197">
        <f t="shared" si="441"/>
        <v>330</v>
      </c>
      <c r="CZ148" s="197">
        <f>'Arable NPV'!$F127</f>
        <v>566.71194999999989</v>
      </c>
      <c r="DA148" s="197">
        <f>'Arable NPV'!$G127</f>
        <v>691.46913599999993</v>
      </c>
      <c r="DB148" s="197">
        <f t="shared" si="442"/>
        <v>1258.1810859999998</v>
      </c>
      <c r="DC148" s="197">
        <f t="shared" si="421"/>
        <v>-1258.1810859999998</v>
      </c>
      <c r="DD148" s="197">
        <f t="shared" si="422"/>
        <v>-928.18108599999982</v>
      </c>
      <c r="DE148" s="196">
        <f t="shared" si="451"/>
        <v>0</v>
      </c>
      <c r="DF148" s="197">
        <f t="shared" si="452"/>
        <v>245.55099191591933</v>
      </c>
      <c r="DG148" s="197">
        <f t="shared" si="453"/>
        <v>936.2048899307531</v>
      </c>
      <c r="DH148" s="197">
        <f t="shared" si="454"/>
        <v>-936.2048899307531</v>
      </c>
      <c r="DI148" s="199">
        <f t="shared" si="427"/>
        <v>-690.65389801483389</v>
      </c>
      <c r="DJ148" s="196">
        <f t="shared" si="428"/>
        <v>0</v>
      </c>
      <c r="DK148" s="197">
        <f t="shared" si="429"/>
        <v>3144.9669361360243</v>
      </c>
      <c r="DL148" s="197">
        <f t="shared" si="430"/>
        <v>11990.720954974893</v>
      </c>
      <c r="DM148" s="197">
        <f t="shared" si="431"/>
        <v>-11990.720954974893</v>
      </c>
      <c r="DN148" s="199">
        <f t="shared" si="432"/>
        <v>-8845.7540188388684</v>
      </c>
    </row>
    <row r="149" spans="2:118" x14ac:dyDescent="0.3">
      <c r="B149" s="900">
        <v>12</v>
      </c>
      <c r="C149" s="911">
        <f>'Arable Inputs'!$H$18</f>
        <v>9.4</v>
      </c>
      <c r="D149" s="760">
        <f>'Arable Inputs'!$H$25*$E$134</f>
        <v>94.285714285714292</v>
      </c>
      <c r="E149" s="762">
        <f t="shared" si="368"/>
        <v>886.28571428571433</v>
      </c>
      <c r="F149" s="197">
        <f>'Arable NPV'!$D128</f>
        <v>330</v>
      </c>
      <c r="G149" s="197">
        <f t="shared" si="433"/>
        <v>1216.2857142857142</v>
      </c>
      <c r="H149" s="197">
        <f>'Arable NPV'!$F128</f>
        <v>566.71194999999989</v>
      </c>
      <c r="I149" s="197">
        <f>'Arable NPV'!$G128</f>
        <v>691.46913599999993</v>
      </c>
      <c r="J149" s="197">
        <f t="shared" si="434"/>
        <v>1258.1810859999998</v>
      </c>
      <c r="K149" s="197">
        <f t="shared" si="369"/>
        <v>-371.89537171428549</v>
      </c>
      <c r="L149" s="197">
        <f t="shared" si="370"/>
        <v>-41.895371714285602</v>
      </c>
      <c r="M149" s="196">
        <f t="shared" si="371"/>
        <v>640.27165714553166</v>
      </c>
      <c r="N149" s="197">
        <f t="shared" si="372"/>
        <v>238.39902127759154</v>
      </c>
      <c r="O149" s="197">
        <f t="shared" si="373"/>
        <v>908.93678634053697</v>
      </c>
      <c r="P149" s="197">
        <f t="shared" si="374"/>
        <v>-268.66512919500536</v>
      </c>
      <c r="Q149" s="199">
        <f t="shared" si="375"/>
        <v>-30.26610791741388</v>
      </c>
      <c r="R149" s="196">
        <f t="shared" si="376"/>
        <v>9086.7542856251384</v>
      </c>
      <c r="S149" s="197">
        <f t="shared" si="377"/>
        <v>3383.3659574136159</v>
      </c>
      <c r="T149" s="197">
        <f t="shared" si="378"/>
        <v>12899.65774131543</v>
      </c>
      <c r="U149" s="197">
        <f t="shared" si="379"/>
        <v>-3812.9034556902902</v>
      </c>
      <c r="V149" s="199">
        <f t="shared" si="380"/>
        <v>-429.53749827667644</v>
      </c>
      <c r="Z149" s="900">
        <v>12</v>
      </c>
      <c r="AA149" s="911">
        <f>'Arable Inputs'!$H$18</f>
        <v>9.4</v>
      </c>
      <c r="AB149" s="760">
        <f>'Arable Inputs'!$H$25*$AC$134</f>
        <v>141.42857142857144</v>
      </c>
      <c r="AC149" s="762">
        <f t="shared" si="381"/>
        <v>1329.4285714285716</v>
      </c>
      <c r="AD149" s="197">
        <f>'Arable NPV'!$D128</f>
        <v>330</v>
      </c>
      <c r="AE149" s="197">
        <f t="shared" si="435"/>
        <v>1659.4285714285716</v>
      </c>
      <c r="AF149" s="197">
        <f>'Arable NPV'!$F128</f>
        <v>566.71194999999989</v>
      </c>
      <c r="AG149" s="197">
        <f>'Arable NPV'!$G128</f>
        <v>691.46913599999993</v>
      </c>
      <c r="AH149" s="197">
        <f t="shared" si="436"/>
        <v>1258.1810859999998</v>
      </c>
      <c r="AI149" s="197">
        <f t="shared" si="382"/>
        <v>71.247485428571736</v>
      </c>
      <c r="AJ149" s="197">
        <f t="shared" si="383"/>
        <v>401.24748542857174</v>
      </c>
      <c r="AK149" s="196">
        <f t="shared" si="384"/>
        <v>960.40748571829749</v>
      </c>
      <c r="AL149" s="197">
        <f t="shared" si="385"/>
        <v>238.39902127759154</v>
      </c>
      <c r="AM149" s="197">
        <f t="shared" si="386"/>
        <v>908.93678634053697</v>
      </c>
      <c r="AN149" s="197">
        <f t="shared" si="387"/>
        <v>51.470699377760511</v>
      </c>
      <c r="AO149" s="199">
        <f t="shared" si="388"/>
        <v>289.86972065535207</v>
      </c>
      <c r="AP149" s="196">
        <f t="shared" si="389"/>
        <v>13630.131428437711</v>
      </c>
      <c r="AQ149" s="197">
        <f t="shared" si="390"/>
        <v>3383.3659574136159</v>
      </c>
      <c r="AR149" s="197">
        <f t="shared" si="391"/>
        <v>12899.65774131543</v>
      </c>
      <c r="AS149" s="197">
        <f t="shared" si="392"/>
        <v>730.47368712227933</v>
      </c>
      <c r="AT149" s="199">
        <f t="shared" si="393"/>
        <v>4113.8396445358949</v>
      </c>
      <c r="AX149" s="900">
        <v>12</v>
      </c>
      <c r="AY149" s="911">
        <f>'Arable Inputs'!$H$18</f>
        <v>9.4</v>
      </c>
      <c r="AZ149" s="760">
        <f>'Arable Inputs'!$H$25*$BA$134</f>
        <v>47.142857142857146</v>
      </c>
      <c r="BA149" s="762">
        <f t="shared" si="394"/>
        <v>443.14285714285717</v>
      </c>
      <c r="BB149" s="197">
        <f>'Arable NPV'!$D128</f>
        <v>330</v>
      </c>
      <c r="BC149" s="197">
        <f t="shared" si="437"/>
        <v>773.14285714285711</v>
      </c>
      <c r="BD149" s="197">
        <f>'Arable NPV'!$F128</f>
        <v>566.71194999999989</v>
      </c>
      <c r="BE149" s="197">
        <f>'Arable NPV'!$G128</f>
        <v>691.46913599999993</v>
      </c>
      <c r="BF149" s="197">
        <f t="shared" si="438"/>
        <v>1258.1810859999998</v>
      </c>
      <c r="BG149" s="197">
        <f t="shared" si="395"/>
        <v>-815.03822885714271</v>
      </c>
      <c r="BH149" s="197">
        <f t="shared" si="396"/>
        <v>-485.03822885714271</v>
      </c>
      <c r="BI149" s="196">
        <f t="shared" si="443"/>
        <v>320.13582857276583</v>
      </c>
      <c r="BJ149" s="197">
        <f t="shared" si="444"/>
        <v>238.39902127759154</v>
      </c>
      <c r="BK149" s="197">
        <f t="shared" si="445"/>
        <v>908.93678634053697</v>
      </c>
      <c r="BL149" s="197">
        <f t="shared" si="446"/>
        <v>-588.80095776777125</v>
      </c>
      <c r="BM149" s="199">
        <f t="shared" si="401"/>
        <v>-350.40193649017965</v>
      </c>
      <c r="BN149" s="196">
        <f t="shared" si="402"/>
        <v>4543.3771428125692</v>
      </c>
      <c r="BO149" s="197">
        <f t="shared" si="403"/>
        <v>3383.3659574136159</v>
      </c>
      <c r="BP149" s="197">
        <f t="shared" si="404"/>
        <v>12899.65774131543</v>
      </c>
      <c r="BQ149" s="197">
        <f t="shared" si="405"/>
        <v>-8356.2805985028608</v>
      </c>
      <c r="BR149" s="199">
        <f t="shared" si="406"/>
        <v>-4972.9146410892445</v>
      </c>
      <c r="BV149" s="900">
        <v>12</v>
      </c>
      <c r="BW149" s="911">
        <f>'Arable Inputs'!$H$18</f>
        <v>9.4</v>
      </c>
      <c r="BX149" s="760">
        <f>'Arable Inputs'!$H$25*$BY$134</f>
        <v>188.57142857142858</v>
      </c>
      <c r="BY149" s="762">
        <f t="shared" si="407"/>
        <v>1772.5714285714287</v>
      </c>
      <c r="BZ149" s="197">
        <f>'Arable NPV'!$D128</f>
        <v>330</v>
      </c>
      <c r="CA149" s="197">
        <f t="shared" si="439"/>
        <v>2102.5714285714284</v>
      </c>
      <c r="CB149" s="197">
        <f>'Arable NPV'!$F128</f>
        <v>566.71194999999989</v>
      </c>
      <c r="CC149" s="197">
        <f>'Arable NPV'!$G128</f>
        <v>691.46913599999993</v>
      </c>
      <c r="CD149" s="197">
        <f t="shared" si="440"/>
        <v>1258.1810859999998</v>
      </c>
      <c r="CE149" s="197">
        <f t="shared" si="408"/>
        <v>514.39034257142885</v>
      </c>
      <c r="CF149" s="197">
        <f t="shared" si="409"/>
        <v>844.39034257142862</v>
      </c>
      <c r="CG149" s="196">
        <f t="shared" si="447"/>
        <v>1280.5433142910633</v>
      </c>
      <c r="CH149" s="197">
        <f t="shared" si="448"/>
        <v>238.39902127759154</v>
      </c>
      <c r="CI149" s="197">
        <f t="shared" si="449"/>
        <v>908.93678634053697</v>
      </c>
      <c r="CJ149" s="197">
        <f t="shared" si="450"/>
        <v>371.6065279505263</v>
      </c>
      <c r="CK149" s="199">
        <f t="shared" si="414"/>
        <v>610.00554922811773</v>
      </c>
      <c r="CL149" s="196">
        <f t="shared" si="415"/>
        <v>18173.508571250277</v>
      </c>
      <c r="CM149" s="197">
        <f t="shared" si="416"/>
        <v>3383.3659574136159</v>
      </c>
      <c r="CN149" s="197">
        <f t="shared" si="417"/>
        <v>12899.65774131543</v>
      </c>
      <c r="CO149" s="197">
        <f t="shared" si="418"/>
        <v>5273.8508299348487</v>
      </c>
      <c r="CP149" s="199">
        <f t="shared" si="419"/>
        <v>8657.2167873484614</v>
      </c>
      <c r="CT149" s="900">
        <v>12</v>
      </c>
      <c r="CU149" s="911">
        <f>'Arable Inputs'!$H$18</f>
        <v>9.4</v>
      </c>
      <c r="CV149" s="760">
        <f>'Arable Inputs'!$H$25*$CW$134</f>
        <v>0</v>
      </c>
      <c r="CW149" s="762">
        <f t="shared" si="420"/>
        <v>0</v>
      </c>
      <c r="CX149" s="197">
        <f>'Arable NPV'!$D128</f>
        <v>330</v>
      </c>
      <c r="CY149" s="197">
        <f t="shared" si="441"/>
        <v>330</v>
      </c>
      <c r="CZ149" s="197">
        <f>'Arable NPV'!$F128</f>
        <v>566.71194999999989</v>
      </c>
      <c r="DA149" s="197">
        <f>'Arable NPV'!$G128</f>
        <v>691.46913599999993</v>
      </c>
      <c r="DB149" s="197">
        <f t="shared" si="442"/>
        <v>1258.1810859999998</v>
      </c>
      <c r="DC149" s="197">
        <f t="shared" si="421"/>
        <v>-1258.1810859999998</v>
      </c>
      <c r="DD149" s="197">
        <f t="shared" si="422"/>
        <v>-928.18108599999982</v>
      </c>
      <c r="DE149" s="196">
        <f t="shared" si="451"/>
        <v>0</v>
      </c>
      <c r="DF149" s="197">
        <f t="shared" si="452"/>
        <v>238.39902127759154</v>
      </c>
      <c r="DG149" s="197">
        <f t="shared" si="453"/>
        <v>908.93678634053697</v>
      </c>
      <c r="DH149" s="197">
        <f t="shared" si="454"/>
        <v>-908.93678634053697</v>
      </c>
      <c r="DI149" s="199">
        <f t="shared" si="427"/>
        <v>-670.53776506294548</v>
      </c>
      <c r="DJ149" s="196">
        <f t="shared" si="428"/>
        <v>0</v>
      </c>
      <c r="DK149" s="197">
        <f t="shared" si="429"/>
        <v>3383.3659574136159</v>
      </c>
      <c r="DL149" s="197">
        <f t="shared" si="430"/>
        <v>12899.65774131543</v>
      </c>
      <c r="DM149" s="197">
        <f t="shared" si="431"/>
        <v>-12899.65774131543</v>
      </c>
      <c r="DN149" s="199">
        <f t="shared" si="432"/>
        <v>-9516.2917839018137</v>
      </c>
    </row>
    <row r="150" spans="2:118" x14ac:dyDescent="0.3">
      <c r="B150" s="900">
        <v>13</v>
      </c>
      <c r="C150" s="911">
        <f>'Arable Inputs'!$H$18</f>
        <v>9.4</v>
      </c>
      <c r="D150" s="760">
        <f>'Arable Inputs'!$H$25*$E$134</f>
        <v>94.285714285714292</v>
      </c>
      <c r="E150" s="762">
        <f t="shared" si="368"/>
        <v>886.28571428571433</v>
      </c>
      <c r="F150" s="197">
        <f>'Arable NPV'!$D129</f>
        <v>330</v>
      </c>
      <c r="G150" s="197">
        <f t="shared" si="433"/>
        <v>1216.2857142857142</v>
      </c>
      <c r="H150" s="197">
        <f>'Arable NPV'!$F129</f>
        <v>566.71194999999989</v>
      </c>
      <c r="I150" s="197">
        <f>'Arable NPV'!$G129</f>
        <v>691.46913599999993</v>
      </c>
      <c r="J150" s="197">
        <f t="shared" si="434"/>
        <v>1258.1810859999998</v>
      </c>
      <c r="K150" s="197">
        <f t="shared" si="369"/>
        <v>-371.89537171428549</v>
      </c>
      <c r="L150" s="197">
        <f t="shared" si="370"/>
        <v>-41.895371714285602</v>
      </c>
      <c r="M150" s="196">
        <f t="shared" si="371"/>
        <v>621.622968102458</v>
      </c>
      <c r="N150" s="197">
        <f t="shared" si="372"/>
        <v>231.45536046368116</v>
      </c>
      <c r="O150" s="197">
        <f t="shared" si="373"/>
        <v>882.46289935974482</v>
      </c>
      <c r="P150" s="197">
        <f t="shared" si="374"/>
        <v>-260.83993125728682</v>
      </c>
      <c r="Q150" s="199">
        <f t="shared" si="375"/>
        <v>-29.384570793605715</v>
      </c>
      <c r="R150" s="196">
        <f t="shared" si="376"/>
        <v>9708.3772537275963</v>
      </c>
      <c r="S150" s="197">
        <f t="shared" si="377"/>
        <v>3614.8213178772971</v>
      </c>
      <c r="T150" s="197">
        <f t="shared" si="378"/>
        <v>13782.120640675175</v>
      </c>
      <c r="U150" s="197">
        <f t="shared" si="379"/>
        <v>-4073.7433869475772</v>
      </c>
      <c r="V150" s="199">
        <f t="shared" si="380"/>
        <v>-458.92206907028213</v>
      </c>
      <c r="Z150" s="900">
        <v>13</v>
      </c>
      <c r="AA150" s="911">
        <f>'Arable Inputs'!$H$18</f>
        <v>9.4</v>
      </c>
      <c r="AB150" s="760">
        <f>'Arable Inputs'!$H$25*$AC$134</f>
        <v>141.42857142857144</v>
      </c>
      <c r="AC150" s="762">
        <f t="shared" si="381"/>
        <v>1329.4285714285716</v>
      </c>
      <c r="AD150" s="197">
        <f>'Arable NPV'!$D129</f>
        <v>330</v>
      </c>
      <c r="AE150" s="197">
        <f t="shared" si="435"/>
        <v>1659.4285714285716</v>
      </c>
      <c r="AF150" s="197">
        <f>'Arable NPV'!$F129</f>
        <v>566.71194999999989</v>
      </c>
      <c r="AG150" s="197">
        <f>'Arable NPV'!$G129</f>
        <v>691.46913599999993</v>
      </c>
      <c r="AH150" s="197">
        <f t="shared" si="436"/>
        <v>1258.1810859999998</v>
      </c>
      <c r="AI150" s="197">
        <f t="shared" si="382"/>
        <v>71.247485428571736</v>
      </c>
      <c r="AJ150" s="197">
        <f t="shared" si="383"/>
        <v>401.24748542857174</v>
      </c>
      <c r="AK150" s="196">
        <f t="shared" si="384"/>
        <v>932.43445215368706</v>
      </c>
      <c r="AL150" s="197">
        <f t="shared" si="385"/>
        <v>231.45536046368116</v>
      </c>
      <c r="AM150" s="197">
        <f t="shared" si="386"/>
        <v>882.46289935974482</v>
      </c>
      <c r="AN150" s="197">
        <f t="shared" si="387"/>
        <v>49.971552793942251</v>
      </c>
      <c r="AO150" s="199">
        <f t="shared" si="388"/>
        <v>281.42691325762343</v>
      </c>
      <c r="AP150" s="196">
        <f t="shared" si="389"/>
        <v>14562.565880591399</v>
      </c>
      <c r="AQ150" s="197">
        <f t="shared" si="390"/>
        <v>3614.8213178772971</v>
      </c>
      <c r="AR150" s="197">
        <f t="shared" si="391"/>
        <v>13782.120640675175</v>
      </c>
      <c r="AS150" s="197">
        <f t="shared" si="392"/>
        <v>780.44523991622157</v>
      </c>
      <c r="AT150" s="199">
        <f t="shared" si="393"/>
        <v>4395.2665577935186</v>
      </c>
      <c r="AX150" s="900">
        <v>13</v>
      </c>
      <c r="AY150" s="911">
        <f>'Arable Inputs'!$H$18</f>
        <v>9.4</v>
      </c>
      <c r="AZ150" s="760">
        <f>'Arable Inputs'!$H$25*$BA$134</f>
        <v>47.142857142857146</v>
      </c>
      <c r="BA150" s="762">
        <f t="shared" si="394"/>
        <v>443.14285714285717</v>
      </c>
      <c r="BB150" s="197">
        <f>'Arable NPV'!$D129</f>
        <v>330</v>
      </c>
      <c r="BC150" s="197">
        <f t="shared" si="437"/>
        <v>773.14285714285711</v>
      </c>
      <c r="BD150" s="197">
        <f>'Arable NPV'!$F129</f>
        <v>566.71194999999989</v>
      </c>
      <c r="BE150" s="197">
        <f>'Arable NPV'!$G129</f>
        <v>691.46913599999993</v>
      </c>
      <c r="BF150" s="197">
        <f t="shared" si="438"/>
        <v>1258.1810859999998</v>
      </c>
      <c r="BG150" s="197">
        <f t="shared" si="395"/>
        <v>-815.03822885714271</v>
      </c>
      <c r="BH150" s="197">
        <f t="shared" si="396"/>
        <v>-485.03822885714271</v>
      </c>
      <c r="BI150" s="196">
        <f t="shared" si="443"/>
        <v>310.811484051229</v>
      </c>
      <c r="BJ150" s="197">
        <f t="shared" si="444"/>
        <v>231.45536046368116</v>
      </c>
      <c r="BK150" s="197">
        <f t="shared" si="445"/>
        <v>882.46289935974482</v>
      </c>
      <c r="BL150" s="197">
        <f t="shared" si="446"/>
        <v>-571.65141530851588</v>
      </c>
      <c r="BM150" s="199">
        <f t="shared" si="401"/>
        <v>-340.19605484483469</v>
      </c>
      <c r="BN150" s="196">
        <f t="shared" si="402"/>
        <v>4854.1886268637982</v>
      </c>
      <c r="BO150" s="197">
        <f t="shared" si="403"/>
        <v>3614.8213178772971</v>
      </c>
      <c r="BP150" s="197">
        <f t="shared" si="404"/>
        <v>13782.120640675175</v>
      </c>
      <c r="BQ150" s="197">
        <f t="shared" si="405"/>
        <v>-8927.9320138113762</v>
      </c>
      <c r="BR150" s="199">
        <f t="shared" si="406"/>
        <v>-5313.1106959340796</v>
      </c>
      <c r="BV150" s="900">
        <v>13</v>
      </c>
      <c r="BW150" s="911">
        <f>'Arable Inputs'!$H$18</f>
        <v>9.4</v>
      </c>
      <c r="BX150" s="760">
        <f>'Arable Inputs'!$H$25*$BY$134</f>
        <v>188.57142857142858</v>
      </c>
      <c r="BY150" s="762">
        <f t="shared" si="407"/>
        <v>1772.5714285714287</v>
      </c>
      <c r="BZ150" s="197">
        <f>'Arable NPV'!$D129</f>
        <v>330</v>
      </c>
      <c r="CA150" s="197">
        <f t="shared" si="439"/>
        <v>2102.5714285714284</v>
      </c>
      <c r="CB150" s="197">
        <f>'Arable NPV'!$F129</f>
        <v>566.71194999999989</v>
      </c>
      <c r="CC150" s="197">
        <f>'Arable NPV'!$G129</f>
        <v>691.46913599999993</v>
      </c>
      <c r="CD150" s="197">
        <f t="shared" si="440"/>
        <v>1258.1810859999998</v>
      </c>
      <c r="CE150" s="197">
        <f t="shared" si="408"/>
        <v>514.39034257142885</v>
      </c>
      <c r="CF150" s="197">
        <f t="shared" si="409"/>
        <v>844.39034257142862</v>
      </c>
      <c r="CG150" s="196">
        <f t="shared" si="447"/>
        <v>1243.245936204916</v>
      </c>
      <c r="CH150" s="197">
        <f t="shared" si="448"/>
        <v>231.45536046368116</v>
      </c>
      <c r="CI150" s="197">
        <f t="shared" si="449"/>
        <v>882.46289935974482</v>
      </c>
      <c r="CJ150" s="197">
        <f t="shared" si="450"/>
        <v>360.78303684517118</v>
      </c>
      <c r="CK150" s="199">
        <f t="shared" si="414"/>
        <v>592.2383973088522</v>
      </c>
      <c r="CL150" s="196">
        <f t="shared" si="415"/>
        <v>19416.754507455193</v>
      </c>
      <c r="CM150" s="197">
        <f t="shared" si="416"/>
        <v>3614.8213178772971</v>
      </c>
      <c r="CN150" s="197">
        <f t="shared" si="417"/>
        <v>13782.120640675175</v>
      </c>
      <c r="CO150" s="197">
        <f t="shared" si="418"/>
        <v>5634.6338667800201</v>
      </c>
      <c r="CP150" s="199">
        <f t="shared" si="419"/>
        <v>9249.455184657314</v>
      </c>
      <c r="CT150" s="900">
        <v>13</v>
      </c>
      <c r="CU150" s="911">
        <f>'Arable Inputs'!$H$18</f>
        <v>9.4</v>
      </c>
      <c r="CV150" s="760">
        <f>'Arable Inputs'!$H$25*$CW$134</f>
        <v>0</v>
      </c>
      <c r="CW150" s="762">
        <f t="shared" si="420"/>
        <v>0</v>
      </c>
      <c r="CX150" s="197">
        <f>'Arable NPV'!$D129</f>
        <v>330</v>
      </c>
      <c r="CY150" s="197">
        <f t="shared" si="441"/>
        <v>330</v>
      </c>
      <c r="CZ150" s="197">
        <f>'Arable NPV'!$F129</f>
        <v>566.71194999999989</v>
      </c>
      <c r="DA150" s="197">
        <f>'Arable NPV'!$G129</f>
        <v>691.46913599999993</v>
      </c>
      <c r="DB150" s="197">
        <f t="shared" si="442"/>
        <v>1258.1810859999998</v>
      </c>
      <c r="DC150" s="197">
        <f t="shared" si="421"/>
        <v>-1258.1810859999998</v>
      </c>
      <c r="DD150" s="197">
        <f t="shared" si="422"/>
        <v>-928.18108599999982</v>
      </c>
      <c r="DE150" s="196">
        <f t="shared" si="451"/>
        <v>0</v>
      </c>
      <c r="DF150" s="197">
        <f t="shared" si="452"/>
        <v>231.45536046368116</v>
      </c>
      <c r="DG150" s="197">
        <f t="shared" si="453"/>
        <v>882.46289935974482</v>
      </c>
      <c r="DH150" s="197">
        <f t="shared" si="454"/>
        <v>-882.46289935974482</v>
      </c>
      <c r="DI150" s="199">
        <f t="shared" si="427"/>
        <v>-651.00753889606369</v>
      </c>
      <c r="DJ150" s="196">
        <f t="shared" si="428"/>
        <v>0</v>
      </c>
      <c r="DK150" s="197">
        <f t="shared" si="429"/>
        <v>3614.8213178772971</v>
      </c>
      <c r="DL150" s="197">
        <f t="shared" si="430"/>
        <v>13782.120640675175</v>
      </c>
      <c r="DM150" s="197">
        <f t="shared" si="431"/>
        <v>-13782.120640675175</v>
      </c>
      <c r="DN150" s="199">
        <f t="shared" si="432"/>
        <v>-10167.299322797877</v>
      </c>
    </row>
    <row r="151" spans="2:118" x14ac:dyDescent="0.3">
      <c r="B151" s="900">
        <v>14</v>
      </c>
      <c r="C151" s="911">
        <f>'Arable Inputs'!$H$18</f>
        <v>9.4</v>
      </c>
      <c r="D151" s="760">
        <f>'Arable Inputs'!$H$25*$E$134</f>
        <v>94.285714285714292</v>
      </c>
      <c r="E151" s="762">
        <f t="shared" si="368"/>
        <v>886.28571428571433</v>
      </c>
      <c r="F151" s="197">
        <f>'Arable NPV'!$D130</f>
        <v>330</v>
      </c>
      <c r="G151" s="197">
        <f t="shared" si="433"/>
        <v>1216.2857142857142</v>
      </c>
      <c r="H151" s="197">
        <f>'Arable NPV'!$F130</f>
        <v>566.71194999999989</v>
      </c>
      <c r="I151" s="197">
        <f>'Arable NPV'!$G130</f>
        <v>691.46913599999993</v>
      </c>
      <c r="J151" s="197">
        <f t="shared" si="434"/>
        <v>1258.1810859999998</v>
      </c>
      <c r="K151" s="197">
        <f t="shared" si="369"/>
        <v>-371.89537171428549</v>
      </c>
      <c r="L151" s="197">
        <f t="shared" si="370"/>
        <v>-41.895371714285602</v>
      </c>
      <c r="M151" s="196">
        <f t="shared" si="371"/>
        <v>603.51744475966802</v>
      </c>
      <c r="N151" s="197">
        <f t="shared" si="372"/>
        <v>224.71394219774871</v>
      </c>
      <c r="O151" s="197">
        <f t="shared" si="373"/>
        <v>856.76009646577165</v>
      </c>
      <c r="P151" s="197">
        <f t="shared" si="374"/>
        <v>-253.24265170610369</v>
      </c>
      <c r="Q151" s="199">
        <f t="shared" si="375"/>
        <v>-28.528709508355064</v>
      </c>
      <c r="R151" s="196">
        <f t="shared" si="376"/>
        <v>10311.894698487264</v>
      </c>
      <c r="S151" s="197">
        <f t="shared" si="377"/>
        <v>3839.5352600750457</v>
      </c>
      <c r="T151" s="197">
        <f t="shared" si="378"/>
        <v>14638.880737140948</v>
      </c>
      <c r="U151" s="197">
        <f t="shared" si="379"/>
        <v>-4326.9860386536811</v>
      </c>
      <c r="V151" s="199">
        <f t="shared" si="380"/>
        <v>-487.4507785786372</v>
      </c>
      <c r="Z151" s="900">
        <v>14</v>
      </c>
      <c r="AA151" s="911">
        <f>'Arable Inputs'!$H$18</f>
        <v>9.4</v>
      </c>
      <c r="AB151" s="760">
        <f>'Arable Inputs'!$H$25*$AC$134</f>
        <v>141.42857142857144</v>
      </c>
      <c r="AC151" s="762">
        <f t="shared" si="381"/>
        <v>1329.4285714285716</v>
      </c>
      <c r="AD151" s="197">
        <f>'Arable NPV'!$D130</f>
        <v>330</v>
      </c>
      <c r="AE151" s="197">
        <f t="shared" si="435"/>
        <v>1659.4285714285716</v>
      </c>
      <c r="AF151" s="197">
        <f>'Arable NPV'!$F130</f>
        <v>566.71194999999989</v>
      </c>
      <c r="AG151" s="197">
        <f>'Arable NPV'!$G130</f>
        <v>691.46913599999993</v>
      </c>
      <c r="AH151" s="197">
        <f t="shared" si="436"/>
        <v>1258.1810859999998</v>
      </c>
      <c r="AI151" s="197">
        <f t="shared" si="382"/>
        <v>71.247485428571736</v>
      </c>
      <c r="AJ151" s="197">
        <f t="shared" si="383"/>
        <v>401.24748542857174</v>
      </c>
      <c r="AK151" s="196">
        <f t="shared" si="384"/>
        <v>905.27616713950204</v>
      </c>
      <c r="AL151" s="197">
        <f t="shared" si="385"/>
        <v>224.71394219774871</v>
      </c>
      <c r="AM151" s="197">
        <f t="shared" si="386"/>
        <v>856.76009646577165</v>
      </c>
      <c r="AN151" s="197">
        <f t="shared" si="387"/>
        <v>48.51607067373034</v>
      </c>
      <c r="AO151" s="199">
        <f t="shared" si="388"/>
        <v>273.23001287147906</v>
      </c>
      <c r="AP151" s="196">
        <f t="shared" si="389"/>
        <v>15467.842047730901</v>
      </c>
      <c r="AQ151" s="197">
        <f t="shared" si="390"/>
        <v>3839.5352600750457</v>
      </c>
      <c r="AR151" s="197">
        <f t="shared" si="391"/>
        <v>14638.880737140948</v>
      </c>
      <c r="AS151" s="197">
        <f t="shared" si="392"/>
        <v>828.96131058995195</v>
      </c>
      <c r="AT151" s="199">
        <f t="shared" si="393"/>
        <v>4668.4965706649973</v>
      </c>
      <c r="AX151" s="900">
        <v>14</v>
      </c>
      <c r="AY151" s="911">
        <f>'Arable Inputs'!$H$18</f>
        <v>9.4</v>
      </c>
      <c r="AZ151" s="760">
        <f>'Arable Inputs'!$H$25*$BA$134</f>
        <v>47.142857142857146</v>
      </c>
      <c r="BA151" s="762">
        <f t="shared" si="394"/>
        <v>443.14285714285717</v>
      </c>
      <c r="BB151" s="197">
        <f>'Arable NPV'!$D130</f>
        <v>330</v>
      </c>
      <c r="BC151" s="197">
        <f t="shared" si="437"/>
        <v>773.14285714285711</v>
      </c>
      <c r="BD151" s="197">
        <f>'Arable NPV'!$F130</f>
        <v>566.71194999999989</v>
      </c>
      <c r="BE151" s="197">
        <f>'Arable NPV'!$G130</f>
        <v>691.46913599999993</v>
      </c>
      <c r="BF151" s="197">
        <f t="shared" si="438"/>
        <v>1258.1810859999998</v>
      </c>
      <c r="BG151" s="197">
        <f t="shared" si="395"/>
        <v>-815.03822885714271</v>
      </c>
      <c r="BH151" s="197">
        <f t="shared" si="396"/>
        <v>-485.03822885714271</v>
      </c>
      <c r="BI151" s="196">
        <f t="shared" si="443"/>
        <v>301.75872237983401</v>
      </c>
      <c r="BJ151" s="197">
        <f t="shared" si="444"/>
        <v>224.71394219774871</v>
      </c>
      <c r="BK151" s="197">
        <f t="shared" si="445"/>
        <v>856.76009646577165</v>
      </c>
      <c r="BL151" s="197">
        <f t="shared" si="446"/>
        <v>-555.00137408593775</v>
      </c>
      <c r="BM151" s="199">
        <f t="shared" si="401"/>
        <v>-330.28743188818902</v>
      </c>
      <c r="BN151" s="196">
        <f t="shared" si="402"/>
        <v>5155.9473492436318</v>
      </c>
      <c r="BO151" s="197">
        <f t="shared" si="403"/>
        <v>3839.5352600750457</v>
      </c>
      <c r="BP151" s="197">
        <f t="shared" si="404"/>
        <v>14638.880737140948</v>
      </c>
      <c r="BQ151" s="197">
        <f t="shared" si="405"/>
        <v>-9482.9333878973139</v>
      </c>
      <c r="BR151" s="199">
        <f t="shared" si="406"/>
        <v>-5643.3981278222682</v>
      </c>
      <c r="BV151" s="900">
        <v>14</v>
      </c>
      <c r="BW151" s="911">
        <f>'Arable Inputs'!$H$18</f>
        <v>9.4</v>
      </c>
      <c r="BX151" s="760">
        <f>'Arable Inputs'!$H$25*$BY$134</f>
        <v>188.57142857142858</v>
      </c>
      <c r="BY151" s="762">
        <f t="shared" si="407"/>
        <v>1772.5714285714287</v>
      </c>
      <c r="BZ151" s="197">
        <f>'Arable NPV'!$D130</f>
        <v>330</v>
      </c>
      <c r="CA151" s="197">
        <f t="shared" si="439"/>
        <v>2102.5714285714284</v>
      </c>
      <c r="CB151" s="197">
        <f>'Arable NPV'!$F130</f>
        <v>566.71194999999989</v>
      </c>
      <c r="CC151" s="197">
        <f>'Arable NPV'!$G130</f>
        <v>691.46913599999993</v>
      </c>
      <c r="CD151" s="197">
        <f t="shared" si="440"/>
        <v>1258.1810859999998</v>
      </c>
      <c r="CE151" s="197">
        <f t="shared" si="408"/>
        <v>514.39034257142885</v>
      </c>
      <c r="CF151" s="197">
        <f t="shared" si="409"/>
        <v>844.39034257142862</v>
      </c>
      <c r="CG151" s="196">
        <f t="shared" si="447"/>
        <v>1207.034889519336</v>
      </c>
      <c r="CH151" s="197">
        <f t="shared" si="448"/>
        <v>224.71394219774871</v>
      </c>
      <c r="CI151" s="197">
        <f t="shared" si="449"/>
        <v>856.76009646577165</v>
      </c>
      <c r="CJ151" s="197">
        <f t="shared" si="450"/>
        <v>350.27479305356428</v>
      </c>
      <c r="CK151" s="199">
        <f t="shared" si="414"/>
        <v>574.98873525131285</v>
      </c>
      <c r="CL151" s="196">
        <f t="shared" si="415"/>
        <v>20623.789396974527</v>
      </c>
      <c r="CM151" s="197">
        <f t="shared" si="416"/>
        <v>3839.5352600750457</v>
      </c>
      <c r="CN151" s="197">
        <f t="shared" si="417"/>
        <v>14638.880737140948</v>
      </c>
      <c r="CO151" s="197">
        <f t="shared" si="418"/>
        <v>5984.9086598335844</v>
      </c>
      <c r="CP151" s="199">
        <f t="shared" si="419"/>
        <v>9824.4439199086264</v>
      </c>
      <c r="CT151" s="900">
        <v>14</v>
      </c>
      <c r="CU151" s="911">
        <f>'Arable Inputs'!$H$18</f>
        <v>9.4</v>
      </c>
      <c r="CV151" s="760">
        <f>'Arable Inputs'!$H$25*$CW$134</f>
        <v>0</v>
      </c>
      <c r="CW151" s="762">
        <f t="shared" si="420"/>
        <v>0</v>
      </c>
      <c r="CX151" s="197">
        <f>'Arable NPV'!$D130</f>
        <v>330</v>
      </c>
      <c r="CY151" s="197">
        <f t="shared" si="441"/>
        <v>330</v>
      </c>
      <c r="CZ151" s="197">
        <f>'Arable NPV'!$F130</f>
        <v>566.71194999999989</v>
      </c>
      <c r="DA151" s="197">
        <f>'Arable NPV'!$G130</f>
        <v>691.46913599999993</v>
      </c>
      <c r="DB151" s="197">
        <f t="shared" si="442"/>
        <v>1258.1810859999998</v>
      </c>
      <c r="DC151" s="197">
        <f t="shared" si="421"/>
        <v>-1258.1810859999998</v>
      </c>
      <c r="DD151" s="197">
        <f t="shared" si="422"/>
        <v>-928.18108599999982</v>
      </c>
      <c r="DE151" s="196">
        <f t="shared" si="451"/>
        <v>0</v>
      </c>
      <c r="DF151" s="197">
        <f t="shared" si="452"/>
        <v>224.71394219774871</v>
      </c>
      <c r="DG151" s="197">
        <f t="shared" si="453"/>
        <v>856.76009646577165</v>
      </c>
      <c r="DH151" s="197">
        <f t="shared" si="454"/>
        <v>-856.76009646577165</v>
      </c>
      <c r="DI151" s="199">
        <f t="shared" si="427"/>
        <v>-632.04615426802297</v>
      </c>
      <c r="DJ151" s="196">
        <f t="shared" si="428"/>
        <v>0</v>
      </c>
      <c r="DK151" s="197">
        <f t="shared" si="429"/>
        <v>3839.5352600750457</v>
      </c>
      <c r="DL151" s="197">
        <f t="shared" si="430"/>
        <v>14638.880737140948</v>
      </c>
      <c r="DM151" s="197">
        <f t="shared" si="431"/>
        <v>-14638.880737140948</v>
      </c>
      <c r="DN151" s="199">
        <f t="shared" si="432"/>
        <v>-10799.345477065899</v>
      </c>
    </row>
    <row r="152" spans="2:118" x14ac:dyDescent="0.3">
      <c r="B152" s="900">
        <v>15</v>
      </c>
      <c r="C152" s="911">
        <f>'Arable Inputs'!$H$18</f>
        <v>9.4</v>
      </c>
      <c r="D152" s="760">
        <f>'Arable Inputs'!$H$25*$E$134</f>
        <v>94.285714285714292</v>
      </c>
      <c r="E152" s="762">
        <f t="shared" si="368"/>
        <v>886.28571428571433</v>
      </c>
      <c r="F152" s="197">
        <f>'Arable NPV'!$D131</f>
        <v>330</v>
      </c>
      <c r="G152" s="197">
        <f t="shared" si="433"/>
        <v>1216.2857142857142</v>
      </c>
      <c r="H152" s="197">
        <f>'Arable NPV'!$F131</f>
        <v>566.71194999999989</v>
      </c>
      <c r="I152" s="197">
        <f>'Arable NPV'!$G131</f>
        <v>691.46913599999993</v>
      </c>
      <c r="J152" s="197">
        <f t="shared" si="434"/>
        <v>1258.1810859999998</v>
      </c>
      <c r="K152" s="197">
        <f t="shared" si="369"/>
        <v>-371.89537171428549</v>
      </c>
      <c r="L152" s="197">
        <f t="shared" si="370"/>
        <v>-41.895371714285602</v>
      </c>
      <c r="M152" s="196">
        <f t="shared" si="371"/>
        <v>585.93926675695911</v>
      </c>
      <c r="N152" s="197">
        <f t="shared" si="372"/>
        <v>218.16887592014436</v>
      </c>
      <c r="O152" s="197">
        <f t="shared" si="373"/>
        <v>831.80591889880736</v>
      </c>
      <c r="P152" s="197">
        <f t="shared" si="374"/>
        <v>-245.86665214184822</v>
      </c>
      <c r="Q152" s="199">
        <f t="shared" si="375"/>
        <v>-27.697776221703943</v>
      </c>
      <c r="R152" s="196">
        <f t="shared" si="376"/>
        <v>10897.833965244223</v>
      </c>
      <c r="S152" s="197">
        <f t="shared" si="377"/>
        <v>4057.70413599519</v>
      </c>
      <c r="T152" s="197">
        <f t="shared" si="378"/>
        <v>15470.686656039756</v>
      </c>
      <c r="U152" s="197">
        <f t="shared" si="379"/>
        <v>-4572.8526907955293</v>
      </c>
      <c r="V152" s="199">
        <f t="shared" si="380"/>
        <v>-515.14855480034112</v>
      </c>
      <c r="Z152" s="900">
        <v>15</v>
      </c>
      <c r="AA152" s="911">
        <f>'Arable Inputs'!$H$18</f>
        <v>9.4</v>
      </c>
      <c r="AB152" s="760">
        <f>'Arable Inputs'!$H$25*$AC$134</f>
        <v>141.42857142857144</v>
      </c>
      <c r="AC152" s="762">
        <f t="shared" si="381"/>
        <v>1329.4285714285716</v>
      </c>
      <c r="AD152" s="197">
        <f>'Arable NPV'!$D131</f>
        <v>330</v>
      </c>
      <c r="AE152" s="197">
        <f t="shared" si="435"/>
        <v>1659.4285714285716</v>
      </c>
      <c r="AF152" s="197">
        <f>'Arable NPV'!$F131</f>
        <v>566.71194999999989</v>
      </c>
      <c r="AG152" s="197">
        <f>'Arable NPV'!$G131</f>
        <v>691.46913599999993</v>
      </c>
      <c r="AH152" s="197">
        <f t="shared" si="436"/>
        <v>1258.1810859999998</v>
      </c>
      <c r="AI152" s="197">
        <f t="shared" si="382"/>
        <v>71.247485428571736</v>
      </c>
      <c r="AJ152" s="197">
        <f t="shared" si="383"/>
        <v>401.24748542857174</v>
      </c>
      <c r="AK152" s="196">
        <f t="shared" si="384"/>
        <v>878.90890013543878</v>
      </c>
      <c r="AL152" s="197">
        <f t="shared" si="385"/>
        <v>218.16887592014436</v>
      </c>
      <c r="AM152" s="197">
        <f t="shared" si="386"/>
        <v>831.80591889880736</v>
      </c>
      <c r="AN152" s="197">
        <f t="shared" si="387"/>
        <v>47.102981236631393</v>
      </c>
      <c r="AO152" s="199">
        <f t="shared" si="388"/>
        <v>265.27185715677575</v>
      </c>
      <c r="AP152" s="196">
        <f t="shared" si="389"/>
        <v>16346.75094786634</v>
      </c>
      <c r="AQ152" s="197">
        <f t="shared" si="390"/>
        <v>4057.70413599519</v>
      </c>
      <c r="AR152" s="197">
        <f t="shared" si="391"/>
        <v>15470.686656039756</v>
      </c>
      <c r="AS152" s="197">
        <f t="shared" si="392"/>
        <v>876.06429182658337</v>
      </c>
      <c r="AT152" s="199">
        <f t="shared" si="393"/>
        <v>4933.768427821773</v>
      </c>
      <c r="AX152" s="900">
        <v>15</v>
      </c>
      <c r="AY152" s="911">
        <f>'Arable Inputs'!$H$18</f>
        <v>9.4</v>
      </c>
      <c r="AZ152" s="760">
        <f>'Arable Inputs'!$H$25*$BA$134</f>
        <v>47.142857142857146</v>
      </c>
      <c r="BA152" s="762">
        <f t="shared" si="394"/>
        <v>443.14285714285717</v>
      </c>
      <c r="BB152" s="197">
        <f>'Arable NPV'!$D131</f>
        <v>330</v>
      </c>
      <c r="BC152" s="197">
        <f t="shared" si="437"/>
        <v>773.14285714285711</v>
      </c>
      <c r="BD152" s="197">
        <f>'Arable NPV'!$F131</f>
        <v>566.71194999999989</v>
      </c>
      <c r="BE152" s="197">
        <f>'Arable NPV'!$G131</f>
        <v>691.46913599999993</v>
      </c>
      <c r="BF152" s="197">
        <f t="shared" si="438"/>
        <v>1258.1810859999998</v>
      </c>
      <c r="BG152" s="197">
        <f t="shared" si="395"/>
        <v>-815.03822885714271</v>
      </c>
      <c r="BH152" s="197">
        <f t="shared" si="396"/>
        <v>-485.03822885714271</v>
      </c>
      <c r="BI152" s="196">
        <f t="shared" si="443"/>
        <v>292.96963337847956</v>
      </c>
      <c r="BJ152" s="197">
        <f t="shared" si="444"/>
        <v>218.16887592014436</v>
      </c>
      <c r="BK152" s="197">
        <f t="shared" si="445"/>
        <v>831.80591889880736</v>
      </c>
      <c r="BL152" s="197">
        <f t="shared" si="446"/>
        <v>-538.83628552032781</v>
      </c>
      <c r="BM152" s="199">
        <f t="shared" si="401"/>
        <v>-320.66740960018348</v>
      </c>
      <c r="BN152" s="196">
        <f t="shared" si="402"/>
        <v>5448.9169826221114</v>
      </c>
      <c r="BO152" s="197">
        <f t="shared" si="403"/>
        <v>4057.70413599519</v>
      </c>
      <c r="BP152" s="197">
        <f t="shared" si="404"/>
        <v>15470.686656039756</v>
      </c>
      <c r="BQ152" s="197">
        <f t="shared" si="405"/>
        <v>-10021.769673417642</v>
      </c>
      <c r="BR152" s="199">
        <f t="shared" si="406"/>
        <v>-5964.0655374224516</v>
      </c>
      <c r="BV152" s="900">
        <v>15</v>
      </c>
      <c r="BW152" s="911">
        <f>'Arable Inputs'!$H$18</f>
        <v>9.4</v>
      </c>
      <c r="BX152" s="760">
        <f>'Arable Inputs'!$H$25*$BY$134</f>
        <v>188.57142857142858</v>
      </c>
      <c r="BY152" s="762">
        <f t="shared" si="407"/>
        <v>1772.5714285714287</v>
      </c>
      <c r="BZ152" s="197">
        <f>'Arable NPV'!$D131</f>
        <v>330</v>
      </c>
      <c r="CA152" s="197">
        <f t="shared" si="439"/>
        <v>2102.5714285714284</v>
      </c>
      <c r="CB152" s="197">
        <f>'Arable NPV'!$F131</f>
        <v>566.71194999999989</v>
      </c>
      <c r="CC152" s="197">
        <f>'Arable NPV'!$G131</f>
        <v>691.46913599999993</v>
      </c>
      <c r="CD152" s="197">
        <f t="shared" si="440"/>
        <v>1258.1810859999998</v>
      </c>
      <c r="CE152" s="197">
        <f t="shared" si="408"/>
        <v>514.39034257142885</v>
      </c>
      <c r="CF152" s="197">
        <f t="shared" si="409"/>
        <v>844.39034257142862</v>
      </c>
      <c r="CG152" s="196">
        <f t="shared" si="447"/>
        <v>1171.8785335139182</v>
      </c>
      <c r="CH152" s="197">
        <f t="shared" si="448"/>
        <v>218.16887592014436</v>
      </c>
      <c r="CI152" s="197">
        <f t="shared" si="449"/>
        <v>831.80591889880736</v>
      </c>
      <c r="CJ152" s="197">
        <f t="shared" si="450"/>
        <v>340.07261461511092</v>
      </c>
      <c r="CK152" s="199">
        <f t="shared" si="414"/>
        <v>558.24149053525514</v>
      </c>
      <c r="CL152" s="196">
        <f t="shared" si="415"/>
        <v>21795.667930488446</v>
      </c>
      <c r="CM152" s="197">
        <f t="shared" si="416"/>
        <v>4057.70413599519</v>
      </c>
      <c r="CN152" s="197">
        <f t="shared" si="417"/>
        <v>15470.686656039756</v>
      </c>
      <c r="CO152" s="197">
        <f t="shared" si="418"/>
        <v>6324.9812744486953</v>
      </c>
      <c r="CP152" s="199">
        <f t="shared" si="419"/>
        <v>10382.685410443881</v>
      </c>
      <c r="CT152" s="900">
        <v>15</v>
      </c>
      <c r="CU152" s="911">
        <f>'Arable Inputs'!$H$18</f>
        <v>9.4</v>
      </c>
      <c r="CV152" s="760">
        <f>'Arable Inputs'!$H$25*$CW$134</f>
        <v>0</v>
      </c>
      <c r="CW152" s="762">
        <f t="shared" si="420"/>
        <v>0</v>
      </c>
      <c r="CX152" s="197">
        <f>'Arable NPV'!$D131</f>
        <v>330</v>
      </c>
      <c r="CY152" s="197">
        <f t="shared" si="441"/>
        <v>330</v>
      </c>
      <c r="CZ152" s="197">
        <f>'Arable NPV'!$F131</f>
        <v>566.71194999999989</v>
      </c>
      <c r="DA152" s="197">
        <f>'Arable NPV'!$G131</f>
        <v>691.46913599999993</v>
      </c>
      <c r="DB152" s="197">
        <f t="shared" si="442"/>
        <v>1258.1810859999998</v>
      </c>
      <c r="DC152" s="197">
        <f t="shared" si="421"/>
        <v>-1258.1810859999998</v>
      </c>
      <c r="DD152" s="197">
        <f t="shared" si="422"/>
        <v>-928.18108599999982</v>
      </c>
      <c r="DE152" s="196">
        <f t="shared" si="451"/>
        <v>0</v>
      </c>
      <c r="DF152" s="197">
        <f t="shared" si="452"/>
        <v>218.16887592014436</v>
      </c>
      <c r="DG152" s="197">
        <f t="shared" si="453"/>
        <v>831.80591889880736</v>
      </c>
      <c r="DH152" s="197">
        <f t="shared" si="454"/>
        <v>-831.80591889880736</v>
      </c>
      <c r="DI152" s="199">
        <f t="shared" si="427"/>
        <v>-613.63704297866298</v>
      </c>
      <c r="DJ152" s="196">
        <f t="shared" si="428"/>
        <v>0</v>
      </c>
      <c r="DK152" s="197">
        <f t="shared" si="429"/>
        <v>4057.70413599519</v>
      </c>
      <c r="DL152" s="197">
        <f t="shared" si="430"/>
        <v>15470.686656039756</v>
      </c>
      <c r="DM152" s="197">
        <f t="shared" si="431"/>
        <v>-15470.686656039756</v>
      </c>
      <c r="DN152" s="199">
        <f t="shared" si="432"/>
        <v>-11412.982520044563</v>
      </c>
    </row>
    <row r="153" spans="2:118" x14ac:dyDescent="0.3">
      <c r="B153" s="901">
        <v>16</v>
      </c>
      <c r="C153" s="912">
        <f>'Arable Inputs'!$H$18</f>
        <v>9.4</v>
      </c>
      <c r="D153" s="761">
        <f>'Arable Inputs'!$H$25*$E$134</f>
        <v>94.285714285714292</v>
      </c>
      <c r="E153" s="207">
        <f t="shared" si="368"/>
        <v>886.28571428571433</v>
      </c>
      <c r="F153" s="207">
        <f>'Arable NPV'!$D132</f>
        <v>330</v>
      </c>
      <c r="G153" s="207">
        <f>E153+F153</f>
        <v>1216.2857142857142</v>
      </c>
      <c r="H153" s="207">
        <f>'Arable NPV'!$F132</f>
        <v>566.71194999999989</v>
      </c>
      <c r="I153" s="207">
        <f>'Arable NPV'!$G132</f>
        <v>691.46913599999993</v>
      </c>
      <c r="J153" s="207">
        <f t="shared" si="434"/>
        <v>1258.1810859999998</v>
      </c>
      <c r="K153" s="207">
        <f t="shared" si="369"/>
        <v>-371.89537171428549</v>
      </c>
      <c r="L153" s="207">
        <f t="shared" si="370"/>
        <v>-41.895371714285602</v>
      </c>
      <c r="M153" s="208">
        <f t="shared" si="371"/>
        <v>568.8730745213195</v>
      </c>
      <c r="N153" s="207">
        <f t="shared" si="372"/>
        <v>211.81444264091684</v>
      </c>
      <c r="O153" s="207">
        <f t="shared" si="373"/>
        <v>807.57856203767699</v>
      </c>
      <c r="P153" s="207">
        <f t="shared" si="374"/>
        <v>-238.70548751635749</v>
      </c>
      <c r="Q153" s="209">
        <f t="shared" si="375"/>
        <v>-26.89104487544072</v>
      </c>
      <c r="R153" s="208">
        <f t="shared" si="376"/>
        <v>11466.707039765543</v>
      </c>
      <c r="S153" s="207">
        <f t="shared" si="377"/>
        <v>4269.5185786361071</v>
      </c>
      <c r="T153" s="207">
        <f t="shared" si="378"/>
        <v>16278.265218077433</v>
      </c>
      <c r="U153" s="207">
        <f t="shared" si="379"/>
        <v>-4811.5581783118869</v>
      </c>
      <c r="V153" s="209">
        <f t="shared" si="380"/>
        <v>-542.0395996757818</v>
      </c>
      <c r="Z153" s="901">
        <v>16</v>
      </c>
      <c r="AA153" s="912">
        <f>'Arable Inputs'!$H$18</f>
        <v>9.4</v>
      </c>
      <c r="AB153" s="761">
        <f>'Arable Inputs'!$H$25*$AC$134</f>
        <v>141.42857142857144</v>
      </c>
      <c r="AC153" s="207">
        <f t="shared" si="381"/>
        <v>1329.4285714285716</v>
      </c>
      <c r="AD153" s="207">
        <f>'Arable NPV'!$D132</f>
        <v>330</v>
      </c>
      <c r="AE153" s="207">
        <f>AC153+AD153</f>
        <v>1659.4285714285716</v>
      </c>
      <c r="AF153" s="207">
        <f>'Arable NPV'!$F132</f>
        <v>566.71194999999989</v>
      </c>
      <c r="AG153" s="207">
        <f>'Arable NPV'!$G132</f>
        <v>691.46913599999993</v>
      </c>
      <c r="AH153" s="207">
        <f t="shared" si="436"/>
        <v>1258.1810859999998</v>
      </c>
      <c r="AI153" s="207">
        <f t="shared" si="382"/>
        <v>71.247485428571736</v>
      </c>
      <c r="AJ153" s="207">
        <f t="shared" si="383"/>
        <v>401.24748542857174</v>
      </c>
      <c r="AK153" s="208">
        <f t="shared" si="384"/>
        <v>853.30961178197936</v>
      </c>
      <c r="AL153" s="207">
        <f t="shared" si="385"/>
        <v>211.81444264091684</v>
      </c>
      <c r="AM153" s="207">
        <f t="shared" si="386"/>
        <v>807.57856203767699</v>
      </c>
      <c r="AN153" s="207">
        <f t="shared" si="387"/>
        <v>45.731049744302318</v>
      </c>
      <c r="AO153" s="209">
        <f t="shared" si="388"/>
        <v>257.54549238521918</v>
      </c>
      <c r="AP153" s="208">
        <f t="shared" si="389"/>
        <v>17200.060559648318</v>
      </c>
      <c r="AQ153" s="207">
        <f t="shared" si="390"/>
        <v>4269.5185786361071</v>
      </c>
      <c r="AR153" s="207">
        <f t="shared" si="391"/>
        <v>16278.265218077433</v>
      </c>
      <c r="AS153" s="207">
        <f t="shared" si="392"/>
        <v>921.79534157088574</v>
      </c>
      <c r="AT153" s="209">
        <f t="shared" si="393"/>
        <v>5191.3139202069924</v>
      </c>
      <c r="AX153" s="901">
        <v>16</v>
      </c>
      <c r="AY153" s="912">
        <f>'Arable Inputs'!$H$18</f>
        <v>9.4</v>
      </c>
      <c r="AZ153" s="761">
        <f>'Arable Inputs'!$H$25*$BA$134</f>
        <v>47.142857142857146</v>
      </c>
      <c r="BA153" s="207">
        <f t="shared" si="394"/>
        <v>443.14285714285717</v>
      </c>
      <c r="BB153" s="207">
        <f>'Arable NPV'!$D132</f>
        <v>330</v>
      </c>
      <c r="BC153" s="207">
        <f>BA153+BB153</f>
        <v>773.14285714285711</v>
      </c>
      <c r="BD153" s="207">
        <f>'Arable NPV'!$F132</f>
        <v>566.71194999999989</v>
      </c>
      <c r="BE153" s="207">
        <f>'Arable NPV'!$G132</f>
        <v>691.46913599999993</v>
      </c>
      <c r="BF153" s="207">
        <f t="shared" si="438"/>
        <v>1258.1810859999998</v>
      </c>
      <c r="BG153" s="207">
        <f t="shared" si="395"/>
        <v>-815.03822885714271</v>
      </c>
      <c r="BH153" s="207">
        <f t="shared" si="396"/>
        <v>-485.03822885714271</v>
      </c>
      <c r="BI153" s="208">
        <f t="shared" si="443"/>
        <v>284.43653726065975</v>
      </c>
      <c r="BJ153" s="207">
        <f t="shared" si="444"/>
        <v>211.81444264091684</v>
      </c>
      <c r="BK153" s="207">
        <f t="shared" si="445"/>
        <v>807.57856203767699</v>
      </c>
      <c r="BL153" s="207">
        <f t="shared" si="446"/>
        <v>-523.14202477701724</v>
      </c>
      <c r="BM153" s="209">
        <f t="shared" si="401"/>
        <v>-311.32758213610043</v>
      </c>
      <c r="BN153" s="208">
        <f t="shared" si="402"/>
        <v>5733.3535198827713</v>
      </c>
      <c r="BO153" s="207">
        <f t="shared" si="403"/>
        <v>4269.5185786361071</v>
      </c>
      <c r="BP153" s="207">
        <f t="shared" si="404"/>
        <v>16278.265218077433</v>
      </c>
      <c r="BQ153" s="207">
        <f t="shared" si="405"/>
        <v>-10544.911698194659</v>
      </c>
      <c r="BR153" s="209">
        <f t="shared" si="406"/>
        <v>-6275.3931195585519</v>
      </c>
      <c r="BV153" s="901">
        <v>16</v>
      </c>
      <c r="BW153" s="912">
        <f>'Arable Inputs'!$H$18</f>
        <v>9.4</v>
      </c>
      <c r="BX153" s="761">
        <f>'Arable Inputs'!$H$25*$BY$134</f>
        <v>188.57142857142858</v>
      </c>
      <c r="BY153" s="207">
        <f t="shared" si="407"/>
        <v>1772.5714285714287</v>
      </c>
      <c r="BZ153" s="207">
        <f>'Arable NPV'!$D132</f>
        <v>330</v>
      </c>
      <c r="CA153" s="207">
        <f>BY153+BZ153</f>
        <v>2102.5714285714284</v>
      </c>
      <c r="CB153" s="207">
        <f>'Arable NPV'!$F132</f>
        <v>566.71194999999989</v>
      </c>
      <c r="CC153" s="207">
        <f>'Arable NPV'!$G132</f>
        <v>691.46913599999993</v>
      </c>
      <c r="CD153" s="207">
        <f t="shared" si="440"/>
        <v>1258.1810859999998</v>
      </c>
      <c r="CE153" s="207">
        <f t="shared" si="408"/>
        <v>514.39034257142885</v>
      </c>
      <c r="CF153" s="207">
        <f t="shared" si="409"/>
        <v>844.39034257142862</v>
      </c>
      <c r="CG153" s="208">
        <f t="shared" si="447"/>
        <v>1137.746149042639</v>
      </c>
      <c r="CH153" s="207">
        <f t="shared" si="448"/>
        <v>211.81444264091684</v>
      </c>
      <c r="CI153" s="207">
        <f t="shared" si="449"/>
        <v>807.57856203767699</v>
      </c>
      <c r="CJ153" s="207">
        <f t="shared" si="450"/>
        <v>330.16758700496206</v>
      </c>
      <c r="CK153" s="209">
        <f t="shared" si="414"/>
        <v>541.9820296458787</v>
      </c>
      <c r="CL153" s="208">
        <f t="shared" si="415"/>
        <v>22933.414079531085</v>
      </c>
      <c r="CM153" s="207">
        <f t="shared" si="416"/>
        <v>4269.5185786361071</v>
      </c>
      <c r="CN153" s="207">
        <f t="shared" si="417"/>
        <v>16278.265218077433</v>
      </c>
      <c r="CO153" s="207">
        <f t="shared" si="418"/>
        <v>6655.1488614536574</v>
      </c>
      <c r="CP153" s="209">
        <f t="shared" si="419"/>
        <v>10924.667440089759</v>
      </c>
      <c r="CT153" s="901">
        <v>16</v>
      </c>
      <c r="CU153" s="912">
        <f>'Arable Inputs'!$H$18</f>
        <v>9.4</v>
      </c>
      <c r="CV153" s="761">
        <f>'Arable Inputs'!$H$25*$CW$134</f>
        <v>0</v>
      </c>
      <c r="CW153" s="207">
        <f t="shared" si="420"/>
        <v>0</v>
      </c>
      <c r="CX153" s="207">
        <f>'Arable NPV'!$D132</f>
        <v>330</v>
      </c>
      <c r="CY153" s="207">
        <f>CW153+CX153</f>
        <v>330</v>
      </c>
      <c r="CZ153" s="207">
        <f>'Arable NPV'!$F132</f>
        <v>566.71194999999989</v>
      </c>
      <c r="DA153" s="207">
        <f>'Arable NPV'!$G132</f>
        <v>691.46913599999993</v>
      </c>
      <c r="DB153" s="207">
        <f t="shared" si="442"/>
        <v>1258.1810859999998</v>
      </c>
      <c r="DC153" s="207">
        <f t="shared" si="421"/>
        <v>-1258.1810859999998</v>
      </c>
      <c r="DD153" s="207">
        <f t="shared" si="422"/>
        <v>-928.18108599999982</v>
      </c>
      <c r="DE153" s="208">
        <f t="shared" si="451"/>
        <v>0</v>
      </c>
      <c r="DF153" s="207">
        <f t="shared" si="452"/>
        <v>211.81444264091684</v>
      </c>
      <c r="DG153" s="207">
        <f t="shared" si="453"/>
        <v>807.57856203767699</v>
      </c>
      <c r="DH153" s="207">
        <f t="shared" si="454"/>
        <v>-807.57856203767699</v>
      </c>
      <c r="DI153" s="209">
        <f t="shared" si="427"/>
        <v>-595.76411939676018</v>
      </c>
      <c r="DJ153" s="208">
        <f t="shared" si="428"/>
        <v>0</v>
      </c>
      <c r="DK153" s="207">
        <f t="shared" si="429"/>
        <v>4269.5185786361071</v>
      </c>
      <c r="DL153" s="207">
        <f t="shared" si="430"/>
        <v>16278.265218077433</v>
      </c>
      <c r="DM153" s="207">
        <f t="shared" si="431"/>
        <v>-16278.265218077433</v>
      </c>
      <c r="DN153" s="209">
        <f t="shared" si="432"/>
        <v>-12008.746639441324</v>
      </c>
    </row>
    <row r="159" spans="2:118" x14ac:dyDescent="0.3">
      <c r="B159" s="273" t="s">
        <v>326</v>
      </c>
      <c r="C159" s="274"/>
      <c r="D159" s="88"/>
      <c r="E159" s="88"/>
      <c r="F159" s="88"/>
      <c r="G159" s="275"/>
      <c r="H159" s="276" t="s">
        <v>305</v>
      </c>
      <c r="I159" s="277" t="s">
        <v>306</v>
      </c>
      <c r="J159" s="277" t="s">
        <v>307</v>
      </c>
      <c r="K159" s="277" t="s">
        <v>308</v>
      </c>
      <c r="L159" s="277" t="s">
        <v>309</v>
      </c>
      <c r="M159" s="276" t="s">
        <v>634</v>
      </c>
      <c r="N159" s="277" t="s">
        <v>635</v>
      </c>
      <c r="O159" s="277" t="s">
        <v>636</v>
      </c>
      <c r="P159" s="277" t="s">
        <v>637</v>
      </c>
      <c r="Q159" s="277" t="s">
        <v>638</v>
      </c>
      <c r="R159" s="276" t="s">
        <v>389</v>
      </c>
      <c r="S159" s="277" t="s">
        <v>390</v>
      </c>
      <c r="T159" s="277" t="s">
        <v>391</v>
      </c>
      <c r="U159" s="277" t="s">
        <v>392</v>
      </c>
      <c r="V159" s="277" t="s">
        <v>393</v>
      </c>
      <c r="W159" s="276" t="s">
        <v>420</v>
      </c>
      <c r="X159" s="277" t="s">
        <v>421</v>
      </c>
      <c r="Y159" s="277" t="s">
        <v>422</v>
      </c>
      <c r="Z159" s="277" t="s">
        <v>423</v>
      </c>
      <c r="AA159" s="277" t="s">
        <v>424</v>
      </c>
      <c r="AB159" s="276" t="s">
        <v>425</v>
      </c>
      <c r="AC159" s="277" t="s">
        <v>426</v>
      </c>
      <c r="AD159" s="277" t="s">
        <v>427</v>
      </c>
      <c r="AE159" s="277" t="s">
        <v>428</v>
      </c>
      <c r="AF159" s="277" t="s">
        <v>429</v>
      </c>
      <c r="AG159" s="276" t="s">
        <v>526</v>
      </c>
      <c r="AH159" s="277" t="s">
        <v>527</v>
      </c>
      <c r="AI159" s="277" t="s">
        <v>528</v>
      </c>
      <c r="AJ159" s="277" t="s">
        <v>529</v>
      </c>
      <c r="AK159" s="277" t="s">
        <v>530</v>
      </c>
    </row>
    <row r="160" spans="2:118" x14ac:dyDescent="0.3">
      <c r="B160" s="278" t="s">
        <v>293</v>
      </c>
      <c r="C160" s="24"/>
      <c r="D160" s="279"/>
      <c r="E160" s="279"/>
      <c r="F160" s="279"/>
      <c r="G160" s="280" t="s">
        <v>567</v>
      </c>
      <c r="H160" s="764">
        <f>S27</f>
        <v>5153.0411811079257</v>
      </c>
      <c r="I160" s="764">
        <f>AQ27</f>
        <v>7729.5617716618908</v>
      </c>
      <c r="J160" s="764">
        <f>BO27</f>
        <v>2576.5205905539628</v>
      </c>
      <c r="K160" s="764">
        <f>CM27</f>
        <v>10306.082362215851</v>
      </c>
      <c r="L160" s="764">
        <f>DK27</f>
        <v>0</v>
      </c>
      <c r="M160" s="764">
        <f>S53</f>
        <v>7503.8112474454329</v>
      </c>
      <c r="N160" s="764">
        <f>AQ53</f>
        <v>11255.716871168146</v>
      </c>
      <c r="O160" s="107">
        <f>BO53</f>
        <v>3751.9056237227164</v>
      </c>
      <c r="P160" s="107">
        <f>CM53</f>
        <v>15007.622494890866</v>
      </c>
      <c r="Q160" s="107">
        <f>DK53</f>
        <v>0</v>
      </c>
      <c r="R160" s="764">
        <f>U$78</f>
        <v>11827.882468805239</v>
      </c>
      <c r="S160" s="764">
        <f>AU78</f>
        <v>17741.823703207854</v>
      </c>
      <c r="T160" s="107">
        <f>BU$78</f>
        <v>5913.9412344026196</v>
      </c>
      <c r="U160" s="107">
        <f>CU$78</f>
        <v>23655.764937610478</v>
      </c>
      <c r="V160" s="107">
        <f>DU$78</f>
        <v>0</v>
      </c>
      <c r="W160" s="764">
        <f>S$103</f>
        <v>7249.7050055210802</v>
      </c>
      <c r="X160" s="764">
        <f>AQ$103</f>
        <v>10874.557508281619</v>
      </c>
      <c r="Y160" s="107">
        <f>BO$103</f>
        <v>3624.8525027605401</v>
      </c>
      <c r="Z160" s="107">
        <f>CM$103</f>
        <v>14499.41001104216</v>
      </c>
      <c r="AA160" s="107">
        <f>DK$103</f>
        <v>0</v>
      </c>
      <c r="AB160" s="764">
        <f>S$128</f>
        <v>6150.3876966488488</v>
      </c>
      <c r="AC160" s="764">
        <f>AQ$128</f>
        <v>9225.5815449732727</v>
      </c>
      <c r="AD160" s="107">
        <f>BO$128</f>
        <v>3075.1938483244244</v>
      </c>
      <c r="AE160" s="107">
        <f>CM$128</f>
        <v>12300.775393297698</v>
      </c>
      <c r="AF160" s="107">
        <f>DK$128</f>
        <v>0</v>
      </c>
      <c r="AG160" s="767">
        <f>R153</f>
        <v>11466.707039765543</v>
      </c>
      <c r="AH160" s="767">
        <f>AP153</f>
        <v>17200.060559648318</v>
      </c>
      <c r="AI160" s="767">
        <f>BN153</f>
        <v>5733.3535198827713</v>
      </c>
      <c r="AJ160" s="767">
        <f>CL153</f>
        <v>22933.414079531085</v>
      </c>
      <c r="AK160" s="767">
        <f>DJ153</f>
        <v>0</v>
      </c>
    </row>
    <row r="161" spans="2:37" x14ac:dyDescent="0.3">
      <c r="B161" s="282" t="s">
        <v>689</v>
      </c>
      <c r="C161" s="24"/>
      <c r="D161" s="279"/>
      <c r="E161" s="279"/>
      <c r="F161" s="279"/>
      <c r="G161" s="283" t="s">
        <v>567</v>
      </c>
      <c r="H161" s="764">
        <f>T27</f>
        <v>4269.5185786361071</v>
      </c>
      <c r="I161" s="764">
        <f>AR27</f>
        <v>4269.5185786361071</v>
      </c>
      <c r="J161" s="764">
        <f>BP27</f>
        <v>4269.5185786361071</v>
      </c>
      <c r="K161" s="764">
        <f>CN27</f>
        <v>4269.5185786361071</v>
      </c>
      <c r="L161" s="764">
        <f>DL27</f>
        <v>4269.5185786361071</v>
      </c>
      <c r="M161" s="764">
        <f>T53</f>
        <v>4269.5185786361071</v>
      </c>
      <c r="N161" s="764">
        <f>AR53</f>
        <v>4269.5185786361071</v>
      </c>
      <c r="O161" s="108">
        <f>BP53</f>
        <v>4269.5185786361071</v>
      </c>
      <c r="P161" s="108">
        <f>CN53</f>
        <v>4269.5185786361071</v>
      </c>
      <c r="Q161" s="108">
        <f>DL53</f>
        <v>4269.5185786361071</v>
      </c>
      <c r="R161" s="764">
        <f>V$78</f>
        <v>4269.5185786361071</v>
      </c>
      <c r="S161" s="764">
        <f>AV$78</f>
        <v>4269.5185786361071</v>
      </c>
      <c r="T161" s="108">
        <f>BV$78</f>
        <v>4269.5185786361071</v>
      </c>
      <c r="U161" s="108">
        <f>CV$78</f>
        <v>4269.5185786361071</v>
      </c>
      <c r="V161" s="108">
        <f>DV$78</f>
        <v>4269.5185786361071</v>
      </c>
      <c r="W161" s="764">
        <f>T$103</f>
        <v>2899.4159442201048</v>
      </c>
      <c r="X161" s="764">
        <f>AR$103</f>
        <v>2899.4159442201048</v>
      </c>
      <c r="Y161" s="108">
        <f>BP$103</f>
        <v>2899.4159442201048</v>
      </c>
      <c r="Z161" s="108">
        <f>CN$103</f>
        <v>2899.4159442201048</v>
      </c>
      <c r="AA161" s="108">
        <f>DL$103</f>
        <v>4269.5185786361071</v>
      </c>
      <c r="AB161" s="764">
        <f>T$128</f>
        <v>4269.5185786361071</v>
      </c>
      <c r="AC161" s="764">
        <f>AR$128</f>
        <v>4269.5185786361071</v>
      </c>
      <c r="AD161" s="108">
        <f>BP$128</f>
        <v>4269.5185786361071</v>
      </c>
      <c r="AE161" s="108">
        <f>CN$128</f>
        <v>4269.5185786361071</v>
      </c>
      <c r="AF161" s="108">
        <f>DL$128</f>
        <v>4269.5185786361071</v>
      </c>
      <c r="AG161" s="914">
        <f>S153</f>
        <v>4269.5185786361071</v>
      </c>
      <c r="AH161" s="914">
        <f>AQ153</f>
        <v>4269.5185786361071</v>
      </c>
      <c r="AI161" s="914">
        <f>BO153</f>
        <v>4269.5185786361071</v>
      </c>
      <c r="AJ161" s="914">
        <f>CM153</f>
        <v>4269.5185786361071</v>
      </c>
      <c r="AK161" s="914">
        <f>DK153</f>
        <v>4269.5185786361071</v>
      </c>
    </row>
    <row r="162" spans="2:37" x14ac:dyDescent="0.3">
      <c r="B162" s="284" t="s">
        <v>292</v>
      </c>
      <c r="C162" s="165"/>
      <c r="D162" s="279"/>
      <c r="E162" s="279"/>
      <c r="F162" s="279"/>
      <c r="G162" s="285" t="s">
        <v>567</v>
      </c>
      <c r="H162" s="764">
        <f>U27</f>
        <v>10028.072186038104</v>
      </c>
      <c r="I162" s="764">
        <f>AS27</f>
        <v>10028.072186038104</v>
      </c>
      <c r="J162" s="764">
        <f>BQ27</f>
        <v>10028.072186038104</v>
      </c>
      <c r="K162" s="764">
        <f>CO27</f>
        <v>10028.072186038104</v>
      </c>
      <c r="L162" s="764">
        <f>DM27</f>
        <v>10028.072186038104</v>
      </c>
      <c r="M162" s="764">
        <f>U53</f>
        <v>8237.601585738621</v>
      </c>
      <c r="N162" s="764">
        <f>AS53</f>
        <v>8237.601585738621</v>
      </c>
      <c r="O162" s="294">
        <f>BQ53</f>
        <v>8237.601585738621</v>
      </c>
      <c r="P162" s="294">
        <f>CO53</f>
        <v>8237.601585738621</v>
      </c>
      <c r="Q162" s="294">
        <f>DM53</f>
        <v>8237.601585738621</v>
      </c>
      <c r="R162" s="764">
        <f>W$78</f>
        <v>15220.142021005624</v>
      </c>
      <c r="S162" s="764">
        <f>AW$78</f>
        <v>15220.142021005624</v>
      </c>
      <c r="T162" s="108">
        <f>BW$78</f>
        <v>15220.142021005624</v>
      </c>
      <c r="U162" s="108">
        <f>CW$78</f>
        <v>15220.142021005624</v>
      </c>
      <c r="V162" s="108">
        <f>DW$78</f>
        <v>15220.142021005624</v>
      </c>
      <c r="W162" s="764">
        <f>U$103</f>
        <v>6484.1859442089399</v>
      </c>
      <c r="X162" s="764">
        <f>AS$103</f>
        <v>6484.1859442089399</v>
      </c>
      <c r="Y162" s="294">
        <f>BQ$103</f>
        <v>6484.1859442089399</v>
      </c>
      <c r="Z162" s="294">
        <f>CO$103</f>
        <v>6484.1859442089399</v>
      </c>
      <c r="AA162" s="294">
        <f>DM$103</f>
        <v>6484.1859442089399</v>
      </c>
      <c r="AB162" s="764">
        <f>U$128</f>
        <v>7650.9886605307165</v>
      </c>
      <c r="AC162" s="764">
        <f>AS$128</f>
        <v>7650.9886605307165</v>
      </c>
      <c r="AD162" s="294">
        <f>BQ$128</f>
        <v>7650.9886605307165</v>
      </c>
      <c r="AE162" s="294">
        <f>CO$128</f>
        <v>7650.9886605307165</v>
      </c>
      <c r="AF162" s="294">
        <f>DM$128</f>
        <v>7650.9886605307165</v>
      </c>
      <c r="AG162" s="768">
        <f>T153</f>
        <v>16278.265218077433</v>
      </c>
      <c r="AH162" s="768">
        <f>AR153</f>
        <v>16278.265218077433</v>
      </c>
      <c r="AI162" s="768">
        <f>BP153</f>
        <v>16278.265218077433</v>
      </c>
      <c r="AJ162" s="768">
        <f>CN153</f>
        <v>16278.265218077433</v>
      </c>
      <c r="AK162" s="768">
        <f>DL153</f>
        <v>16278.265218077433</v>
      </c>
    </row>
    <row r="163" spans="2:37" x14ac:dyDescent="0.3">
      <c r="B163" s="278" t="s">
        <v>690</v>
      </c>
      <c r="C163" s="24"/>
      <c r="D163" s="286"/>
      <c r="E163" s="286"/>
      <c r="F163" s="286"/>
      <c r="G163" s="280" t="s">
        <v>567</v>
      </c>
      <c r="H163" s="765">
        <f>H160-H162</f>
        <v>-4875.0310049301779</v>
      </c>
      <c r="I163" s="765">
        <f t="shared" ref="I163:V163" si="455">I160-I162</f>
        <v>-2298.5104143762128</v>
      </c>
      <c r="J163" s="765">
        <f t="shared" si="455"/>
        <v>-7451.5515954841412</v>
      </c>
      <c r="K163" s="765">
        <f t="shared" si="455"/>
        <v>278.01017617774778</v>
      </c>
      <c r="L163" s="765">
        <f t="shared" si="455"/>
        <v>-10028.072186038104</v>
      </c>
      <c r="M163" s="765">
        <f t="shared" si="455"/>
        <v>-733.79033829318814</v>
      </c>
      <c r="N163" s="765">
        <f t="shared" si="455"/>
        <v>3018.1152854295251</v>
      </c>
      <c r="O163" s="765">
        <f t="shared" si="455"/>
        <v>-4485.695962015905</v>
      </c>
      <c r="P163" s="765">
        <f t="shared" si="455"/>
        <v>6770.0209091522447</v>
      </c>
      <c r="Q163" s="765">
        <f t="shared" si="455"/>
        <v>-8237.601585738621</v>
      </c>
      <c r="R163" s="765">
        <f t="shared" si="455"/>
        <v>-3392.2595522003849</v>
      </c>
      <c r="S163" s="765">
        <f t="shared" si="455"/>
        <v>2521.6816822022301</v>
      </c>
      <c r="T163" s="765">
        <f t="shared" si="455"/>
        <v>-9306.2007866030035</v>
      </c>
      <c r="U163" s="765">
        <f t="shared" si="455"/>
        <v>8435.6229166048543</v>
      </c>
      <c r="V163" s="765">
        <f t="shared" si="455"/>
        <v>-15220.142021005624</v>
      </c>
      <c r="W163" s="765">
        <f t="shared" ref="W163" si="456">W160-W162</f>
        <v>765.51906131214037</v>
      </c>
      <c r="X163" s="765">
        <f t="shared" ref="X163:AK163" si="457">X160-X162</f>
        <v>4390.3715640726796</v>
      </c>
      <c r="Y163" s="765">
        <f t="shared" si="457"/>
        <v>-2859.3334414483998</v>
      </c>
      <c r="Z163" s="765">
        <f t="shared" si="457"/>
        <v>8015.2240668332206</v>
      </c>
      <c r="AA163" s="765">
        <f t="shared" si="457"/>
        <v>-6484.1859442089399</v>
      </c>
      <c r="AB163" s="765">
        <f t="shared" si="457"/>
        <v>-1500.6009638818678</v>
      </c>
      <c r="AC163" s="765">
        <f t="shared" si="457"/>
        <v>1574.5928844425562</v>
      </c>
      <c r="AD163" s="765">
        <f t="shared" si="457"/>
        <v>-4575.7948122062917</v>
      </c>
      <c r="AE163" s="765">
        <f t="shared" si="457"/>
        <v>4649.786732766981</v>
      </c>
      <c r="AF163" s="765">
        <f t="shared" si="457"/>
        <v>-7650.9886605307165</v>
      </c>
      <c r="AG163" s="765">
        <f t="shared" si="457"/>
        <v>-4811.5581783118905</v>
      </c>
      <c r="AH163" s="765">
        <f t="shared" si="457"/>
        <v>921.79534157088528</v>
      </c>
      <c r="AI163" s="765">
        <f t="shared" si="457"/>
        <v>-10544.911698194661</v>
      </c>
      <c r="AJ163" s="765">
        <f t="shared" si="457"/>
        <v>6655.148861453652</v>
      </c>
      <c r="AK163" s="765">
        <f t="shared" si="457"/>
        <v>-16278.265218077433</v>
      </c>
    </row>
    <row r="164" spans="2:37" x14ac:dyDescent="0.3">
      <c r="B164" s="284" t="s">
        <v>691</v>
      </c>
      <c r="C164" s="165"/>
      <c r="D164" s="288"/>
      <c r="E164" s="288"/>
      <c r="F164" s="288"/>
      <c r="G164" s="285" t="s">
        <v>567</v>
      </c>
      <c r="H164" s="766">
        <f>H160+H161-H162</f>
        <v>-605.5124262940717</v>
      </c>
      <c r="I164" s="766">
        <f t="shared" ref="I164:U164" si="458">I160+I161-I162</f>
        <v>1971.0081642598943</v>
      </c>
      <c r="J164" s="766">
        <f t="shared" si="458"/>
        <v>-3182.0330168480341</v>
      </c>
      <c r="K164" s="766">
        <f t="shared" si="458"/>
        <v>4547.5287548138549</v>
      </c>
      <c r="L164" s="766">
        <f t="shared" si="458"/>
        <v>-5758.5536074019965</v>
      </c>
      <c r="M164" s="766">
        <f t="shared" si="458"/>
        <v>3535.7282403429181</v>
      </c>
      <c r="N164" s="766">
        <f t="shared" si="458"/>
        <v>7287.6338640656322</v>
      </c>
      <c r="O164" s="766">
        <f t="shared" si="458"/>
        <v>-216.1773833797979</v>
      </c>
      <c r="P164" s="766">
        <f t="shared" si="458"/>
        <v>11039.539487788354</v>
      </c>
      <c r="Q164" s="766">
        <f t="shared" si="458"/>
        <v>-3968.0830071025139</v>
      </c>
      <c r="R164" s="766">
        <f t="shared" si="458"/>
        <v>877.25902643572226</v>
      </c>
      <c r="S164" s="766">
        <f t="shared" si="458"/>
        <v>6791.2002608383373</v>
      </c>
      <c r="T164" s="766">
        <f t="shared" si="458"/>
        <v>-5036.6822079668964</v>
      </c>
      <c r="U164" s="766">
        <f t="shared" si="458"/>
        <v>12705.141495240961</v>
      </c>
      <c r="V164" s="766">
        <f t="shared" ref="V164:W164" si="459">V160+V161-V162</f>
        <v>-10950.623442369517</v>
      </c>
      <c r="W164" s="766">
        <f t="shared" si="459"/>
        <v>3664.9350055322457</v>
      </c>
      <c r="X164" s="766">
        <f t="shared" ref="X164:AE164" si="460">X160+X161-X162</f>
        <v>7289.7875082927849</v>
      </c>
      <c r="Y164" s="766">
        <f t="shared" si="460"/>
        <v>40.08250277170464</v>
      </c>
      <c r="Z164" s="766">
        <f t="shared" si="460"/>
        <v>10914.640011053325</v>
      </c>
      <c r="AA164" s="766">
        <f t="shared" si="460"/>
        <v>-2214.6673655728328</v>
      </c>
      <c r="AB164" s="766">
        <f t="shared" si="460"/>
        <v>2768.9176147542403</v>
      </c>
      <c r="AC164" s="766">
        <f t="shared" si="460"/>
        <v>5844.1114630786633</v>
      </c>
      <c r="AD164" s="766">
        <f t="shared" si="460"/>
        <v>-306.27623357018456</v>
      </c>
      <c r="AE164" s="766">
        <f t="shared" si="460"/>
        <v>8919.3053114030863</v>
      </c>
      <c r="AF164" s="766">
        <f t="shared" ref="AF164:AK164" si="461">AF160+AF161-AF162</f>
        <v>-3381.4700818946094</v>
      </c>
      <c r="AG164" s="766">
        <f t="shared" si="461"/>
        <v>-542.03959967578339</v>
      </c>
      <c r="AH164" s="766">
        <f t="shared" si="461"/>
        <v>5191.3139202069924</v>
      </c>
      <c r="AI164" s="766">
        <f t="shared" si="461"/>
        <v>-6275.3931195585556</v>
      </c>
      <c r="AJ164" s="766">
        <f t="shared" si="461"/>
        <v>10924.667440089759</v>
      </c>
      <c r="AK164" s="766">
        <f t="shared" si="461"/>
        <v>-12008.746639441326</v>
      </c>
    </row>
    <row r="165" spans="2:37" x14ac:dyDescent="0.3">
      <c r="B165" s="62" t="s">
        <v>692</v>
      </c>
      <c r="C165" s="24"/>
      <c r="D165" s="289"/>
      <c r="E165" s="289"/>
      <c r="F165" s="289"/>
      <c r="G165" s="280" t="s">
        <v>567</v>
      </c>
      <c r="H165" s="767">
        <f>H163*((1+$B$4)^16)/(((1+$B$4)^16)-1)</f>
        <v>-12936.845283269249</v>
      </c>
      <c r="I165" s="767">
        <f t="shared" ref="I165:P165" si="462">I163*((1+$B$4)^16)/(((1+$B$4)^16)-1)</f>
        <v>-6099.5455378019778</v>
      </c>
      <c r="J165" s="767">
        <f t="shared" si="462"/>
        <v>-19774.145028736515</v>
      </c>
      <c r="K165" s="767">
        <f t="shared" si="462"/>
        <v>737.75420766528248</v>
      </c>
      <c r="L165" s="767">
        <f t="shared" si="462"/>
        <v>-26611.444774203781</v>
      </c>
      <c r="M165" s="767">
        <f t="shared" si="462"/>
        <v>-1947.255733811018</v>
      </c>
      <c r="N165" s="767">
        <f t="shared" si="462"/>
        <v>8009.1573684731857</v>
      </c>
      <c r="O165" s="767">
        <f t="shared" si="462"/>
        <v>-11903.668836095232</v>
      </c>
      <c r="P165" s="767">
        <f t="shared" si="462"/>
        <v>17965.570470757408</v>
      </c>
      <c r="Q165" s="767">
        <f t="shared" ref="Q165:W165" si="463">Q163*((1+$B$4)^16)/(((1+$B$4)^16)-1)</f>
        <v>-21860.081938379444</v>
      </c>
      <c r="R165" s="290">
        <f t="shared" si="463"/>
        <v>-9002.0221293212362</v>
      </c>
      <c r="S165" s="290">
        <f t="shared" si="463"/>
        <v>6691.7740099114762</v>
      </c>
      <c r="T165" s="290">
        <f t="shared" si="463"/>
        <v>-24695.818268553958</v>
      </c>
      <c r="U165" s="290">
        <f t="shared" si="463"/>
        <v>22385.570149144209</v>
      </c>
      <c r="V165" s="290">
        <f t="shared" si="463"/>
        <v>-40389.614407786685</v>
      </c>
      <c r="W165" s="290">
        <f t="shared" si="463"/>
        <v>2031.454086665959</v>
      </c>
      <c r="X165" s="290">
        <f t="shared" ref="X165:AK165" si="464">X163*((1+$B$4)^16)/(((1+$B$4)^16)-1)</f>
        <v>11650.706960229181</v>
      </c>
      <c r="Y165" s="290">
        <f t="shared" si="464"/>
        <v>-7587.798786897265</v>
      </c>
      <c r="Z165" s="290">
        <f t="shared" si="464"/>
        <v>21269.959833792407</v>
      </c>
      <c r="AA165" s="290">
        <f t="shared" si="464"/>
        <v>-17207.051660460489</v>
      </c>
      <c r="AB165" s="290">
        <f t="shared" si="464"/>
        <v>-3982.1372381081856</v>
      </c>
      <c r="AC165" s="290">
        <f t="shared" si="464"/>
        <v>4178.4892259288836</v>
      </c>
      <c r="AD165" s="290">
        <f t="shared" si="464"/>
        <v>-12142.763702145254</v>
      </c>
      <c r="AE165" s="290">
        <f t="shared" si="464"/>
        <v>12339.115689965955</v>
      </c>
      <c r="AF165" s="290">
        <f t="shared" si="464"/>
        <v>-20303.390166182326</v>
      </c>
      <c r="AG165" s="290">
        <f t="shared" si="464"/>
        <v>-12768.407762190485</v>
      </c>
      <c r="AH165" s="290">
        <f t="shared" si="464"/>
        <v>2446.1636663809632</v>
      </c>
      <c r="AI165" s="290">
        <f t="shared" si="464"/>
        <v>-27982.979190761918</v>
      </c>
      <c r="AJ165" s="290">
        <f t="shared" si="464"/>
        <v>17660.735094952386</v>
      </c>
      <c r="AK165" s="290">
        <f t="shared" si="464"/>
        <v>-43197.550619333357</v>
      </c>
    </row>
    <row r="166" spans="2:37" x14ac:dyDescent="0.3">
      <c r="B166" s="41" t="s">
        <v>693</v>
      </c>
      <c r="C166" s="24"/>
      <c r="D166" s="149"/>
      <c r="E166" s="149"/>
      <c r="F166" s="149"/>
      <c r="G166" s="285" t="s">
        <v>567</v>
      </c>
      <c r="H166" s="768">
        <f>H164*((1+$B$4)^16)/(((1+$B$4)^16)-1)</f>
        <v>-1606.8452832692442</v>
      </c>
      <c r="I166" s="768">
        <f t="shared" ref="I166:Q166" si="465">I164*((1+$B$4)^16)/(((1+$B$4)^16)-1)</f>
        <v>5230.4544621980303</v>
      </c>
      <c r="J166" s="768">
        <f t="shared" si="465"/>
        <v>-8444.1450287365096</v>
      </c>
      <c r="K166" s="768">
        <f t="shared" si="465"/>
        <v>12067.75420766529</v>
      </c>
      <c r="L166" s="768">
        <f t="shared" si="465"/>
        <v>-15281.444774203774</v>
      </c>
      <c r="M166" s="768">
        <f t="shared" si="465"/>
        <v>9382.7442661889872</v>
      </c>
      <c r="N166" s="768">
        <f t="shared" si="465"/>
        <v>19339.157368473196</v>
      </c>
      <c r="O166" s="768">
        <f t="shared" si="465"/>
        <v>-573.66883609522426</v>
      </c>
      <c r="P166" s="768">
        <f t="shared" si="465"/>
        <v>29295.570470757422</v>
      </c>
      <c r="Q166" s="768">
        <f t="shared" si="465"/>
        <v>-10530.081938379435</v>
      </c>
      <c r="R166" s="768">
        <f t="shared" ref="R166:W166" si="466">R164*((1+$B$4)^16)/(((1+$B$4)^16)-1)</f>
        <v>2327.9778706787715</v>
      </c>
      <c r="S166" s="768">
        <f t="shared" si="466"/>
        <v>18021.774009911482</v>
      </c>
      <c r="T166" s="768">
        <f t="shared" si="466"/>
        <v>-13365.81826855395</v>
      </c>
      <c r="U166" s="768">
        <f t="shared" si="466"/>
        <v>33715.570149144216</v>
      </c>
      <c r="V166" s="768">
        <f t="shared" si="466"/>
        <v>-29059.614407786677</v>
      </c>
      <c r="W166" s="768">
        <f t="shared" si="466"/>
        <v>9725.619609774616</v>
      </c>
      <c r="X166" s="768">
        <f t="shared" ref="X166:AK166" si="467">X164*((1+$B$4)^16)/(((1+$B$4)^16)-1)</f>
        <v>19344.872483337836</v>
      </c>
      <c r="Y166" s="768">
        <f t="shared" si="467"/>
        <v>106.36673621138959</v>
      </c>
      <c r="Z166" s="768">
        <f t="shared" si="467"/>
        <v>28964.125356901062</v>
      </c>
      <c r="AA166" s="768">
        <f t="shared" si="467"/>
        <v>-5877.0516604604818</v>
      </c>
      <c r="AB166" s="768">
        <f t="shared" si="467"/>
        <v>7347.8627618918254</v>
      </c>
      <c r="AC166" s="768">
        <f t="shared" si="467"/>
        <v>15508.48922592889</v>
      </c>
      <c r="AD166" s="768">
        <f t="shared" si="467"/>
        <v>-812.76370214524661</v>
      </c>
      <c r="AE166" s="768">
        <f t="shared" si="467"/>
        <v>23669.115689965958</v>
      </c>
      <c r="AF166" s="768">
        <f t="shared" si="467"/>
        <v>-8973.3901661823184</v>
      </c>
      <c r="AG166" s="768">
        <f t="shared" si="467"/>
        <v>-1438.4077621904773</v>
      </c>
      <c r="AH166" s="768">
        <f t="shared" si="467"/>
        <v>13776.163666380971</v>
      </c>
      <c r="AI166" s="768">
        <f t="shared" si="467"/>
        <v>-16652.979190761915</v>
      </c>
      <c r="AJ166" s="768">
        <f t="shared" si="467"/>
        <v>28990.735094952393</v>
      </c>
      <c r="AK166" s="768">
        <f t="shared" si="467"/>
        <v>-31867.550619333353</v>
      </c>
    </row>
    <row r="167" spans="2:37" x14ac:dyDescent="0.3">
      <c r="B167" s="62" t="s">
        <v>694</v>
      </c>
      <c r="C167" s="265"/>
      <c r="D167" s="289"/>
      <c r="E167" s="289"/>
      <c r="F167" s="289"/>
      <c r="G167" s="280" t="s">
        <v>584</v>
      </c>
      <c r="H167" s="767">
        <f>H165*$B$4</f>
        <v>-388.10535849807746</v>
      </c>
      <c r="I167" s="767">
        <f t="shared" ref="I167:Q167" si="468">I165*$B$4</f>
        <v>-182.98636613405932</v>
      </c>
      <c r="J167" s="767">
        <f t="shared" si="468"/>
        <v>-593.22435086209543</v>
      </c>
      <c r="K167" s="767">
        <f t="shared" si="468"/>
        <v>22.132626229958472</v>
      </c>
      <c r="L167" s="767">
        <f t="shared" si="468"/>
        <v>-798.34334322611335</v>
      </c>
      <c r="M167" s="767">
        <f t="shared" si="468"/>
        <v>-58.417672014330535</v>
      </c>
      <c r="N167" s="767">
        <f t="shared" si="468"/>
        <v>240.27472105419557</v>
      </c>
      <c r="O167" s="767">
        <f t="shared" si="468"/>
        <v>-357.11006508285698</v>
      </c>
      <c r="P167" s="767">
        <f t="shared" si="468"/>
        <v>538.96711412272225</v>
      </c>
      <c r="Q167" s="767">
        <f t="shared" si="468"/>
        <v>-655.80245815138335</v>
      </c>
      <c r="R167" s="767">
        <f t="shared" ref="R167:W167" si="469">R165*$B$4</f>
        <v>-270.0606638796371</v>
      </c>
      <c r="S167" s="767">
        <f t="shared" si="469"/>
        <v>200.75322029734428</v>
      </c>
      <c r="T167" s="767">
        <f t="shared" si="469"/>
        <v>-740.87454805661866</v>
      </c>
      <c r="U167" s="767">
        <f t="shared" si="469"/>
        <v>671.56710447432624</v>
      </c>
      <c r="V167" s="767">
        <f t="shared" si="469"/>
        <v>-1211.6884322336005</v>
      </c>
      <c r="W167" s="767">
        <f t="shared" si="469"/>
        <v>60.943622599978767</v>
      </c>
      <c r="X167" s="767">
        <f t="shared" ref="X167:AK167" si="470">X165*$B$4</f>
        <v>349.52120880687545</v>
      </c>
      <c r="Y167" s="767">
        <f t="shared" si="470"/>
        <v>-227.63396360691794</v>
      </c>
      <c r="Z167" s="767">
        <f t="shared" si="470"/>
        <v>638.09879501377225</v>
      </c>
      <c r="AA167" s="767">
        <f t="shared" si="470"/>
        <v>-516.2115498138146</v>
      </c>
      <c r="AB167" s="767">
        <f t="shared" si="470"/>
        <v>-119.46411714324556</v>
      </c>
      <c r="AC167" s="767">
        <f t="shared" si="470"/>
        <v>125.3546767778665</v>
      </c>
      <c r="AD167" s="767">
        <f t="shared" si="470"/>
        <v>-364.28291106435762</v>
      </c>
      <c r="AE167" s="767">
        <f t="shared" si="470"/>
        <v>370.17347069897863</v>
      </c>
      <c r="AF167" s="767">
        <f t="shared" si="470"/>
        <v>-609.10170498546972</v>
      </c>
      <c r="AG167" s="767">
        <f t="shared" si="470"/>
        <v>-383.05223286571453</v>
      </c>
      <c r="AH167" s="767">
        <f t="shared" si="470"/>
        <v>73.384909991428898</v>
      </c>
      <c r="AI167" s="767">
        <f t="shared" si="470"/>
        <v>-839.48937572285752</v>
      </c>
      <c r="AJ167" s="767">
        <f t="shared" si="470"/>
        <v>529.82205284857162</v>
      </c>
      <c r="AK167" s="767">
        <f t="shared" si="470"/>
        <v>-1295.9265185800007</v>
      </c>
    </row>
    <row r="168" spans="2:37" x14ac:dyDescent="0.3">
      <c r="B168" s="46" t="s">
        <v>695</v>
      </c>
      <c r="C168" s="291"/>
      <c r="D168" s="292"/>
      <c r="E168" s="292"/>
      <c r="F168" s="292"/>
      <c r="G168" s="285" t="s">
        <v>584</v>
      </c>
      <c r="H168" s="768">
        <f>H166*$B$4</f>
        <v>-48.205358498077324</v>
      </c>
      <c r="I168" s="768">
        <f t="shared" ref="I168:Q168" si="471">I166*$B$4</f>
        <v>156.91363386594091</v>
      </c>
      <c r="J168" s="768">
        <f t="shared" si="471"/>
        <v>-253.32435086209529</v>
      </c>
      <c r="K168" s="768">
        <f t="shared" si="471"/>
        <v>362.03262622995868</v>
      </c>
      <c r="L168" s="768">
        <f t="shared" si="471"/>
        <v>-458.4433432261132</v>
      </c>
      <c r="M168" s="768">
        <f t="shared" si="471"/>
        <v>281.4823279856696</v>
      </c>
      <c r="N168" s="768">
        <f t="shared" si="471"/>
        <v>580.17472105419586</v>
      </c>
      <c r="O168" s="768">
        <f t="shared" si="471"/>
        <v>-17.210065082856726</v>
      </c>
      <c r="P168" s="768">
        <f t="shared" si="471"/>
        <v>878.86711412272268</v>
      </c>
      <c r="Q168" s="768">
        <f t="shared" si="471"/>
        <v>-315.90245815138303</v>
      </c>
      <c r="R168" s="768">
        <f t="shared" ref="R168:W168" si="472">R166*$B$4</f>
        <v>69.839336120363143</v>
      </c>
      <c r="S168" s="768">
        <f t="shared" si="472"/>
        <v>540.65322029734443</v>
      </c>
      <c r="T168" s="768">
        <f t="shared" si="472"/>
        <v>-400.97454805661852</v>
      </c>
      <c r="U168" s="768">
        <f t="shared" si="472"/>
        <v>1011.4671044743264</v>
      </c>
      <c r="V168" s="768">
        <f t="shared" si="472"/>
        <v>-871.78843223360025</v>
      </c>
      <c r="W168" s="768">
        <f t="shared" si="472"/>
        <v>291.76858829323845</v>
      </c>
      <c r="X168" s="768">
        <f t="shared" ref="X168:AK168" si="473">X166*$B$4</f>
        <v>580.34617450013502</v>
      </c>
      <c r="Y168" s="768">
        <f t="shared" si="473"/>
        <v>3.1910020863416877</v>
      </c>
      <c r="Z168" s="768">
        <f t="shared" si="473"/>
        <v>868.92376070703187</v>
      </c>
      <c r="AA168" s="768">
        <f t="shared" si="473"/>
        <v>-176.31154981381445</v>
      </c>
      <c r="AB168" s="768">
        <f t="shared" si="473"/>
        <v>220.43588285675474</v>
      </c>
      <c r="AC168" s="768">
        <f t="shared" si="473"/>
        <v>465.25467677786668</v>
      </c>
      <c r="AD168" s="768">
        <f t="shared" si="473"/>
        <v>-24.382911064357398</v>
      </c>
      <c r="AE168" s="768">
        <f t="shared" si="473"/>
        <v>710.07347069897867</v>
      </c>
      <c r="AF168" s="768">
        <f t="shared" si="473"/>
        <v>-269.20170498546952</v>
      </c>
      <c r="AG168" s="768">
        <f t="shared" si="473"/>
        <v>-43.152232865714318</v>
      </c>
      <c r="AH168" s="768">
        <f t="shared" si="473"/>
        <v>413.28490999142912</v>
      </c>
      <c r="AI168" s="768">
        <f t="shared" si="473"/>
        <v>-499.58937572285743</v>
      </c>
      <c r="AJ168" s="768">
        <f t="shared" si="473"/>
        <v>869.72205284857182</v>
      </c>
      <c r="AK168" s="768">
        <f t="shared" si="473"/>
        <v>-956.02651858000058</v>
      </c>
    </row>
  </sheetData>
  <mergeCells count="47">
    <mergeCell ref="B2:D2"/>
    <mergeCell ref="E9:G9"/>
    <mergeCell ref="J9:K9"/>
    <mergeCell ref="N9:R9"/>
    <mergeCell ref="S9:W9"/>
    <mergeCell ref="BO9:BS9"/>
    <mergeCell ref="BJ9:BN9"/>
    <mergeCell ref="AC9:AE9"/>
    <mergeCell ref="AH9:AI9"/>
    <mergeCell ref="AL9:AP9"/>
    <mergeCell ref="AQ9:AU9"/>
    <mergeCell ref="BJ35:BN35"/>
    <mergeCell ref="BO35:BS35"/>
    <mergeCell ref="BJ85:BN85"/>
    <mergeCell ref="E85:G85"/>
    <mergeCell ref="J85:K85"/>
    <mergeCell ref="AH35:AI35"/>
    <mergeCell ref="AL35:AP35"/>
    <mergeCell ref="AQ35:AU35"/>
    <mergeCell ref="BA35:BC35"/>
    <mergeCell ref="BF35:BG35"/>
    <mergeCell ref="E35:G35"/>
    <mergeCell ref="J35:K35"/>
    <mergeCell ref="N35:R35"/>
    <mergeCell ref="S35:W35"/>
    <mergeCell ref="AC35:AE35"/>
    <mergeCell ref="N85:R85"/>
    <mergeCell ref="S85:W85"/>
    <mergeCell ref="AC85:AE85"/>
    <mergeCell ref="AH85:AI85"/>
    <mergeCell ref="AL85:AP85"/>
    <mergeCell ref="AQ85:AU85"/>
    <mergeCell ref="BA85:BC85"/>
    <mergeCell ref="BF85:BG85"/>
    <mergeCell ref="BJ110:BN110"/>
    <mergeCell ref="BO110:BS110"/>
    <mergeCell ref="BO85:BS85"/>
    <mergeCell ref="AH110:AI110"/>
    <mergeCell ref="AL110:AP110"/>
    <mergeCell ref="AQ110:AU110"/>
    <mergeCell ref="BA110:BC110"/>
    <mergeCell ref="BF110:BG110"/>
    <mergeCell ref="E110:G110"/>
    <mergeCell ref="J110:K110"/>
    <mergeCell ref="N110:R110"/>
    <mergeCell ref="S110:W110"/>
    <mergeCell ref="AC110:AE110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DY168"/>
  <sheetViews>
    <sheetView topLeftCell="E10" workbookViewId="0">
      <selection activeCell="E10" sqref="E10"/>
    </sheetView>
  </sheetViews>
  <sheetFormatPr defaultColWidth="9" defaultRowHeight="14" x14ac:dyDescent="0.3"/>
  <sheetData>
    <row r="2" spans="1:119" x14ac:dyDescent="0.3">
      <c r="B2" s="1113" t="s">
        <v>340</v>
      </c>
      <c r="C2" s="1114"/>
      <c r="D2" s="1115"/>
    </row>
    <row r="4" spans="1:119" x14ac:dyDescent="0.3">
      <c r="A4" t="s">
        <v>409</v>
      </c>
      <c r="B4" s="266">
        <f>'Arable Inputs'!D9</f>
        <v>0.03</v>
      </c>
    </row>
    <row r="8" spans="1:119" x14ac:dyDescent="0.3">
      <c r="B8" s="227" t="s">
        <v>93</v>
      </c>
      <c r="C8" s="775" t="s">
        <v>408</v>
      </c>
      <c r="D8" s="269" t="s">
        <v>395</v>
      </c>
      <c r="E8" s="906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Z8" s="227" t="s">
        <v>93</v>
      </c>
      <c r="AA8" s="211" t="s">
        <v>318</v>
      </c>
      <c r="AB8" s="905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X8" s="227" t="s">
        <v>93</v>
      </c>
      <c r="AY8" s="211" t="s">
        <v>319</v>
      </c>
      <c r="AZ8" s="905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V8" s="227" t="s">
        <v>93</v>
      </c>
      <c r="BW8" s="211" t="s">
        <v>320</v>
      </c>
      <c r="BX8" s="905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T8" s="227" t="s">
        <v>93</v>
      </c>
      <c r="CU8" s="211" t="s">
        <v>321</v>
      </c>
      <c r="CV8" s="905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108"/>
      <c r="F9" s="1108"/>
      <c r="G9" s="1108"/>
      <c r="H9" s="148"/>
      <c r="I9" s="931"/>
      <c r="J9" s="1108"/>
      <c r="K9" s="1108"/>
      <c r="L9" s="148"/>
      <c r="M9" s="148"/>
      <c r="N9" s="1109" t="s">
        <v>270</v>
      </c>
      <c r="O9" s="1110"/>
      <c r="P9" s="1110"/>
      <c r="Q9" s="1110"/>
      <c r="R9" s="1111"/>
      <c r="S9" s="1109" t="s">
        <v>271</v>
      </c>
      <c r="T9" s="1110"/>
      <c r="U9" s="1110"/>
      <c r="V9" s="1110"/>
      <c r="W9" s="1111"/>
      <c r="Z9" s="203"/>
      <c r="AA9" s="148"/>
      <c r="AB9" s="148"/>
      <c r="AC9" s="992"/>
      <c r="AD9" s="992"/>
      <c r="AE9" s="992"/>
      <c r="AF9" s="148"/>
      <c r="AG9" s="931"/>
      <c r="AH9" s="992"/>
      <c r="AI9" s="992"/>
      <c r="AJ9" s="148"/>
      <c r="AK9" s="148"/>
      <c r="AL9" s="993" t="s">
        <v>303</v>
      </c>
      <c r="AM9" s="994"/>
      <c r="AN9" s="994"/>
      <c r="AO9" s="994"/>
      <c r="AP9" s="995"/>
      <c r="AQ9" s="993" t="s">
        <v>271</v>
      </c>
      <c r="AR9" s="994"/>
      <c r="AS9" s="994"/>
      <c r="AT9" s="994"/>
      <c r="AU9" s="995"/>
      <c r="AX9" s="203"/>
      <c r="AY9" s="148"/>
      <c r="AZ9" s="148"/>
      <c r="BA9" s="992"/>
      <c r="BB9" s="992"/>
      <c r="BC9" s="992"/>
      <c r="BD9" s="148"/>
      <c r="BE9" s="931"/>
      <c r="BF9" s="992"/>
      <c r="BG9" s="992"/>
      <c r="BH9" s="148"/>
      <c r="BI9" s="148"/>
      <c r="BJ9" s="993" t="s">
        <v>303</v>
      </c>
      <c r="BK9" s="994"/>
      <c r="BL9" s="994"/>
      <c r="BM9" s="994"/>
      <c r="BN9" s="995"/>
      <c r="BO9" s="993" t="s">
        <v>271</v>
      </c>
      <c r="BP9" s="994"/>
      <c r="BQ9" s="994"/>
      <c r="BR9" s="994"/>
      <c r="BS9" s="995"/>
      <c r="BT9" s="1001"/>
      <c r="BV9" s="203"/>
      <c r="BW9" s="148"/>
      <c r="BX9" s="148"/>
      <c r="BY9" s="992"/>
      <c r="BZ9" s="992"/>
      <c r="CA9" s="992"/>
      <c r="CB9" s="148"/>
      <c r="CC9" s="931"/>
      <c r="CD9" s="992"/>
      <c r="CE9" s="992"/>
      <c r="CF9" s="148"/>
      <c r="CG9" s="148"/>
      <c r="CH9" s="993" t="s">
        <v>270</v>
      </c>
      <c r="CI9" s="994"/>
      <c r="CJ9" s="994"/>
      <c r="CK9" s="994"/>
      <c r="CL9" s="995"/>
      <c r="CM9" s="993" t="s">
        <v>271</v>
      </c>
      <c r="CN9" s="994"/>
      <c r="CO9" s="994"/>
      <c r="CP9" s="994"/>
      <c r="CQ9" s="995"/>
      <c r="CR9" s="1001"/>
      <c r="CT9" s="203"/>
      <c r="CU9" s="148"/>
      <c r="CV9" s="148"/>
      <c r="CW9" s="992"/>
      <c r="CX9" s="992"/>
      <c r="CY9" s="992"/>
      <c r="CZ9" s="148"/>
      <c r="DA9" s="931"/>
      <c r="DB9" s="992"/>
      <c r="DC9" s="992"/>
      <c r="DD9" s="148"/>
      <c r="DE9" s="148"/>
      <c r="DF9" s="993" t="s">
        <v>270</v>
      </c>
      <c r="DG9" s="994"/>
      <c r="DH9" s="994"/>
      <c r="DI9" s="994"/>
      <c r="DJ9" s="995"/>
      <c r="DK9" s="993" t="s">
        <v>271</v>
      </c>
      <c r="DL9" s="994"/>
      <c r="DM9" s="994"/>
      <c r="DN9" s="994"/>
      <c r="DO9" s="995"/>
    </row>
    <row r="10" spans="1:119" ht="51" x14ac:dyDescent="0.3">
      <c r="B10" s="204" t="s">
        <v>272</v>
      </c>
      <c r="C10" s="205" t="s">
        <v>289</v>
      </c>
      <c r="D10" s="205" t="s">
        <v>290</v>
      </c>
      <c r="E10" s="171" t="s">
        <v>676</v>
      </c>
      <c r="F10" s="171" t="s">
        <v>672</v>
      </c>
      <c r="G10" s="171" t="s">
        <v>677</v>
      </c>
      <c r="H10" s="205" t="s">
        <v>287</v>
      </c>
      <c r="I10" s="935" t="str">
        <f>'Energy NPV'!U63</f>
        <v>Total Recurring Costs</v>
      </c>
      <c r="J10" s="205" t="s">
        <v>291</v>
      </c>
      <c r="K10" s="171" t="s">
        <v>276</v>
      </c>
      <c r="L10" s="171" t="s">
        <v>678</v>
      </c>
      <c r="M10" s="171" t="s">
        <v>679</v>
      </c>
      <c r="N10" s="195" t="s">
        <v>277</v>
      </c>
      <c r="O10" s="171" t="s">
        <v>680</v>
      </c>
      <c r="P10" s="171" t="s">
        <v>278</v>
      </c>
      <c r="Q10" s="171" t="s">
        <v>681</v>
      </c>
      <c r="R10" s="198" t="s">
        <v>279</v>
      </c>
      <c r="S10" s="195" t="s">
        <v>280</v>
      </c>
      <c r="T10" s="171" t="s">
        <v>682</v>
      </c>
      <c r="U10" s="171" t="s">
        <v>281</v>
      </c>
      <c r="V10" s="171" t="s">
        <v>683</v>
      </c>
      <c r="W10" s="198" t="s">
        <v>282</v>
      </c>
      <c r="Z10" s="204" t="s">
        <v>272</v>
      </c>
      <c r="AA10" s="205" t="s">
        <v>289</v>
      </c>
      <c r="AB10" s="205" t="s">
        <v>290</v>
      </c>
      <c r="AC10" s="171" t="s">
        <v>676</v>
      </c>
      <c r="AD10" s="171" t="s">
        <v>672</v>
      </c>
      <c r="AE10" s="171" t="s">
        <v>677</v>
      </c>
      <c r="AF10" s="205" t="s">
        <v>287</v>
      </c>
      <c r="AG10" s="935" t="str">
        <f>'Energy NPV'!U63</f>
        <v>Total Recurring Costs</v>
      </c>
      <c r="AH10" s="205" t="s">
        <v>291</v>
      </c>
      <c r="AI10" s="171" t="s">
        <v>276</v>
      </c>
      <c r="AJ10" s="171" t="s">
        <v>678</v>
      </c>
      <c r="AK10" s="171" t="s">
        <v>679</v>
      </c>
      <c r="AL10" s="195" t="s">
        <v>277</v>
      </c>
      <c r="AM10" s="171" t="s">
        <v>680</v>
      </c>
      <c r="AN10" s="171" t="s">
        <v>278</v>
      </c>
      <c r="AO10" s="171" t="s">
        <v>681</v>
      </c>
      <c r="AP10" s="198" t="s">
        <v>279</v>
      </c>
      <c r="AQ10" s="195" t="s">
        <v>280</v>
      </c>
      <c r="AR10" s="171" t="s">
        <v>682</v>
      </c>
      <c r="AS10" s="171" t="s">
        <v>281</v>
      </c>
      <c r="AT10" s="171" t="s">
        <v>683</v>
      </c>
      <c r="AU10" s="198" t="s">
        <v>282</v>
      </c>
      <c r="AX10" s="204" t="s">
        <v>272</v>
      </c>
      <c r="AY10" s="205" t="s">
        <v>289</v>
      </c>
      <c r="AZ10" s="205" t="s">
        <v>290</v>
      </c>
      <c r="BA10" s="171" t="s">
        <v>676</v>
      </c>
      <c r="BB10" s="171" t="s">
        <v>672</v>
      </c>
      <c r="BC10" s="171" t="s">
        <v>677</v>
      </c>
      <c r="BD10" s="205" t="s">
        <v>287</v>
      </c>
      <c r="BE10" s="935" t="str">
        <f>'Energy NPV'!U63</f>
        <v>Total Recurring Costs</v>
      </c>
      <c r="BF10" s="205" t="s">
        <v>291</v>
      </c>
      <c r="BG10" s="171" t="s">
        <v>276</v>
      </c>
      <c r="BH10" s="171" t="s">
        <v>678</v>
      </c>
      <c r="BI10" s="171" t="s">
        <v>679</v>
      </c>
      <c r="BJ10" s="195" t="s">
        <v>277</v>
      </c>
      <c r="BK10" s="171" t="s">
        <v>680</v>
      </c>
      <c r="BL10" s="171" t="s">
        <v>278</v>
      </c>
      <c r="BM10" s="171" t="s">
        <v>681</v>
      </c>
      <c r="BN10" s="198" t="s">
        <v>279</v>
      </c>
      <c r="BO10" s="195" t="s">
        <v>280</v>
      </c>
      <c r="BP10" s="171" t="s">
        <v>682</v>
      </c>
      <c r="BQ10" s="171" t="s">
        <v>281</v>
      </c>
      <c r="BR10" s="171" t="s">
        <v>683</v>
      </c>
      <c r="BS10" s="198" t="s">
        <v>282</v>
      </c>
      <c r="BT10" s="171"/>
      <c r="BV10" s="204" t="s">
        <v>272</v>
      </c>
      <c r="BW10" s="205" t="s">
        <v>289</v>
      </c>
      <c r="BX10" s="205" t="s">
        <v>290</v>
      </c>
      <c r="BY10" s="171" t="s">
        <v>676</v>
      </c>
      <c r="BZ10" s="171" t="s">
        <v>672</v>
      </c>
      <c r="CA10" s="171" t="s">
        <v>677</v>
      </c>
      <c r="CB10" s="205" t="s">
        <v>287</v>
      </c>
      <c r="CC10" s="935" t="str">
        <f>'Energy NPV'!U63</f>
        <v>Total Recurring Costs</v>
      </c>
      <c r="CD10" s="205" t="s">
        <v>291</v>
      </c>
      <c r="CE10" s="171" t="s">
        <v>276</v>
      </c>
      <c r="CF10" s="171" t="s">
        <v>678</v>
      </c>
      <c r="CG10" s="171" t="s">
        <v>679</v>
      </c>
      <c r="CH10" s="195" t="s">
        <v>277</v>
      </c>
      <c r="CI10" s="171" t="s">
        <v>680</v>
      </c>
      <c r="CJ10" s="171" t="s">
        <v>278</v>
      </c>
      <c r="CK10" s="171" t="s">
        <v>681</v>
      </c>
      <c r="CL10" s="198" t="s">
        <v>279</v>
      </c>
      <c r="CM10" s="195" t="s">
        <v>280</v>
      </c>
      <c r="CN10" s="171" t="s">
        <v>682</v>
      </c>
      <c r="CO10" s="171" t="s">
        <v>281</v>
      </c>
      <c r="CP10" s="171" t="s">
        <v>683</v>
      </c>
      <c r="CQ10" s="198" t="s">
        <v>282</v>
      </c>
      <c r="CR10" s="171"/>
      <c r="CT10" s="204" t="s">
        <v>272</v>
      </c>
      <c r="CU10" s="205" t="s">
        <v>289</v>
      </c>
      <c r="CV10" s="205" t="s">
        <v>290</v>
      </c>
      <c r="CW10" s="171" t="s">
        <v>676</v>
      </c>
      <c r="CX10" s="171" t="s">
        <v>672</v>
      </c>
      <c r="CY10" s="171" t="s">
        <v>677</v>
      </c>
      <c r="CZ10" s="205" t="s">
        <v>287</v>
      </c>
      <c r="DA10" s="935" t="str">
        <f>'Energy NPV'!U63</f>
        <v>Total Recurring Costs</v>
      </c>
      <c r="DB10" s="205" t="s">
        <v>291</v>
      </c>
      <c r="DC10" s="171" t="s">
        <v>276</v>
      </c>
      <c r="DD10" s="171" t="s">
        <v>678</v>
      </c>
      <c r="DE10" s="171" t="s">
        <v>679</v>
      </c>
      <c r="DF10" s="195" t="s">
        <v>277</v>
      </c>
      <c r="DG10" s="171" t="s">
        <v>680</v>
      </c>
      <c r="DH10" s="171" t="s">
        <v>278</v>
      </c>
      <c r="DI10" s="171" t="s">
        <v>681</v>
      </c>
      <c r="DJ10" s="198" t="s">
        <v>279</v>
      </c>
      <c r="DK10" s="195" t="s">
        <v>280</v>
      </c>
      <c r="DL10" s="171" t="s">
        <v>682</v>
      </c>
      <c r="DM10" s="171" t="s">
        <v>281</v>
      </c>
      <c r="DN10" s="171" t="s">
        <v>683</v>
      </c>
      <c r="DO10" s="198" t="s">
        <v>282</v>
      </c>
    </row>
    <row r="11" spans="1:119" x14ac:dyDescent="0.3">
      <c r="B11" s="173"/>
      <c r="C11" s="226" t="s">
        <v>332</v>
      </c>
      <c r="D11" s="226" t="s">
        <v>569</v>
      </c>
      <c r="E11" s="201" t="s">
        <v>567</v>
      </c>
      <c r="F11" s="201" t="s">
        <v>567</v>
      </c>
      <c r="G11" s="201" t="s">
        <v>567</v>
      </c>
      <c r="H11" s="201" t="s">
        <v>567</v>
      </c>
      <c r="I11" s="969" t="str">
        <f>'Energy NPV'!U64</f>
        <v>(€ ha-1)</v>
      </c>
      <c r="J11" s="201" t="s">
        <v>567</v>
      </c>
      <c r="K11" s="201" t="s">
        <v>567</v>
      </c>
      <c r="L11" s="201" t="s">
        <v>567</v>
      </c>
      <c r="M11" s="202" t="s">
        <v>567</v>
      </c>
      <c r="N11" s="201" t="s">
        <v>567</v>
      </c>
      <c r="O11" s="201" t="s">
        <v>567</v>
      </c>
      <c r="P11" s="201" t="s">
        <v>567</v>
      </c>
      <c r="Q11" s="201" t="s">
        <v>567</v>
      </c>
      <c r="R11" s="202" t="s">
        <v>567</v>
      </c>
      <c r="S11" s="201" t="s">
        <v>567</v>
      </c>
      <c r="T11" s="201" t="s">
        <v>567</v>
      </c>
      <c r="U11" s="201" t="s">
        <v>567</v>
      </c>
      <c r="V11" s="201" t="s">
        <v>567</v>
      </c>
      <c r="W11" s="202" t="s">
        <v>567</v>
      </c>
      <c r="Z11" s="173"/>
      <c r="AA11" s="226" t="s">
        <v>332</v>
      </c>
      <c r="AB11" s="226" t="s">
        <v>569</v>
      </c>
      <c r="AC11" s="201" t="s">
        <v>567</v>
      </c>
      <c r="AD11" s="201" t="s">
        <v>567</v>
      </c>
      <c r="AE11" s="201" t="s">
        <v>567</v>
      </c>
      <c r="AF11" s="201" t="s">
        <v>567</v>
      </c>
      <c r="AG11" s="969" t="str">
        <f>'Energy NPV'!U64</f>
        <v>(€ ha-1)</v>
      </c>
      <c r="AH11" s="201" t="s">
        <v>567</v>
      </c>
      <c r="AI11" s="201" t="s">
        <v>567</v>
      </c>
      <c r="AJ11" s="201" t="s">
        <v>567</v>
      </c>
      <c r="AK11" s="202" t="s">
        <v>567</v>
      </c>
      <c r="AL11" s="201" t="s">
        <v>567</v>
      </c>
      <c r="AM11" s="201" t="s">
        <v>567</v>
      </c>
      <c r="AN11" s="201" t="s">
        <v>567</v>
      </c>
      <c r="AO11" s="201" t="s">
        <v>567</v>
      </c>
      <c r="AP11" s="202" t="s">
        <v>567</v>
      </c>
      <c r="AQ11" s="201" t="s">
        <v>567</v>
      </c>
      <c r="AR11" s="201" t="s">
        <v>567</v>
      </c>
      <c r="AS11" s="201" t="s">
        <v>567</v>
      </c>
      <c r="AT11" s="201" t="s">
        <v>567</v>
      </c>
      <c r="AU11" s="202" t="s">
        <v>567</v>
      </c>
      <c r="AX11" s="173"/>
      <c r="AY11" s="226" t="s">
        <v>332</v>
      </c>
      <c r="AZ11" s="226" t="s">
        <v>569</v>
      </c>
      <c r="BA11" s="201" t="s">
        <v>567</v>
      </c>
      <c r="BB11" s="201" t="s">
        <v>567</v>
      </c>
      <c r="BC11" s="201" t="s">
        <v>567</v>
      </c>
      <c r="BD11" s="201" t="s">
        <v>567</v>
      </c>
      <c r="BE11" s="969" t="str">
        <f>'Energy NPV'!U64</f>
        <v>(€ ha-1)</v>
      </c>
      <c r="BF11" s="201" t="s">
        <v>567</v>
      </c>
      <c r="BG11" s="201" t="s">
        <v>567</v>
      </c>
      <c r="BH11" s="201" t="s">
        <v>567</v>
      </c>
      <c r="BI11" s="202" t="s">
        <v>567</v>
      </c>
      <c r="BJ11" s="201" t="s">
        <v>567</v>
      </c>
      <c r="BK11" s="201" t="s">
        <v>567</v>
      </c>
      <c r="BL11" s="201" t="s">
        <v>567</v>
      </c>
      <c r="BM11" s="201" t="s">
        <v>567</v>
      </c>
      <c r="BN11" s="202" t="s">
        <v>567</v>
      </c>
      <c r="BO11" s="201" t="s">
        <v>567</v>
      </c>
      <c r="BP11" s="201" t="s">
        <v>567</v>
      </c>
      <c r="BQ11" s="201" t="s">
        <v>567</v>
      </c>
      <c r="BR11" s="201" t="s">
        <v>567</v>
      </c>
      <c r="BS11" s="202" t="s">
        <v>567</v>
      </c>
      <c r="BT11" s="1002"/>
      <c r="BV11" s="173"/>
      <c r="BW11" s="226" t="s">
        <v>332</v>
      </c>
      <c r="BX11" s="226" t="s">
        <v>569</v>
      </c>
      <c r="BY11" s="201" t="s">
        <v>567</v>
      </c>
      <c r="BZ11" s="201" t="s">
        <v>567</v>
      </c>
      <c r="CA11" s="201" t="s">
        <v>567</v>
      </c>
      <c r="CB11" s="201" t="s">
        <v>567</v>
      </c>
      <c r="CC11" s="969" t="str">
        <f>'Energy NPV'!U64</f>
        <v>(€ ha-1)</v>
      </c>
      <c r="CD11" s="201" t="s">
        <v>567</v>
      </c>
      <c r="CE11" s="201" t="s">
        <v>567</v>
      </c>
      <c r="CF11" s="201" t="s">
        <v>567</v>
      </c>
      <c r="CG11" s="202" t="s">
        <v>567</v>
      </c>
      <c r="CH11" s="201" t="s">
        <v>567</v>
      </c>
      <c r="CI11" s="201" t="s">
        <v>567</v>
      </c>
      <c r="CJ11" s="201" t="s">
        <v>567</v>
      </c>
      <c r="CK11" s="201" t="s">
        <v>567</v>
      </c>
      <c r="CL11" s="202" t="s">
        <v>567</v>
      </c>
      <c r="CM11" s="201" t="s">
        <v>567</v>
      </c>
      <c r="CN11" s="201" t="s">
        <v>567</v>
      </c>
      <c r="CO11" s="201" t="s">
        <v>567</v>
      </c>
      <c r="CP11" s="201" t="s">
        <v>567</v>
      </c>
      <c r="CQ11" s="202" t="s">
        <v>567</v>
      </c>
      <c r="CR11" s="1002"/>
      <c r="CT11" s="173"/>
      <c r="CU11" s="226" t="s">
        <v>332</v>
      </c>
      <c r="CV11" s="226" t="s">
        <v>569</v>
      </c>
      <c r="CW11" s="201" t="s">
        <v>567</v>
      </c>
      <c r="CX11" s="201" t="s">
        <v>567</v>
      </c>
      <c r="CY11" s="201" t="s">
        <v>567</v>
      </c>
      <c r="CZ11" s="201" t="s">
        <v>567</v>
      </c>
      <c r="DA11" s="969" t="str">
        <f>'Energy NPV'!U64</f>
        <v>(€ ha-1)</v>
      </c>
      <c r="DB11" s="201" t="s">
        <v>567</v>
      </c>
      <c r="DC11" s="201" t="s">
        <v>567</v>
      </c>
      <c r="DD11" s="201" t="s">
        <v>567</v>
      </c>
      <c r="DE11" s="202" t="s">
        <v>567</v>
      </c>
      <c r="DF11" s="201" t="s">
        <v>567</v>
      </c>
      <c r="DG11" s="201" t="s">
        <v>567</v>
      </c>
      <c r="DH11" s="201" t="s">
        <v>567</v>
      </c>
      <c r="DI11" s="201" t="s">
        <v>567</v>
      </c>
      <c r="DJ11" s="202" t="s">
        <v>567</v>
      </c>
      <c r="DK11" s="201" t="s">
        <v>567</v>
      </c>
      <c r="DL11" s="201" t="s">
        <v>567</v>
      </c>
      <c r="DM11" s="201" t="s">
        <v>567</v>
      </c>
      <c r="DN11" s="201" t="s">
        <v>567</v>
      </c>
      <c r="DO11" s="202" t="s">
        <v>567</v>
      </c>
    </row>
    <row r="12" spans="1:119" x14ac:dyDescent="0.3">
      <c r="B12" s="204">
        <v>1</v>
      </c>
      <c r="C12" s="197">
        <f>'Energy NPV'!$D65*$E$8</f>
        <v>1.761785888496743</v>
      </c>
      <c r="D12" s="197">
        <f>'Energy margins'!$S$12</f>
        <v>43.75</v>
      </c>
      <c r="E12" s="197">
        <f>C12*D12</f>
        <v>77.078132621732507</v>
      </c>
      <c r="F12" s="197">
        <f>'Margins summary'!$U$14</f>
        <v>330</v>
      </c>
      <c r="G12" s="197">
        <f>E12+F12</f>
        <v>407.07813262173249</v>
      </c>
      <c r="H12" s="197">
        <f>'Margins summary'!$T$20</f>
        <v>5743.7583439999999</v>
      </c>
      <c r="I12" s="918">
        <f>'Energy NPV'!U65</f>
        <v>112.99999999999999</v>
      </c>
      <c r="J12" s="197"/>
      <c r="K12" s="197">
        <f>H12+I12+J12</f>
        <v>5856.7583439999999</v>
      </c>
      <c r="L12" s="197">
        <f t="shared" ref="L12:L27" si="0">E12-K12</f>
        <v>-5779.6802113782669</v>
      </c>
      <c r="M12" s="197">
        <f t="shared" ref="M12:M27" si="1">G12-K12</f>
        <v>-5449.6802113782669</v>
      </c>
      <c r="N12" s="1033">
        <f>E12/((1+$B$4)^(B12-1))</f>
        <v>77.078132621732507</v>
      </c>
      <c r="O12" s="213">
        <f>F12/((1+$B$4)^(B12-1))</f>
        <v>330</v>
      </c>
      <c r="P12" s="213">
        <f>K12/((1+$B$4)^(B12-1))</f>
        <v>5856.7583439999999</v>
      </c>
      <c r="Q12" s="213">
        <f>L12/((1+$B$4)^(B12-1))</f>
        <v>-5779.6802113782669</v>
      </c>
      <c r="R12" s="929">
        <f>M12/((1+$B$4)^(B12-1))</f>
        <v>-5449.6802113782669</v>
      </c>
      <c r="S12" s="196">
        <f>N12</f>
        <v>77.078132621732507</v>
      </c>
      <c r="T12" s="197">
        <f>O12</f>
        <v>330</v>
      </c>
      <c r="U12" s="197">
        <f>P12</f>
        <v>5856.7583439999999</v>
      </c>
      <c r="V12" s="197">
        <f>Q12</f>
        <v>-5779.6802113782669</v>
      </c>
      <c r="W12" s="199">
        <f>R12</f>
        <v>-5449.6802113782669</v>
      </c>
      <c r="Z12" s="204">
        <v>1</v>
      </c>
      <c r="AA12" s="197">
        <f t="shared" ref="AA12:AA27" si="2">$C12*$AB$8</f>
        <v>2.6426788327451147</v>
      </c>
      <c r="AB12" s="197">
        <f>'Energy margins'!$S$12</f>
        <v>43.75</v>
      </c>
      <c r="AC12" s="197">
        <f>AA12*AB12</f>
        <v>115.61719893259877</v>
      </c>
      <c r="AD12" s="197">
        <f>'Margins summary'!$U$14</f>
        <v>330</v>
      </c>
      <c r="AE12" s="197">
        <f>AC12+AD12</f>
        <v>445.61719893259874</v>
      </c>
      <c r="AF12" s="197">
        <f>'Margins summary'!$T$20</f>
        <v>5743.7583439999999</v>
      </c>
      <c r="AG12" s="918">
        <f>'Energy NPV'!U65</f>
        <v>112.99999999999999</v>
      </c>
      <c r="AH12" s="197"/>
      <c r="AI12" s="197">
        <f>AF12+AG12+AH12</f>
        <v>5856.7583439999999</v>
      </c>
      <c r="AJ12" s="197">
        <f t="shared" ref="AJ12:AJ27" si="3">AC12-AI12</f>
        <v>-5741.1411450674013</v>
      </c>
      <c r="AK12" s="197">
        <f t="shared" ref="AK12:AK27" si="4">AE12-AI12</f>
        <v>-5411.1411450674013</v>
      </c>
      <c r="AL12" s="1033">
        <f>AC12/((1+$B$4)^(Z12-1))</f>
        <v>115.61719893259877</v>
      </c>
      <c r="AM12" s="213">
        <f>AD12/((1+$B$4)^(Z12-1))</f>
        <v>330</v>
      </c>
      <c r="AN12" s="213">
        <f>AI12/((1+$B$4)^(Z12-1))</f>
        <v>5856.7583439999999</v>
      </c>
      <c r="AO12" s="213">
        <f>AJ12/((1+$B$4)^(Z12-1))</f>
        <v>-5741.1411450674013</v>
      </c>
      <c r="AP12" s="929">
        <f>AK12/((1+$B$4)^(Z12-1))</f>
        <v>-5411.1411450674013</v>
      </c>
      <c r="AQ12" s="196">
        <f>AL12</f>
        <v>115.61719893259877</v>
      </c>
      <c r="AR12" s="197">
        <f>AM12</f>
        <v>330</v>
      </c>
      <c r="AS12" s="197">
        <f>AN12</f>
        <v>5856.7583439999999</v>
      </c>
      <c r="AT12" s="197">
        <f>AO12</f>
        <v>-5741.1411450674013</v>
      </c>
      <c r="AU12" s="199">
        <f>AP12</f>
        <v>-5411.1411450674013</v>
      </c>
      <c r="AX12" s="204">
        <v>1</v>
      </c>
      <c r="AY12" s="197">
        <f t="shared" ref="AY12:AY27" si="5">$C12*$AZ$8</f>
        <v>0.8808929442483715</v>
      </c>
      <c r="AZ12" s="197">
        <f>'Energy margins'!$S$12</f>
        <v>43.75</v>
      </c>
      <c r="BA12" s="197">
        <f>AY12*AZ12</f>
        <v>38.539066310866254</v>
      </c>
      <c r="BB12" s="197">
        <f>'Margins summary'!$U$14</f>
        <v>330</v>
      </c>
      <c r="BC12" s="197">
        <f>BA12+BB12</f>
        <v>368.53906631086625</v>
      </c>
      <c r="BD12" s="197">
        <f>'Margins summary'!$T$20</f>
        <v>5743.7583439999999</v>
      </c>
      <c r="BE12" s="918">
        <f>'Energy NPV'!U65</f>
        <v>112.99999999999999</v>
      </c>
      <c r="BF12" s="197"/>
      <c r="BG12" s="197">
        <f>BD12+BE12+BF12</f>
        <v>5856.7583439999999</v>
      </c>
      <c r="BH12" s="197">
        <f t="shared" ref="BH12:BH27" si="6">BA12-BG12</f>
        <v>-5818.2192776891334</v>
      </c>
      <c r="BI12" s="197">
        <f t="shared" ref="BI12:BI27" si="7">BC12-BG12</f>
        <v>-5488.2192776891334</v>
      </c>
      <c r="BJ12" s="1033">
        <f>BA12/((1+$B$4)^(AX12-1))</f>
        <v>38.539066310866254</v>
      </c>
      <c r="BK12" s="213">
        <f>BB12/((1+$B$4)^(AX12-1))</f>
        <v>330</v>
      </c>
      <c r="BL12" s="213">
        <f>BG12/((1+$B$4)^(AX12-1))</f>
        <v>5856.7583439999999</v>
      </c>
      <c r="BM12" s="213">
        <f>BH12/((1+$B$4)^(AX12-1))</f>
        <v>-5818.2192776891334</v>
      </c>
      <c r="BN12" s="929">
        <f>BI12/((1+$B$4)^(AX12-1))</f>
        <v>-5488.2192776891334</v>
      </c>
      <c r="BO12" s="196">
        <f>BJ12</f>
        <v>38.539066310866254</v>
      </c>
      <c r="BP12" s="197">
        <f>BK12</f>
        <v>330</v>
      </c>
      <c r="BQ12" s="197">
        <f>BL12</f>
        <v>5856.7583439999999</v>
      </c>
      <c r="BR12" s="197">
        <f>BM12</f>
        <v>-5818.2192776891334</v>
      </c>
      <c r="BS12" s="199">
        <f>BN12</f>
        <v>-5488.2192776891334</v>
      </c>
      <c r="BT12" s="197"/>
      <c r="BV12" s="204">
        <v>1</v>
      </c>
      <c r="BW12" s="197">
        <f t="shared" ref="BW12:BW27" si="8">$C12*$BX$8</f>
        <v>3.523571776993486</v>
      </c>
      <c r="BX12" s="197">
        <f>'Energy margins'!$S$12</f>
        <v>43.75</v>
      </c>
      <c r="BY12" s="197">
        <f t="shared" ref="BY12:BY27" si="9">BW12*BX12</f>
        <v>154.15626524346501</v>
      </c>
      <c r="BZ12" s="197">
        <f>'Margins summary'!$U$14</f>
        <v>330</v>
      </c>
      <c r="CA12" s="197">
        <f t="shared" ref="CA12:CA27" si="10">BY12+BZ12</f>
        <v>484.15626524346499</v>
      </c>
      <c r="CB12" s="197">
        <f>'Margins summary'!$T$20</f>
        <v>5743.7583439999999</v>
      </c>
      <c r="CC12" s="918">
        <f>'Energy NPV'!U65</f>
        <v>112.99999999999999</v>
      </c>
      <c r="CD12" s="197"/>
      <c r="CE12" s="197">
        <f t="shared" ref="CE12:CE27" si="11">CB12+CC12+CD12</f>
        <v>5856.7583439999999</v>
      </c>
      <c r="CF12" s="197">
        <f t="shared" ref="CF12:CF27" si="12">BY12-CE12</f>
        <v>-5702.6020787565349</v>
      </c>
      <c r="CG12" s="197">
        <f t="shared" ref="CG12:CG27" si="13">CA12-CE12</f>
        <v>-5372.6020787565349</v>
      </c>
      <c r="CH12" s="1033">
        <f>BY12/((1+$B$4)^(BV12-1))</f>
        <v>154.15626524346501</v>
      </c>
      <c r="CI12" s="213">
        <f>BZ12/((1+$B$4)^(BV12-1))</f>
        <v>330</v>
      </c>
      <c r="CJ12" s="213">
        <f>CE12/((1+$B$4)^(BV12-1))</f>
        <v>5856.7583439999999</v>
      </c>
      <c r="CK12" s="213">
        <f>CF12/((1+$B$4)^(BV12-1))</f>
        <v>-5702.6020787565349</v>
      </c>
      <c r="CL12" s="929">
        <f>CG12/((1+$B$4)^(BV12-1))</f>
        <v>-5372.6020787565349</v>
      </c>
      <c r="CM12" s="196">
        <f>CH12</f>
        <v>154.15626524346501</v>
      </c>
      <c r="CN12" s="197">
        <f>CI12</f>
        <v>330</v>
      </c>
      <c r="CO12" s="197">
        <f>CJ12</f>
        <v>5856.7583439999999</v>
      </c>
      <c r="CP12" s="197">
        <f>CK12</f>
        <v>-5702.6020787565349</v>
      </c>
      <c r="CQ12" s="199">
        <f>CL12</f>
        <v>-5372.6020787565349</v>
      </c>
      <c r="CR12" s="197"/>
      <c r="CT12" s="204">
        <v>1</v>
      </c>
      <c r="CU12" s="197">
        <f t="shared" ref="CU12:CU27" si="14">$C12*$CV$8</f>
        <v>0</v>
      </c>
      <c r="CV12" s="197">
        <f>'Energy margins'!$S$12</f>
        <v>43.75</v>
      </c>
      <c r="CW12" s="197">
        <f t="shared" ref="CW12:CW27" si="15">CU12*CV12</f>
        <v>0</v>
      </c>
      <c r="CX12" s="197">
        <f>'Margins summary'!$U$14</f>
        <v>330</v>
      </c>
      <c r="CY12" s="197">
        <f t="shared" ref="CY12:CY27" si="16">CW12+CX12</f>
        <v>330</v>
      </c>
      <c r="CZ12" s="197">
        <f>'Margins summary'!$T$20</f>
        <v>5743.7583439999999</v>
      </c>
      <c r="DA12" s="918">
        <f>'Energy NPV'!U65</f>
        <v>112.99999999999999</v>
      </c>
      <c r="DB12" s="197"/>
      <c r="DC12" s="197">
        <f t="shared" ref="DC12:DC27" si="17">CZ12+DA12+DB12</f>
        <v>5856.7583439999999</v>
      </c>
      <c r="DD12" s="197">
        <f t="shared" ref="DD12:DD27" si="18">CW12-DC12</f>
        <v>-5856.7583439999999</v>
      </c>
      <c r="DE12" s="197">
        <f t="shared" ref="DE12:DE27" si="19">CY12-DC12</f>
        <v>-5526.7583439999999</v>
      </c>
      <c r="DF12" s="1033">
        <f>CW12/((1+$B$4)^(CT12-1))</f>
        <v>0</v>
      </c>
      <c r="DG12" s="213">
        <f>CX12/((1+$B$4)^(CT12-1))</f>
        <v>330</v>
      </c>
      <c r="DH12" s="213">
        <f>DC12/((1+$B$4)^(CT12-1))</f>
        <v>5856.7583439999999</v>
      </c>
      <c r="DI12" s="213">
        <f>DD12/((1+$B$4)^(CT12-1))</f>
        <v>-5856.7583439999999</v>
      </c>
      <c r="DJ12" s="929">
        <f>DE12/((1+$B$4)^(CT12-1))</f>
        <v>-5526.7583439999999</v>
      </c>
      <c r="DK12" s="196">
        <f>DF12</f>
        <v>0</v>
      </c>
      <c r="DL12" s="197">
        <f>DG12</f>
        <v>330</v>
      </c>
      <c r="DM12" s="197">
        <f>DH12</f>
        <v>5856.7583439999999</v>
      </c>
      <c r="DN12" s="197">
        <f>DI12</f>
        <v>-5856.7583439999999</v>
      </c>
      <c r="DO12" s="199">
        <f>DJ12</f>
        <v>-5526.7583439999999</v>
      </c>
    </row>
    <row r="13" spans="1:119" x14ac:dyDescent="0.3">
      <c r="B13" s="204">
        <v>2</v>
      </c>
      <c r="C13" s="197">
        <f>'Energy NPV'!$D66*$E$8</f>
        <v>7.1188775071016606</v>
      </c>
      <c r="D13" s="197">
        <f>'Energy margins'!$S$12</f>
        <v>43.75</v>
      </c>
      <c r="E13" s="197">
        <f t="shared" ref="E13:E27" si="20">C13*D13</f>
        <v>311.45089093569766</v>
      </c>
      <c r="F13" s="197">
        <f>'Margins summary'!$U$14</f>
        <v>330</v>
      </c>
      <c r="G13" s="197">
        <f t="shared" ref="G13:G27" si="21">E13+F13</f>
        <v>641.45089093569766</v>
      </c>
      <c r="H13" s="197"/>
      <c r="I13" s="918">
        <f>'Energy NPV'!U66</f>
        <v>497.93314399999997</v>
      </c>
      <c r="J13" s="197"/>
      <c r="K13" s="197">
        <f t="shared" ref="K13:K27" si="22">H13+I13+J13</f>
        <v>497.93314399999997</v>
      </c>
      <c r="L13" s="197">
        <f t="shared" si="0"/>
        <v>-186.48225306430231</v>
      </c>
      <c r="M13" s="197">
        <f t="shared" si="1"/>
        <v>143.51774693569769</v>
      </c>
      <c r="N13" s="196">
        <f t="shared" ref="N13:N27" si="23">E13/((1+$B$4)^(B13-1))</f>
        <v>302.37950576281327</v>
      </c>
      <c r="O13" s="197">
        <f t="shared" ref="O13:O27" si="24">F13/((1+$B$4)^(B13-1))</f>
        <v>320.38834951456312</v>
      </c>
      <c r="P13" s="197">
        <f t="shared" ref="P13:P27" si="25">K13/((1+$B$4)^(B13-1))</f>
        <v>483.43023689320387</v>
      </c>
      <c r="Q13" s="197">
        <f t="shared" ref="Q13:Q27" si="26">L13/((1+$B$4)^(B13-1))</f>
        <v>-181.0507311303906</v>
      </c>
      <c r="R13" s="199">
        <f t="shared" ref="R13:R27" si="27">M13/((1+$B$4)^(B13-1))</f>
        <v>139.33761838417252</v>
      </c>
      <c r="S13" s="196">
        <f>S12+N13</f>
        <v>379.45763838454576</v>
      </c>
      <c r="T13" s="197">
        <f t="shared" ref="T13:W27" si="28">T12+O13</f>
        <v>650.38834951456306</v>
      </c>
      <c r="U13" s="197">
        <f t="shared" si="28"/>
        <v>6340.1885808932038</v>
      </c>
      <c r="V13" s="197">
        <f t="shared" si="28"/>
        <v>-5960.7309425086578</v>
      </c>
      <c r="W13" s="199">
        <f t="shared" si="28"/>
        <v>-5310.342592994094</v>
      </c>
      <c r="Z13" s="204">
        <v>2</v>
      </c>
      <c r="AA13" s="197">
        <f t="shared" si="2"/>
        <v>10.67831626065249</v>
      </c>
      <c r="AB13" s="197">
        <f>'Energy margins'!$S$12</f>
        <v>43.75</v>
      </c>
      <c r="AC13" s="197">
        <f t="shared" ref="AC13:AC26" si="29">AA13*AB13</f>
        <v>467.17633640354643</v>
      </c>
      <c r="AD13" s="197">
        <f>'Margins summary'!$U$14</f>
        <v>330</v>
      </c>
      <c r="AE13" s="197">
        <f t="shared" ref="AE13:AE27" si="30">AC13+AD13</f>
        <v>797.17633640354643</v>
      </c>
      <c r="AF13" s="197"/>
      <c r="AG13" s="918">
        <f>'Energy NPV'!U66</f>
        <v>497.93314399999997</v>
      </c>
      <c r="AH13" s="197"/>
      <c r="AI13" s="197">
        <f t="shared" ref="AI13:AI27" si="31">AF13+AG13+AH13</f>
        <v>497.93314399999997</v>
      </c>
      <c r="AJ13" s="197">
        <f t="shared" si="3"/>
        <v>-30.756807596453541</v>
      </c>
      <c r="AK13" s="197">
        <f t="shared" si="4"/>
        <v>299.24319240354646</v>
      </c>
      <c r="AL13" s="196">
        <f t="shared" ref="AL13:AL27" si="32">AC13/((1+$B$4)^(Z13-1))</f>
        <v>453.56925864421981</v>
      </c>
      <c r="AM13" s="197">
        <f t="shared" ref="AM13:AM27" si="33">AD13/((1+$B$4)^(Z13-1))</f>
        <v>320.38834951456312</v>
      </c>
      <c r="AN13" s="197">
        <f t="shared" ref="AN13:AN27" si="34">AI13/((1+$B$4)^(Z13-1))</f>
        <v>483.43023689320387</v>
      </c>
      <c r="AO13" s="197">
        <f t="shared" ref="AO13:AO27" si="35">AJ13/((1+$B$4)^(Z13-1))</f>
        <v>-29.860978248984019</v>
      </c>
      <c r="AP13" s="199">
        <f t="shared" ref="AP13:AP27" si="36">AK13/((1+$B$4)^(Z13-1))</f>
        <v>290.52737126557906</v>
      </c>
      <c r="AQ13" s="196">
        <f>AQ12+AL13</f>
        <v>569.18645757681861</v>
      </c>
      <c r="AR13" s="197">
        <f t="shared" ref="AR13:AU27" si="37">AR12+AM13</f>
        <v>650.38834951456306</v>
      </c>
      <c r="AS13" s="197">
        <f t="shared" si="37"/>
        <v>6340.1885808932038</v>
      </c>
      <c r="AT13" s="197">
        <f t="shared" si="37"/>
        <v>-5771.0021233163852</v>
      </c>
      <c r="AU13" s="199">
        <f t="shared" si="37"/>
        <v>-5120.6137738018224</v>
      </c>
      <c r="AX13" s="204">
        <v>2</v>
      </c>
      <c r="AY13" s="197">
        <f t="shared" si="5"/>
        <v>3.5594387535508303</v>
      </c>
      <c r="AZ13" s="197">
        <f>'Energy margins'!$S$12</f>
        <v>43.75</v>
      </c>
      <c r="BA13" s="197">
        <f t="shared" ref="BA13:BA26" si="38">AY13*AZ13</f>
        <v>155.72544546784883</v>
      </c>
      <c r="BB13" s="197">
        <f>'Margins summary'!$U$14</f>
        <v>330</v>
      </c>
      <c r="BC13" s="197">
        <f t="shared" ref="BC13:BC27" si="39">BA13+BB13</f>
        <v>485.72544546784883</v>
      </c>
      <c r="BD13" s="197"/>
      <c r="BE13" s="918">
        <f>'Energy NPV'!U66</f>
        <v>497.93314399999997</v>
      </c>
      <c r="BF13" s="197"/>
      <c r="BG13" s="197">
        <f t="shared" ref="BG13:BG27" si="40">BD13+BE13+BF13</f>
        <v>497.93314399999997</v>
      </c>
      <c r="BH13" s="197">
        <f t="shared" si="6"/>
        <v>-342.20769853215114</v>
      </c>
      <c r="BI13" s="197">
        <f t="shared" si="7"/>
        <v>-12.207698532151142</v>
      </c>
      <c r="BJ13" s="196">
        <f t="shared" ref="BJ13:BJ27" si="41">BA13/((1+$B$4)^(AX13-1))</f>
        <v>151.18975288140663</v>
      </c>
      <c r="BK13" s="197">
        <f t="shared" ref="BK13:BK27" si="42">BB13/((1+$B$4)^(AX13-1))</f>
        <v>320.38834951456312</v>
      </c>
      <c r="BL13" s="197">
        <f t="shared" ref="BL13:BL27" si="43">BG13/((1+$B$4)^(AX13-1))</f>
        <v>483.43023689320387</v>
      </c>
      <c r="BM13" s="197">
        <f t="shared" ref="BM13:BM27" si="44">BH13/((1+$B$4)^(AX13-1))</f>
        <v>-332.24048401179721</v>
      </c>
      <c r="BN13" s="199">
        <f t="shared" ref="BN13:BN27" si="45">BI13/((1+$B$4)^(AX13-1))</f>
        <v>-11.852134497234118</v>
      </c>
      <c r="BO13" s="196">
        <f>BO12+BJ13</f>
        <v>189.72881919227288</v>
      </c>
      <c r="BP13" s="197">
        <f t="shared" ref="BP13:BP27" si="46">BP12+BK13</f>
        <v>650.38834951456306</v>
      </c>
      <c r="BQ13" s="197">
        <f t="shared" ref="BQ13:BQ27" si="47">BQ12+BL13</f>
        <v>6340.1885808932038</v>
      </c>
      <c r="BR13" s="197">
        <f t="shared" ref="BR13:BR27" si="48">BR12+BM13</f>
        <v>-6150.4597617009304</v>
      </c>
      <c r="BS13" s="199">
        <f t="shared" ref="BS13:BS27" si="49">BS12+BN13</f>
        <v>-5500.0714121863675</v>
      </c>
      <c r="BT13" s="197"/>
      <c r="BV13" s="204">
        <v>2</v>
      </c>
      <c r="BW13" s="197">
        <f t="shared" si="8"/>
        <v>14.237755014203321</v>
      </c>
      <c r="BX13" s="197">
        <f>'Energy margins'!$S$12</f>
        <v>43.75</v>
      </c>
      <c r="BY13" s="197">
        <f t="shared" si="9"/>
        <v>622.90178187139531</v>
      </c>
      <c r="BZ13" s="197">
        <f>'Margins summary'!$U$14</f>
        <v>330</v>
      </c>
      <c r="CA13" s="197">
        <f t="shared" si="10"/>
        <v>952.90178187139531</v>
      </c>
      <c r="CB13" s="197"/>
      <c r="CC13" s="918">
        <f>'Energy NPV'!U66</f>
        <v>497.93314399999997</v>
      </c>
      <c r="CD13" s="197"/>
      <c r="CE13" s="197">
        <f t="shared" si="11"/>
        <v>497.93314399999997</v>
      </c>
      <c r="CF13" s="197">
        <f t="shared" si="12"/>
        <v>124.96863787139534</v>
      </c>
      <c r="CG13" s="197">
        <f t="shared" si="13"/>
        <v>454.96863787139534</v>
      </c>
      <c r="CH13" s="196">
        <f t="shared" ref="CH13:CH27" si="50">BY13/((1+$B$4)^(BV13-1))</f>
        <v>604.75901152562653</v>
      </c>
      <c r="CI13" s="197">
        <f t="shared" ref="CI13:CI27" si="51">BZ13/((1+$B$4)^(BV13-1))</f>
        <v>320.38834951456312</v>
      </c>
      <c r="CJ13" s="197">
        <f t="shared" ref="CJ13:CJ27" si="52">CE13/((1+$B$4)^(BV13-1))</f>
        <v>483.43023689320387</v>
      </c>
      <c r="CK13" s="197">
        <f t="shared" ref="CK13:CK27" si="53">CF13/((1+$B$4)^(BV13-1))</f>
        <v>121.32877463242266</v>
      </c>
      <c r="CL13" s="199">
        <f t="shared" ref="CL13:CL27" si="54">CG13/((1+$B$4)^(BV13-1))</f>
        <v>441.71712414698578</v>
      </c>
      <c r="CM13" s="196">
        <f t="shared" ref="CM13:CM27" si="55">CM12+CH13</f>
        <v>758.91527676909152</v>
      </c>
      <c r="CN13" s="197">
        <f t="shared" ref="CN13:CN27" si="56">CN12+CI13</f>
        <v>650.38834951456306</v>
      </c>
      <c r="CO13" s="197">
        <f t="shared" ref="CO13:CO27" si="57">CO12+CJ13</f>
        <v>6340.1885808932038</v>
      </c>
      <c r="CP13" s="197">
        <f t="shared" ref="CP13:CP27" si="58">CP12+CK13</f>
        <v>-5581.2733041241117</v>
      </c>
      <c r="CQ13" s="199">
        <f t="shared" ref="CQ13:CQ27" si="59">CQ12+CL13</f>
        <v>-4930.8849546095489</v>
      </c>
      <c r="CR13" s="197"/>
      <c r="CT13" s="204">
        <v>2</v>
      </c>
      <c r="CU13" s="197">
        <f t="shared" si="14"/>
        <v>0</v>
      </c>
      <c r="CV13" s="197">
        <f>'Energy margins'!$S$12</f>
        <v>43.75</v>
      </c>
      <c r="CW13" s="197">
        <f t="shared" si="15"/>
        <v>0</v>
      </c>
      <c r="CX13" s="197">
        <f>'Margins summary'!$U$14</f>
        <v>330</v>
      </c>
      <c r="CY13" s="197">
        <f t="shared" si="16"/>
        <v>330</v>
      </c>
      <c r="CZ13" s="197"/>
      <c r="DA13" s="918">
        <f>'Energy NPV'!U66</f>
        <v>497.93314399999997</v>
      </c>
      <c r="DB13" s="197"/>
      <c r="DC13" s="197">
        <f t="shared" si="17"/>
        <v>497.93314399999997</v>
      </c>
      <c r="DD13" s="197">
        <f t="shared" si="18"/>
        <v>-497.93314399999997</v>
      </c>
      <c r="DE13" s="197">
        <f t="shared" si="19"/>
        <v>-167.93314399999997</v>
      </c>
      <c r="DF13" s="196">
        <f t="shared" ref="DF13:DF27" si="60">CW13/((1+$B$4)^(CT13-1))</f>
        <v>0</v>
      </c>
      <c r="DG13" s="197">
        <f t="shared" ref="DG13:DG27" si="61">CX13/((1+$B$4)^(CT13-1))</f>
        <v>320.38834951456312</v>
      </c>
      <c r="DH13" s="197">
        <f t="shared" ref="DH13:DH27" si="62">DC13/((1+$B$4)^(CT13-1))</f>
        <v>483.43023689320387</v>
      </c>
      <c r="DI13" s="197">
        <f t="shared" ref="DI13:DI27" si="63">DD13/((1+$B$4)^(CT13-1))</f>
        <v>-483.43023689320387</v>
      </c>
      <c r="DJ13" s="199">
        <f t="shared" ref="DJ13:DJ26" si="64">DE13/((1+$B$4)^(CT13-1))</f>
        <v>-163.04188737864075</v>
      </c>
      <c r="DK13" s="196">
        <f t="shared" ref="DK13:DK27" si="65">DK12+DF13</f>
        <v>0</v>
      </c>
      <c r="DL13" s="197">
        <f t="shared" ref="DL13:DL27" si="66">DL12+DG13</f>
        <v>650.38834951456306</v>
      </c>
      <c r="DM13" s="197">
        <f t="shared" ref="DM13:DM27" si="67">DM12+DH13</f>
        <v>6340.1885808932038</v>
      </c>
      <c r="DN13" s="197">
        <f t="shared" ref="DN13:DN27" si="68">DN12+DI13</f>
        <v>-6340.1885808932038</v>
      </c>
      <c r="DO13" s="199">
        <f t="shared" ref="DO13:DO27" si="69">DO12+DJ13</f>
        <v>-5689.800231378641</v>
      </c>
    </row>
    <row r="14" spans="1:119" x14ac:dyDescent="0.3">
      <c r="B14" s="204">
        <f t="shared" ref="B14:B27" si="70">B13+1</f>
        <v>3</v>
      </c>
      <c r="C14" s="197">
        <f>'Energy NPV'!$D67*$E$8</f>
        <v>9.4057559323979216</v>
      </c>
      <c r="D14" s="197">
        <f>'Energy margins'!$S$12</f>
        <v>43.75</v>
      </c>
      <c r="E14" s="197">
        <f t="shared" si="20"/>
        <v>411.50182204240906</v>
      </c>
      <c r="F14" s="197">
        <f>'Margins summary'!$U$14</f>
        <v>330</v>
      </c>
      <c r="G14" s="197">
        <f t="shared" si="21"/>
        <v>741.501822042409</v>
      </c>
      <c r="H14" s="197"/>
      <c r="I14" s="918">
        <f>'Energy NPV'!U67</f>
        <v>497.93314399999997</v>
      </c>
      <c r="J14" s="197"/>
      <c r="K14" s="197">
        <f t="shared" si="22"/>
        <v>497.93314399999997</v>
      </c>
      <c r="L14" s="197">
        <f t="shared" si="0"/>
        <v>-86.43132195759091</v>
      </c>
      <c r="M14" s="197">
        <f t="shared" si="1"/>
        <v>243.56867804240903</v>
      </c>
      <c r="N14" s="196">
        <f t="shared" si="23"/>
        <v>387.87993405826097</v>
      </c>
      <c r="O14" s="197">
        <f t="shared" si="24"/>
        <v>311.05665001413894</v>
      </c>
      <c r="P14" s="197">
        <f t="shared" si="25"/>
        <v>469.3497445565086</v>
      </c>
      <c r="Q14" s="197">
        <f t="shared" si="26"/>
        <v>-81.469810498247639</v>
      </c>
      <c r="R14" s="199">
        <f t="shared" si="27"/>
        <v>229.58683951589126</v>
      </c>
      <c r="S14" s="196">
        <f t="shared" ref="S14:S27" si="71">S13+N14</f>
        <v>767.33757244280673</v>
      </c>
      <c r="T14" s="197">
        <f t="shared" si="28"/>
        <v>961.44499952870206</v>
      </c>
      <c r="U14" s="197">
        <f t="shared" si="28"/>
        <v>6809.5383254497128</v>
      </c>
      <c r="V14" s="197">
        <f t="shared" si="28"/>
        <v>-6042.2007530069059</v>
      </c>
      <c r="W14" s="199">
        <f t="shared" si="28"/>
        <v>-5080.7557534782027</v>
      </c>
      <c r="Z14" s="204">
        <f t="shared" ref="Z14:Z27" si="72">Z13+1</f>
        <v>3</v>
      </c>
      <c r="AA14" s="197">
        <f t="shared" si="2"/>
        <v>14.108633898596882</v>
      </c>
      <c r="AB14" s="197">
        <f>'Energy margins'!$S$12</f>
        <v>43.75</v>
      </c>
      <c r="AC14" s="197">
        <f t="shared" si="29"/>
        <v>617.25273306361362</v>
      </c>
      <c r="AD14" s="197">
        <f>'Margins summary'!$U$14</f>
        <v>330</v>
      </c>
      <c r="AE14" s="197">
        <f t="shared" si="30"/>
        <v>947.25273306361362</v>
      </c>
      <c r="AF14" s="197"/>
      <c r="AG14" s="918">
        <f>'Energy NPV'!U67</f>
        <v>497.93314399999997</v>
      </c>
      <c r="AH14" s="197"/>
      <c r="AI14" s="197">
        <f t="shared" si="31"/>
        <v>497.93314399999997</v>
      </c>
      <c r="AJ14" s="197">
        <f t="shared" si="3"/>
        <v>119.31958906361365</v>
      </c>
      <c r="AK14" s="197">
        <f t="shared" si="4"/>
        <v>449.31958906361365</v>
      </c>
      <c r="AL14" s="196">
        <f t="shared" si="32"/>
        <v>581.81990108739149</v>
      </c>
      <c r="AM14" s="197">
        <f t="shared" si="33"/>
        <v>311.05665001413894</v>
      </c>
      <c r="AN14" s="197">
        <f t="shared" si="34"/>
        <v>469.3497445565086</v>
      </c>
      <c r="AO14" s="197">
        <f t="shared" si="35"/>
        <v>112.47015653088289</v>
      </c>
      <c r="AP14" s="199">
        <f t="shared" si="36"/>
        <v>423.52680654502183</v>
      </c>
      <c r="AQ14" s="196">
        <f t="shared" ref="AQ14:AQ27" si="73">AQ13+AL14</f>
        <v>1151.00635866421</v>
      </c>
      <c r="AR14" s="197">
        <f t="shared" si="37"/>
        <v>961.44499952870206</v>
      </c>
      <c r="AS14" s="197">
        <f t="shared" si="37"/>
        <v>6809.5383254497128</v>
      </c>
      <c r="AT14" s="197">
        <f t="shared" si="37"/>
        <v>-5658.5319667855019</v>
      </c>
      <c r="AU14" s="199">
        <f t="shared" si="37"/>
        <v>-4697.0869672568006</v>
      </c>
      <c r="AX14" s="204">
        <f t="shared" ref="AX14:AX27" si="74">AX13+1</f>
        <v>3</v>
      </c>
      <c r="AY14" s="197">
        <f t="shared" si="5"/>
        <v>4.7028779661989608</v>
      </c>
      <c r="AZ14" s="197">
        <f>'Energy margins'!$S$12</f>
        <v>43.75</v>
      </c>
      <c r="BA14" s="197">
        <f t="shared" si="38"/>
        <v>205.75091102120453</v>
      </c>
      <c r="BB14" s="197">
        <f>'Margins summary'!$U$14</f>
        <v>330</v>
      </c>
      <c r="BC14" s="197">
        <f t="shared" si="39"/>
        <v>535.7509110212045</v>
      </c>
      <c r="BD14" s="197"/>
      <c r="BE14" s="918">
        <f>'Energy NPV'!U67</f>
        <v>497.93314399999997</v>
      </c>
      <c r="BF14" s="197"/>
      <c r="BG14" s="197">
        <f t="shared" si="40"/>
        <v>497.93314399999997</v>
      </c>
      <c r="BH14" s="197">
        <f t="shared" si="6"/>
        <v>-292.18223297879547</v>
      </c>
      <c r="BI14" s="197">
        <f t="shared" si="7"/>
        <v>37.817767021204531</v>
      </c>
      <c r="BJ14" s="196">
        <f t="shared" si="41"/>
        <v>193.93996702913049</v>
      </c>
      <c r="BK14" s="197">
        <f t="shared" si="42"/>
        <v>311.05665001413894</v>
      </c>
      <c r="BL14" s="197">
        <f t="shared" si="43"/>
        <v>469.3497445565086</v>
      </c>
      <c r="BM14" s="197">
        <f t="shared" si="44"/>
        <v>-275.40977752737814</v>
      </c>
      <c r="BN14" s="199">
        <f t="shared" si="45"/>
        <v>35.646872486760799</v>
      </c>
      <c r="BO14" s="196">
        <f t="shared" ref="BO14:BO27" si="75">BO13+BJ14</f>
        <v>383.66878622140337</v>
      </c>
      <c r="BP14" s="197">
        <f t="shared" si="46"/>
        <v>961.44499952870206</v>
      </c>
      <c r="BQ14" s="197">
        <f t="shared" si="47"/>
        <v>6809.5383254497128</v>
      </c>
      <c r="BR14" s="197">
        <f t="shared" si="48"/>
        <v>-6425.8695392283089</v>
      </c>
      <c r="BS14" s="199">
        <f t="shared" si="49"/>
        <v>-5464.4245396996066</v>
      </c>
      <c r="BT14" s="197"/>
      <c r="BV14" s="204">
        <f t="shared" ref="BV14:BV27" si="76">BV13+1</f>
        <v>3</v>
      </c>
      <c r="BW14" s="197">
        <f t="shared" si="8"/>
        <v>18.811511864795843</v>
      </c>
      <c r="BX14" s="197">
        <f>'Energy margins'!$S$12</f>
        <v>43.75</v>
      </c>
      <c r="BY14" s="197">
        <f t="shared" si="9"/>
        <v>823.00364408481812</v>
      </c>
      <c r="BZ14" s="197">
        <f>'Margins summary'!$U$14</f>
        <v>330</v>
      </c>
      <c r="CA14" s="197">
        <f t="shared" si="10"/>
        <v>1153.003644084818</v>
      </c>
      <c r="CB14" s="197"/>
      <c r="CC14" s="918">
        <f>'Energy NPV'!U67</f>
        <v>497.93314399999997</v>
      </c>
      <c r="CD14" s="197"/>
      <c r="CE14" s="197">
        <f t="shared" si="11"/>
        <v>497.93314399999997</v>
      </c>
      <c r="CF14" s="197">
        <f t="shared" si="12"/>
        <v>325.07050008481815</v>
      </c>
      <c r="CG14" s="197">
        <f t="shared" si="13"/>
        <v>655.07050008481804</v>
      </c>
      <c r="CH14" s="196">
        <f t="shared" si="50"/>
        <v>775.75986811652194</v>
      </c>
      <c r="CI14" s="197">
        <f t="shared" si="51"/>
        <v>311.05665001413894</v>
      </c>
      <c r="CJ14" s="197">
        <f t="shared" si="52"/>
        <v>469.3497445565086</v>
      </c>
      <c r="CK14" s="197">
        <f t="shared" si="53"/>
        <v>306.41012356001335</v>
      </c>
      <c r="CL14" s="199">
        <f t="shared" si="54"/>
        <v>617.46677357415217</v>
      </c>
      <c r="CM14" s="196">
        <f t="shared" si="55"/>
        <v>1534.6751448856135</v>
      </c>
      <c r="CN14" s="197">
        <f t="shared" si="56"/>
        <v>961.44499952870206</v>
      </c>
      <c r="CO14" s="197">
        <f t="shared" si="57"/>
        <v>6809.5383254497128</v>
      </c>
      <c r="CP14" s="197">
        <f t="shared" si="58"/>
        <v>-5274.863180564098</v>
      </c>
      <c r="CQ14" s="199">
        <f t="shared" si="59"/>
        <v>-4313.4181810353966</v>
      </c>
      <c r="CR14" s="197"/>
      <c r="CT14" s="204">
        <f t="shared" ref="CT14:CT27" si="77">CT13+1</f>
        <v>3</v>
      </c>
      <c r="CU14" s="197">
        <f t="shared" si="14"/>
        <v>0</v>
      </c>
      <c r="CV14" s="197">
        <f>'Energy margins'!$S$12</f>
        <v>43.75</v>
      </c>
      <c r="CW14" s="197">
        <f t="shared" si="15"/>
        <v>0</v>
      </c>
      <c r="CX14" s="197">
        <f>'Margins summary'!$U$14</f>
        <v>330</v>
      </c>
      <c r="CY14" s="197">
        <f t="shared" si="16"/>
        <v>330</v>
      </c>
      <c r="CZ14" s="197"/>
      <c r="DA14" s="918">
        <f>'Energy NPV'!U67</f>
        <v>497.93314399999997</v>
      </c>
      <c r="DB14" s="197"/>
      <c r="DC14" s="197">
        <f t="shared" si="17"/>
        <v>497.93314399999997</v>
      </c>
      <c r="DD14" s="197">
        <f t="shared" si="18"/>
        <v>-497.93314399999997</v>
      </c>
      <c r="DE14" s="197">
        <f t="shared" si="19"/>
        <v>-167.93314399999997</v>
      </c>
      <c r="DF14" s="196">
        <f t="shared" si="60"/>
        <v>0</v>
      </c>
      <c r="DG14" s="197">
        <f t="shared" si="61"/>
        <v>311.05665001413894</v>
      </c>
      <c r="DH14" s="197">
        <f t="shared" si="62"/>
        <v>469.3497445565086</v>
      </c>
      <c r="DI14" s="197">
        <f t="shared" si="63"/>
        <v>-469.3497445565086</v>
      </c>
      <c r="DJ14" s="199">
        <f t="shared" si="64"/>
        <v>-158.29309454236966</v>
      </c>
      <c r="DK14" s="196">
        <f t="shared" si="65"/>
        <v>0</v>
      </c>
      <c r="DL14" s="197">
        <f t="shared" si="66"/>
        <v>961.44499952870206</v>
      </c>
      <c r="DM14" s="197">
        <f t="shared" si="67"/>
        <v>6809.5383254497128</v>
      </c>
      <c r="DN14" s="197">
        <f t="shared" si="68"/>
        <v>-6809.5383254497128</v>
      </c>
      <c r="DO14" s="199">
        <f t="shared" si="69"/>
        <v>-5848.0933259210105</v>
      </c>
    </row>
    <row r="15" spans="1:119" x14ac:dyDescent="0.3">
      <c r="B15" s="204">
        <f t="shared" si="70"/>
        <v>4</v>
      </c>
      <c r="C15" s="225">
        <f>'Energy NPV'!$D68*$E$8</f>
        <v>10</v>
      </c>
      <c r="D15" s="197">
        <f>'Energy margins'!$S$12</f>
        <v>43.75</v>
      </c>
      <c r="E15" s="197">
        <f t="shared" si="20"/>
        <v>437.5</v>
      </c>
      <c r="F15" s="197">
        <f>'Margins summary'!$U$14</f>
        <v>330</v>
      </c>
      <c r="G15" s="197">
        <f t="shared" si="21"/>
        <v>767.5</v>
      </c>
      <c r="H15" s="197"/>
      <c r="I15" s="918">
        <f>'Energy NPV'!U68</f>
        <v>316.00314399999996</v>
      </c>
      <c r="J15" s="197"/>
      <c r="K15" s="197">
        <f t="shared" si="22"/>
        <v>316.00314399999996</v>
      </c>
      <c r="L15" s="197">
        <f t="shared" si="0"/>
        <v>121.49685600000004</v>
      </c>
      <c r="M15" s="197">
        <f t="shared" si="1"/>
        <v>451.49685600000004</v>
      </c>
      <c r="N15" s="196">
        <f t="shared" si="23"/>
        <v>400.3744759670073</v>
      </c>
      <c r="O15" s="197">
        <f t="shared" si="24"/>
        <v>301.99674758654265</v>
      </c>
      <c r="P15" s="197">
        <f t="shared" si="25"/>
        <v>289.18764156097541</v>
      </c>
      <c r="Q15" s="197">
        <f t="shared" si="26"/>
        <v>111.18683440603192</v>
      </c>
      <c r="R15" s="199">
        <f t="shared" si="27"/>
        <v>413.18358199257455</v>
      </c>
      <c r="S15" s="196">
        <f t="shared" si="71"/>
        <v>1167.7120484098141</v>
      </c>
      <c r="T15" s="197">
        <f t="shared" si="28"/>
        <v>1263.4417471152447</v>
      </c>
      <c r="U15" s="197">
        <f t="shared" si="28"/>
        <v>7098.7259670106887</v>
      </c>
      <c r="V15" s="197">
        <f t="shared" si="28"/>
        <v>-5931.0139186008737</v>
      </c>
      <c r="W15" s="199">
        <f t="shared" si="28"/>
        <v>-4667.5721714856281</v>
      </c>
      <c r="Z15" s="204">
        <f t="shared" si="72"/>
        <v>4</v>
      </c>
      <c r="AA15" s="197">
        <f t="shared" si="2"/>
        <v>15</v>
      </c>
      <c r="AB15" s="197">
        <f>'Energy margins'!$S$12</f>
        <v>43.75</v>
      </c>
      <c r="AC15" s="197">
        <f t="shared" si="29"/>
        <v>656.25</v>
      </c>
      <c r="AD15" s="197">
        <f>'Margins summary'!$U$14</f>
        <v>330</v>
      </c>
      <c r="AE15" s="197">
        <f t="shared" si="30"/>
        <v>986.25</v>
      </c>
      <c r="AF15" s="197"/>
      <c r="AG15" s="918">
        <f>'Energy NPV'!U68</f>
        <v>316.00314399999996</v>
      </c>
      <c r="AH15" s="197"/>
      <c r="AI15" s="197">
        <f t="shared" si="31"/>
        <v>316.00314399999996</v>
      </c>
      <c r="AJ15" s="197">
        <f t="shared" si="3"/>
        <v>340.24685600000004</v>
      </c>
      <c r="AK15" s="197">
        <f t="shared" si="4"/>
        <v>670.24685599999998</v>
      </c>
      <c r="AL15" s="196">
        <f t="shared" si="32"/>
        <v>600.56171395051092</v>
      </c>
      <c r="AM15" s="197">
        <f t="shared" si="33"/>
        <v>301.99674758654265</v>
      </c>
      <c r="AN15" s="197">
        <f t="shared" si="34"/>
        <v>289.18764156097541</v>
      </c>
      <c r="AO15" s="197">
        <f t="shared" si="35"/>
        <v>311.37407238953557</v>
      </c>
      <c r="AP15" s="199">
        <f t="shared" si="36"/>
        <v>613.37081997607822</v>
      </c>
      <c r="AQ15" s="196">
        <f t="shared" si="73"/>
        <v>1751.5680726147209</v>
      </c>
      <c r="AR15" s="197">
        <f t="shared" si="37"/>
        <v>1263.4417471152447</v>
      </c>
      <c r="AS15" s="197">
        <f t="shared" si="37"/>
        <v>7098.7259670106887</v>
      </c>
      <c r="AT15" s="197">
        <f t="shared" si="37"/>
        <v>-5347.1578943959667</v>
      </c>
      <c r="AU15" s="199">
        <f t="shared" si="37"/>
        <v>-4083.7161472807225</v>
      </c>
      <c r="AX15" s="204">
        <f t="shared" si="74"/>
        <v>4</v>
      </c>
      <c r="AY15" s="197">
        <f t="shared" si="5"/>
        <v>5</v>
      </c>
      <c r="AZ15" s="197">
        <f>'Energy margins'!$S$12</f>
        <v>43.75</v>
      </c>
      <c r="BA15" s="197">
        <f t="shared" si="38"/>
        <v>218.75</v>
      </c>
      <c r="BB15" s="197">
        <f>'Margins summary'!$U$14</f>
        <v>330</v>
      </c>
      <c r="BC15" s="197">
        <f t="shared" si="39"/>
        <v>548.75</v>
      </c>
      <c r="BD15" s="197"/>
      <c r="BE15" s="918">
        <f>'Energy NPV'!U68</f>
        <v>316.00314399999996</v>
      </c>
      <c r="BF15" s="197"/>
      <c r="BG15" s="197">
        <f t="shared" si="40"/>
        <v>316.00314399999996</v>
      </c>
      <c r="BH15" s="197">
        <f t="shared" si="6"/>
        <v>-97.253143999999963</v>
      </c>
      <c r="BI15" s="197">
        <f t="shared" si="7"/>
        <v>232.74685600000004</v>
      </c>
      <c r="BJ15" s="196">
        <f t="shared" si="41"/>
        <v>200.18723798350365</v>
      </c>
      <c r="BK15" s="197">
        <f t="shared" si="42"/>
        <v>301.99674758654265</v>
      </c>
      <c r="BL15" s="197">
        <f t="shared" si="43"/>
        <v>289.18764156097541</v>
      </c>
      <c r="BM15" s="197">
        <f t="shared" si="44"/>
        <v>-89.000403577471744</v>
      </c>
      <c r="BN15" s="199">
        <f t="shared" si="45"/>
        <v>212.99634400907092</v>
      </c>
      <c r="BO15" s="196">
        <f t="shared" si="75"/>
        <v>583.85602420490704</v>
      </c>
      <c r="BP15" s="197">
        <f t="shared" si="46"/>
        <v>1263.4417471152447</v>
      </c>
      <c r="BQ15" s="197">
        <f t="shared" si="47"/>
        <v>7098.7259670106887</v>
      </c>
      <c r="BR15" s="197">
        <f t="shared" si="48"/>
        <v>-6514.8699428057807</v>
      </c>
      <c r="BS15" s="199">
        <f t="shared" si="49"/>
        <v>-5251.4281956905361</v>
      </c>
      <c r="BT15" s="197"/>
      <c r="BV15" s="204">
        <f t="shared" si="76"/>
        <v>4</v>
      </c>
      <c r="BW15" s="197">
        <f t="shared" si="8"/>
        <v>20</v>
      </c>
      <c r="BX15" s="197">
        <f>'Energy margins'!$S$12</f>
        <v>43.75</v>
      </c>
      <c r="BY15" s="197">
        <f t="shared" si="9"/>
        <v>875</v>
      </c>
      <c r="BZ15" s="197">
        <f>'Margins summary'!$U$14</f>
        <v>330</v>
      </c>
      <c r="CA15" s="197">
        <f t="shared" si="10"/>
        <v>1205</v>
      </c>
      <c r="CB15" s="197"/>
      <c r="CC15" s="918">
        <f>'Energy NPV'!U68</f>
        <v>316.00314399999996</v>
      </c>
      <c r="CD15" s="197"/>
      <c r="CE15" s="197">
        <f t="shared" si="11"/>
        <v>316.00314399999996</v>
      </c>
      <c r="CF15" s="197">
        <f t="shared" si="12"/>
        <v>558.99685599999998</v>
      </c>
      <c r="CG15" s="197">
        <f t="shared" si="13"/>
        <v>888.99685599999998</v>
      </c>
      <c r="CH15" s="196">
        <f t="shared" si="50"/>
        <v>800.7489519340146</v>
      </c>
      <c r="CI15" s="197">
        <f t="shared" si="51"/>
        <v>301.99674758654265</v>
      </c>
      <c r="CJ15" s="197">
        <f t="shared" si="52"/>
        <v>289.18764156097541</v>
      </c>
      <c r="CK15" s="197">
        <f t="shared" si="53"/>
        <v>511.56131037303919</v>
      </c>
      <c r="CL15" s="199">
        <f t="shared" si="54"/>
        <v>813.55805795958179</v>
      </c>
      <c r="CM15" s="196">
        <f t="shared" si="55"/>
        <v>2335.4240968196282</v>
      </c>
      <c r="CN15" s="197">
        <f t="shared" si="56"/>
        <v>1263.4417471152447</v>
      </c>
      <c r="CO15" s="197">
        <f t="shared" si="57"/>
        <v>7098.7259670106887</v>
      </c>
      <c r="CP15" s="197">
        <f t="shared" si="58"/>
        <v>-4763.3018701910587</v>
      </c>
      <c r="CQ15" s="199">
        <f t="shared" si="59"/>
        <v>-3499.860123075815</v>
      </c>
      <c r="CR15" s="197"/>
      <c r="CT15" s="204">
        <f t="shared" si="77"/>
        <v>4</v>
      </c>
      <c r="CU15" s="197">
        <f t="shared" si="14"/>
        <v>0</v>
      </c>
      <c r="CV15" s="197">
        <f>'Energy margins'!$S$12</f>
        <v>43.75</v>
      </c>
      <c r="CW15" s="197">
        <f t="shared" si="15"/>
        <v>0</v>
      </c>
      <c r="CX15" s="197">
        <f>'Margins summary'!$U$14</f>
        <v>330</v>
      </c>
      <c r="CY15" s="197">
        <f t="shared" si="16"/>
        <v>330</v>
      </c>
      <c r="CZ15" s="197"/>
      <c r="DA15" s="918">
        <f>'Energy NPV'!U68</f>
        <v>316.00314399999996</v>
      </c>
      <c r="DB15" s="197"/>
      <c r="DC15" s="197">
        <f t="shared" si="17"/>
        <v>316.00314399999996</v>
      </c>
      <c r="DD15" s="197">
        <f t="shared" si="18"/>
        <v>-316.00314399999996</v>
      </c>
      <c r="DE15" s="197">
        <f t="shared" si="19"/>
        <v>13.996856000000037</v>
      </c>
      <c r="DF15" s="196">
        <f t="shared" si="60"/>
        <v>0</v>
      </c>
      <c r="DG15" s="197">
        <f t="shared" si="61"/>
        <v>301.99674758654265</v>
      </c>
      <c r="DH15" s="197">
        <f t="shared" si="62"/>
        <v>289.18764156097541</v>
      </c>
      <c r="DI15" s="197">
        <f t="shared" si="63"/>
        <v>-289.18764156097541</v>
      </c>
      <c r="DJ15" s="199">
        <f t="shared" si="64"/>
        <v>12.809106025567262</v>
      </c>
      <c r="DK15" s="196">
        <f t="shared" si="65"/>
        <v>0</v>
      </c>
      <c r="DL15" s="197">
        <f t="shared" si="66"/>
        <v>1263.4417471152447</v>
      </c>
      <c r="DM15" s="197">
        <f t="shared" si="67"/>
        <v>7098.7259670106887</v>
      </c>
      <c r="DN15" s="197">
        <f t="shared" si="68"/>
        <v>-7098.7259670106887</v>
      </c>
      <c r="DO15" s="199">
        <f t="shared" si="69"/>
        <v>-5835.2842198954431</v>
      </c>
    </row>
    <row r="16" spans="1:119" x14ac:dyDescent="0.3">
      <c r="B16" s="204">
        <f t="shared" si="70"/>
        <v>5</v>
      </c>
      <c r="C16" s="225">
        <f>'Energy NPV'!$D69*$E$8</f>
        <v>10</v>
      </c>
      <c r="D16" s="197">
        <f>'Energy margins'!$S$12</f>
        <v>43.75</v>
      </c>
      <c r="E16" s="197">
        <f t="shared" si="20"/>
        <v>437.5</v>
      </c>
      <c r="F16" s="197">
        <f>'Margins summary'!$U$14</f>
        <v>330</v>
      </c>
      <c r="G16" s="197">
        <f t="shared" si="21"/>
        <v>767.5</v>
      </c>
      <c r="H16" s="197"/>
      <c r="I16" s="918">
        <f>'Energy NPV'!U69</f>
        <v>316.00314399999996</v>
      </c>
      <c r="J16" s="197"/>
      <c r="K16" s="197">
        <f t="shared" si="22"/>
        <v>316.00314399999996</v>
      </c>
      <c r="L16" s="197">
        <f t="shared" si="0"/>
        <v>121.49685600000004</v>
      </c>
      <c r="M16" s="197">
        <f t="shared" si="1"/>
        <v>451.49685600000004</v>
      </c>
      <c r="N16" s="196">
        <f t="shared" si="23"/>
        <v>388.71308346311395</v>
      </c>
      <c r="O16" s="197">
        <f t="shared" si="24"/>
        <v>293.20072581217738</v>
      </c>
      <c r="P16" s="197">
        <f t="shared" si="25"/>
        <v>280.76470054463636</v>
      </c>
      <c r="Q16" s="197">
        <f t="shared" si="26"/>
        <v>107.94838291847759</v>
      </c>
      <c r="R16" s="199">
        <f t="shared" si="27"/>
        <v>401.14910873065497</v>
      </c>
      <c r="S16" s="196">
        <f t="shared" si="71"/>
        <v>1556.425131872928</v>
      </c>
      <c r="T16" s="197">
        <f t="shared" si="28"/>
        <v>1556.642472927422</v>
      </c>
      <c r="U16" s="197">
        <f t="shared" si="28"/>
        <v>7379.4906675553248</v>
      </c>
      <c r="V16" s="197">
        <f t="shared" si="28"/>
        <v>-5823.0655356823963</v>
      </c>
      <c r="W16" s="199">
        <f t="shared" si="28"/>
        <v>-4266.4230627549732</v>
      </c>
      <c r="Z16" s="204">
        <f t="shared" si="72"/>
        <v>5</v>
      </c>
      <c r="AA16" s="197">
        <f t="shared" si="2"/>
        <v>15</v>
      </c>
      <c r="AB16" s="197">
        <f>'Energy margins'!$S$12</f>
        <v>43.75</v>
      </c>
      <c r="AC16" s="197">
        <f t="shared" si="29"/>
        <v>656.25</v>
      </c>
      <c r="AD16" s="197">
        <f>'Margins summary'!$U$14</f>
        <v>330</v>
      </c>
      <c r="AE16" s="197">
        <f t="shared" si="30"/>
        <v>986.25</v>
      </c>
      <c r="AF16" s="197"/>
      <c r="AG16" s="918">
        <f>'Energy NPV'!U69</f>
        <v>316.00314399999996</v>
      </c>
      <c r="AH16" s="197"/>
      <c r="AI16" s="197">
        <f t="shared" si="31"/>
        <v>316.00314399999996</v>
      </c>
      <c r="AJ16" s="197">
        <f t="shared" si="3"/>
        <v>340.24685600000004</v>
      </c>
      <c r="AK16" s="197">
        <f t="shared" si="4"/>
        <v>670.24685599999998</v>
      </c>
      <c r="AL16" s="196">
        <f t="shared" si="32"/>
        <v>583.06962519467083</v>
      </c>
      <c r="AM16" s="197">
        <f t="shared" si="33"/>
        <v>293.20072581217738</v>
      </c>
      <c r="AN16" s="197">
        <f t="shared" si="34"/>
        <v>280.76470054463636</v>
      </c>
      <c r="AO16" s="197">
        <f t="shared" si="35"/>
        <v>302.30492465003454</v>
      </c>
      <c r="AP16" s="199">
        <f t="shared" si="36"/>
        <v>595.50565046221186</v>
      </c>
      <c r="AQ16" s="196">
        <f t="shared" si="73"/>
        <v>2334.6376978093917</v>
      </c>
      <c r="AR16" s="197">
        <f t="shared" si="37"/>
        <v>1556.642472927422</v>
      </c>
      <c r="AS16" s="197">
        <f t="shared" si="37"/>
        <v>7379.4906675553248</v>
      </c>
      <c r="AT16" s="197">
        <f t="shared" si="37"/>
        <v>-5044.8529697459326</v>
      </c>
      <c r="AU16" s="199">
        <f t="shared" si="37"/>
        <v>-3488.2104968185104</v>
      </c>
      <c r="AX16" s="204">
        <f t="shared" si="74"/>
        <v>5</v>
      </c>
      <c r="AY16" s="197">
        <f t="shared" si="5"/>
        <v>5</v>
      </c>
      <c r="AZ16" s="197">
        <f>'Energy margins'!$S$12</f>
        <v>43.75</v>
      </c>
      <c r="BA16" s="197">
        <f t="shared" si="38"/>
        <v>218.75</v>
      </c>
      <c r="BB16" s="197">
        <f>'Margins summary'!$U$14</f>
        <v>330</v>
      </c>
      <c r="BC16" s="197">
        <f t="shared" si="39"/>
        <v>548.75</v>
      </c>
      <c r="BD16" s="197"/>
      <c r="BE16" s="918">
        <f>'Energy NPV'!U69</f>
        <v>316.00314399999996</v>
      </c>
      <c r="BF16" s="197"/>
      <c r="BG16" s="197">
        <f t="shared" si="40"/>
        <v>316.00314399999996</v>
      </c>
      <c r="BH16" s="197">
        <f t="shared" si="6"/>
        <v>-97.253143999999963</v>
      </c>
      <c r="BI16" s="197">
        <f t="shared" si="7"/>
        <v>232.74685600000004</v>
      </c>
      <c r="BJ16" s="196">
        <f t="shared" si="41"/>
        <v>194.35654173155697</v>
      </c>
      <c r="BK16" s="197">
        <f t="shared" si="42"/>
        <v>293.20072581217738</v>
      </c>
      <c r="BL16" s="197">
        <f t="shared" si="43"/>
        <v>280.76470054463636</v>
      </c>
      <c r="BM16" s="197">
        <f t="shared" si="44"/>
        <v>-86.408158813079368</v>
      </c>
      <c r="BN16" s="199">
        <f t="shared" si="45"/>
        <v>206.792566999098</v>
      </c>
      <c r="BO16" s="196">
        <f t="shared" si="75"/>
        <v>778.21256593646399</v>
      </c>
      <c r="BP16" s="197">
        <f t="shared" si="46"/>
        <v>1556.642472927422</v>
      </c>
      <c r="BQ16" s="197">
        <f t="shared" si="47"/>
        <v>7379.4906675553248</v>
      </c>
      <c r="BR16" s="197">
        <f t="shared" si="48"/>
        <v>-6601.2781016188601</v>
      </c>
      <c r="BS16" s="199">
        <f t="shared" si="49"/>
        <v>-5044.6356286914379</v>
      </c>
      <c r="BT16" s="197"/>
      <c r="BV16" s="204">
        <f t="shared" si="76"/>
        <v>5</v>
      </c>
      <c r="BW16" s="197">
        <f t="shared" si="8"/>
        <v>20</v>
      </c>
      <c r="BX16" s="197">
        <f>'Energy margins'!$S$12</f>
        <v>43.75</v>
      </c>
      <c r="BY16" s="197">
        <f t="shared" si="9"/>
        <v>875</v>
      </c>
      <c r="BZ16" s="197">
        <f>'Margins summary'!$U$14</f>
        <v>330</v>
      </c>
      <c r="CA16" s="197">
        <f t="shared" si="10"/>
        <v>1205</v>
      </c>
      <c r="CB16" s="197"/>
      <c r="CC16" s="918">
        <f>'Energy NPV'!U69</f>
        <v>316.00314399999996</v>
      </c>
      <c r="CD16" s="197"/>
      <c r="CE16" s="197">
        <f t="shared" si="11"/>
        <v>316.00314399999996</v>
      </c>
      <c r="CF16" s="197">
        <f t="shared" si="12"/>
        <v>558.99685599999998</v>
      </c>
      <c r="CG16" s="197">
        <f t="shared" si="13"/>
        <v>888.99685599999998</v>
      </c>
      <c r="CH16" s="196">
        <f t="shared" si="50"/>
        <v>777.42616692622789</v>
      </c>
      <c r="CI16" s="197">
        <f t="shared" si="51"/>
        <v>293.20072581217738</v>
      </c>
      <c r="CJ16" s="197">
        <f t="shared" si="52"/>
        <v>280.76470054463636</v>
      </c>
      <c r="CK16" s="197">
        <f t="shared" si="53"/>
        <v>496.66146638159148</v>
      </c>
      <c r="CL16" s="199">
        <f t="shared" si="54"/>
        <v>789.86219219376881</v>
      </c>
      <c r="CM16" s="196">
        <f t="shared" si="55"/>
        <v>3112.850263745856</v>
      </c>
      <c r="CN16" s="197">
        <f t="shared" si="56"/>
        <v>1556.642472927422</v>
      </c>
      <c r="CO16" s="197">
        <f t="shared" si="57"/>
        <v>7379.4906675553248</v>
      </c>
      <c r="CP16" s="197">
        <f t="shared" si="58"/>
        <v>-4266.640403809467</v>
      </c>
      <c r="CQ16" s="199">
        <f t="shared" si="59"/>
        <v>-2709.9979308820461</v>
      </c>
      <c r="CR16" s="197"/>
      <c r="CT16" s="204">
        <f t="shared" si="77"/>
        <v>5</v>
      </c>
      <c r="CU16" s="197">
        <f t="shared" si="14"/>
        <v>0</v>
      </c>
      <c r="CV16" s="197">
        <f>'Energy margins'!$S$12</f>
        <v>43.75</v>
      </c>
      <c r="CW16" s="197">
        <f t="shared" si="15"/>
        <v>0</v>
      </c>
      <c r="CX16" s="197">
        <f>'Margins summary'!$U$14</f>
        <v>330</v>
      </c>
      <c r="CY16" s="197">
        <f t="shared" si="16"/>
        <v>330</v>
      </c>
      <c r="CZ16" s="197"/>
      <c r="DA16" s="918">
        <f>'Energy NPV'!U69</f>
        <v>316.00314399999996</v>
      </c>
      <c r="DB16" s="197"/>
      <c r="DC16" s="197">
        <f t="shared" si="17"/>
        <v>316.00314399999996</v>
      </c>
      <c r="DD16" s="197">
        <f t="shared" si="18"/>
        <v>-316.00314399999996</v>
      </c>
      <c r="DE16" s="197">
        <f t="shared" si="19"/>
        <v>13.996856000000037</v>
      </c>
      <c r="DF16" s="196">
        <f t="shared" si="60"/>
        <v>0</v>
      </c>
      <c r="DG16" s="197">
        <f t="shared" si="61"/>
        <v>293.20072581217738</v>
      </c>
      <c r="DH16" s="197">
        <f t="shared" si="62"/>
        <v>280.76470054463636</v>
      </c>
      <c r="DI16" s="197">
        <f t="shared" si="63"/>
        <v>-280.76470054463636</v>
      </c>
      <c r="DJ16" s="199">
        <f t="shared" si="64"/>
        <v>12.436025267541032</v>
      </c>
      <c r="DK16" s="196">
        <f t="shared" si="65"/>
        <v>0</v>
      </c>
      <c r="DL16" s="197">
        <f t="shared" si="66"/>
        <v>1556.642472927422</v>
      </c>
      <c r="DM16" s="197">
        <f t="shared" si="67"/>
        <v>7379.4906675553248</v>
      </c>
      <c r="DN16" s="197">
        <f t="shared" si="68"/>
        <v>-7379.4906675553248</v>
      </c>
      <c r="DO16" s="199">
        <f t="shared" si="69"/>
        <v>-5822.8481946279016</v>
      </c>
    </row>
    <row r="17" spans="2:119" x14ac:dyDescent="0.3">
      <c r="B17" s="204">
        <f t="shared" si="70"/>
        <v>6</v>
      </c>
      <c r="C17" s="225">
        <f>'Energy NPV'!$D70*$E$8</f>
        <v>10</v>
      </c>
      <c r="D17" s="197">
        <f>'Energy margins'!$S$12</f>
        <v>43.75</v>
      </c>
      <c r="E17" s="197">
        <f t="shared" si="20"/>
        <v>437.5</v>
      </c>
      <c r="F17" s="197">
        <f>'Margins summary'!$U$14</f>
        <v>330</v>
      </c>
      <c r="G17" s="197">
        <f t="shared" si="21"/>
        <v>767.5</v>
      </c>
      <c r="H17" s="197"/>
      <c r="I17" s="918">
        <f>'Energy NPV'!U70</f>
        <v>316.00314399999996</v>
      </c>
      <c r="J17" s="197"/>
      <c r="K17" s="197">
        <f t="shared" si="22"/>
        <v>316.00314399999996</v>
      </c>
      <c r="L17" s="197">
        <f t="shared" si="0"/>
        <v>121.49685600000004</v>
      </c>
      <c r="M17" s="197">
        <f t="shared" si="1"/>
        <v>451.49685600000004</v>
      </c>
      <c r="N17" s="196">
        <f t="shared" si="23"/>
        <v>377.39134316807178</v>
      </c>
      <c r="O17" s="197">
        <f t="shared" si="24"/>
        <v>284.66089884677416</v>
      </c>
      <c r="P17" s="197">
        <f t="shared" si="25"/>
        <v>272.58708790741395</v>
      </c>
      <c r="Q17" s="197">
        <f t="shared" si="26"/>
        <v>104.80425526065787</v>
      </c>
      <c r="R17" s="199">
        <f t="shared" si="27"/>
        <v>389.465154107432</v>
      </c>
      <c r="S17" s="196">
        <f t="shared" si="71"/>
        <v>1933.8164750409996</v>
      </c>
      <c r="T17" s="197">
        <f t="shared" si="28"/>
        <v>1841.3033717741962</v>
      </c>
      <c r="U17" s="197">
        <f t="shared" si="28"/>
        <v>7652.0777554627384</v>
      </c>
      <c r="V17" s="197">
        <f t="shared" si="28"/>
        <v>-5718.2612804217388</v>
      </c>
      <c r="W17" s="199">
        <f t="shared" si="28"/>
        <v>-3876.9579086475414</v>
      </c>
      <c r="Z17" s="204">
        <f t="shared" si="72"/>
        <v>6</v>
      </c>
      <c r="AA17" s="197">
        <f t="shared" si="2"/>
        <v>15</v>
      </c>
      <c r="AB17" s="197">
        <f>'Energy margins'!$S$12</f>
        <v>43.75</v>
      </c>
      <c r="AC17" s="197">
        <f t="shared" si="29"/>
        <v>656.25</v>
      </c>
      <c r="AD17" s="197">
        <f>'Margins summary'!$U$14</f>
        <v>330</v>
      </c>
      <c r="AE17" s="197">
        <f t="shared" si="30"/>
        <v>986.25</v>
      </c>
      <c r="AF17" s="197"/>
      <c r="AG17" s="918">
        <f>'Energy NPV'!U70</f>
        <v>316.00314399999996</v>
      </c>
      <c r="AH17" s="197"/>
      <c r="AI17" s="197">
        <f t="shared" si="31"/>
        <v>316.00314399999996</v>
      </c>
      <c r="AJ17" s="197">
        <f t="shared" si="3"/>
        <v>340.24685600000004</v>
      </c>
      <c r="AK17" s="197">
        <f t="shared" si="4"/>
        <v>670.24685599999998</v>
      </c>
      <c r="AL17" s="196">
        <f t="shared" si="32"/>
        <v>566.08701475210773</v>
      </c>
      <c r="AM17" s="197">
        <f t="shared" si="33"/>
        <v>284.66089884677416</v>
      </c>
      <c r="AN17" s="197">
        <f t="shared" si="34"/>
        <v>272.58708790741395</v>
      </c>
      <c r="AO17" s="197">
        <f t="shared" si="35"/>
        <v>293.49992684469379</v>
      </c>
      <c r="AP17" s="199">
        <f t="shared" si="36"/>
        <v>578.16082569146783</v>
      </c>
      <c r="AQ17" s="196">
        <f t="shared" si="73"/>
        <v>2900.7247125614995</v>
      </c>
      <c r="AR17" s="197">
        <f t="shared" si="37"/>
        <v>1841.3033717741962</v>
      </c>
      <c r="AS17" s="197">
        <f t="shared" si="37"/>
        <v>7652.0777554627384</v>
      </c>
      <c r="AT17" s="197">
        <f t="shared" si="37"/>
        <v>-4751.353042901239</v>
      </c>
      <c r="AU17" s="199">
        <f t="shared" si="37"/>
        <v>-2910.0496711270425</v>
      </c>
      <c r="AX17" s="204">
        <f t="shared" si="74"/>
        <v>6</v>
      </c>
      <c r="AY17" s="197">
        <f t="shared" si="5"/>
        <v>5</v>
      </c>
      <c r="AZ17" s="197">
        <f>'Energy margins'!$S$12</f>
        <v>43.75</v>
      </c>
      <c r="BA17" s="197">
        <f t="shared" si="38"/>
        <v>218.75</v>
      </c>
      <c r="BB17" s="197">
        <f>'Margins summary'!$U$14</f>
        <v>330</v>
      </c>
      <c r="BC17" s="197">
        <f t="shared" si="39"/>
        <v>548.75</v>
      </c>
      <c r="BD17" s="197"/>
      <c r="BE17" s="918">
        <f>'Energy NPV'!U70</f>
        <v>316.00314399999996</v>
      </c>
      <c r="BF17" s="197"/>
      <c r="BG17" s="197">
        <f t="shared" si="40"/>
        <v>316.00314399999996</v>
      </c>
      <c r="BH17" s="197">
        <f t="shared" si="6"/>
        <v>-97.253143999999963</v>
      </c>
      <c r="BI17" s="197">
        <f t="shared" si="7"/>
        <v>232.74685600000004</v>
      </c>
      <c r="BJ17" s="196">
        <f t="shared" si="41"/>
        <v>188.69567158403589</v>
      </c>
      <c r="BK17" s="197">
        <f t="shared" si="42"/>
        <v>284.66089884677416</v>
      </c>
      <c r="BL17" s="197">
        <f t="shared" si="43"/>
        <v>272.58708790741395</v>
      </c>
      <c r="BM17" s="197">
        <f t="shared" si="44"/>
        <v>-83.891416323378024</v>
      </c>
      <c r="BN17" s="199">
        <f t="shared" si="45"/>
        <v>200.76948252339614</v>
      </c>
      <c r="BO17" s="196">
        <f t="shared" si="75"/>
        <v>966.90823752049982</v>
      </c>
      <c r="BP17" s="197">
        <f t="shared" si="46"/>
        <v>1841.3033717741962</v>
      </c>
      <c r="BQ17" s="197">
        <f t="shared" si="47"/>
        <v>7652.0777554627384</v>
      </c>
      <c r="BR17" s="197">
        <f t="shared" si="48"/>
        <v>-6685.1695179422377</v>
      </c>
      <c r="BS17" s="199">
        <f t="shared" si="49"/>
        <v>-4843.8661461680422</v>
      </c>
      <c r="BT17" s="197"/>
      <c r="BV17" s="204">
        <f t="shared" si="76"/>
        <v>6</v>
      </c>
      <c r="BW17" s="197">
        <f t="shared" si="8"/>
        <v>20</v>
      </c>
      <c r="BX17" s="197">
        <f>'Energy margins'!$S$12</f>
        <v>43.75</v>
      </c>
      <c r="BY17" s="197">
        <f t="shared" si="9"/>
        <v>875</v>
      </c>
      <c r="BZ17" s="197">
        <f>'Margins summary'!$U$14</f>
        <v>330</v>
      </c>
      <c r="CA17" s="197">
        <f t="shared" si="10"/>
        <v>1205</v>
      </c>
      <c r="CB17" s="197"/>
      <c r="CC17" s="918">
        <f>'Energy NPV'!U70</f>
        <v>316.00314399999996</v>
      </c>
      <c r="CD17" s="197"/>
      <c r="CE17" s="197">
        <f t="shared" si="11"/>
        <v>316.00314399999996</v>
      </c>
      <c r="CF17" s="197">
        <f t="shared" si="12"/>
        <v>558.99685599999998</v>
      </c>
      <c r="CG17" s="197">
        <f t="shared" si="13"/>
        <v>888.99685599999998</v>
      </c>
      <c r="CH17" s="196">
        <f t="shared" si="50"/>
        <v>754.78268633614357</v>
      </c>
      <c r="CI17" s="197">
        <f t="shared" si="51"/>
        <v>284.66089884677416</v>
      </c>
      <c r="CJ17" s="197">
        <f t="shared" si="52"/>
        <v>272.58708790741395</v>
      </c>
      <c r="CK17" s="197">
        <f t="shared" si="53"/>
        <v>482.19559842872962</v>
      </c>
      <c r="CL17" s="199">
        <f t="shared" si="54"/>
        <v>766.85649727550378</v>
      </c>
      <c r="CM17" s="196">
        <f t="shared" si="55"/>
        <v>3867.6329500819993</v>
      </c>
      <c r="CN17" s="197">
        <f t="shared" si="56"/>
        <v>1841.3033717741962</v>
      </c>
      <c r="CO17" s="197">
        <f t="shared" si="57"/>
        <v>7652.0777554627384</v>
      </c>
      <c r="CP17" s="197">
        <f t="shared" si="58"/>
        <v>-3784.4448053807373</v>
      </c>
      <c r="CQ17" s="199">
        <f t="shared" si="59"/>
        <v>-1943.1414336065423</v>
      </c>
      <c r="CR17" s="197"/>
      <c r="CT17" s="204">
        <f t="shared" si="77"/>
        <v>6</v>
      </c>
      <c r="CU17" s="197">
        <f t="shared" si="14"/>
        <v>0</v>
      </c>
      <c r="CV17" s="197">
        <f>'Energy margins'!$S$12</f>
        <v>43.75</v>
      </c>
      <c r="CW17" s="197">
        <f t="shared" si="15"/>
        <v>0</v>
      </c>
      <c r="CX17" s="197">
        <f>'Margins summary'!$U$14</f>
        <v>330</v>
      </c>
      <c r="CY17" s="197">
        <f t="shared" si="16"/>
        <v>330</v>
      </c>
      <c r="CZ17" s="197"/>
      <c r="DA17" s="918">
        <f>'Energy NPV'!U70</f>
        <v>316.00314399999996</v>
      </c>
      <c r="DB17" s="197"/>
      <c r="DC17" s="197">
        <f t="shared" si="17"/>
        <v>316.00314399999996</v>
      </c>
      <c r="DD17" s="197">
        <f t="shared" si="18"/>
        <v>-316.00314399999996</v>
      </c>
      <c r="DE17" s="197">
        <f t="shared" si="19"/>
        <v>13.996856000000037</v>
      </c>
      <c r="DF17" s="196">
        <f t="shared" si="60"/>
        <v>0</v>
      </c>
      <c r="DG17" s="197">
        <f t="shared" si="61"/>
        <v>284.66089884677416</v>
      </c>
      <c r="DH17" s="197">
        <f t="shared" si="62"/>
        <v>272.58708790741395</v>
      </c>
      <c r="DI17" s="197">
        <f t="shared" si="63"/>
        <v>-272.58708790741395</v>
      </c>
      <c r="DJ17" s="199">
        <f t="shared" si="64"/>
        <v>12.073810939360225</v>
      </c>
      <c r="DK17" s="196">
        <f t="shared" si="65"/>
        <v>0</v>
      </c>
      <c r="DL17" s="197">
        <f t="shared" si="66"/>
        <v>1841.3033717741962</v>
      </c>
      <c r="DM17" s="197">
        <f t="shared" si="67"/>
        <v>7652.0777554627384</v>
      </c>
      <c r="DN17" s="197">
        <f t="shared" si="68"/>
        <v>-7652.0777554627384</v>
      </c>
      <c r="DO17" s="199">
        <f t="shared" si="69"/>
        <v>-5810.7743836885411</v>
      </c>
    </row>
    <row r="18" spans="2:119" x14ac:dyDescent="0.3">
      <c r="B18" s="204">
        <f t="shared" si="70"/>
        <v>7</v>
      </c>
      <c r="C18" s="225">
        <f>'Energy NPV'!$D71*$E$8</f>
        <v>10</v>
      </c>
      <c r="D18" s="197">
        <f>'Energy margins'!$S$12</f>
        <v>43.75</v>
      </c>
      <c r="E18" s="197">
        <f t="shared" si="20"/>
        <v>437.5</v>
      </c>
      <c r="F18" s="197">
        <f>'Margins summary'!$U$14</f>
        <v>330</v>
      </c>
      <c r="G18" s="197">
        <f t="shared" si="21"/>
        <v>767.5</v>
      </c>
      <c r="H18" s="197"/>
      <c r="I18" s="918">
        <f>'Energy NPV'!U71</f>
        <v>316.00314399999996</v>
      </c>
      <c r="J18" s="197"/>
      <c r="K18" s="197">
        <f t="shared" si="22"/>
        <v>316.00314399999996</v>
      </c>
      <c r="L18" s="197">
        <f t="shared" si="0"/>
        <v>121.49685600000004</v>
      </c>
      <c r="M18" s="197">
        <f t="shared" si="1"/>
        <v>451.49685600000004</v>
      </c>
      <c r="N18" s="196">
        <f t="shared" si="23"/>
        <v>366.39936229909881</v>
      </c>
      <c r="O18" s="197">
        <f t="shared" si="24"/>
        <v>276.36980470560593</v>
      </c>
      <c r="P18" s="197">
        <f t="shared" si="25"/>
        <v>264.64765816253777</v>
      </c>
      <c r="Q18" s="197">
        <f t="shared" si="26"/>
        <v>101.75170413656103</v>
      </c>
      <c r="R18" s="199">
        <f t="shared" si="27"/>
        <v>378.12150884216697</v>
      </c>
      <c r="S18" s="196">
        <f t="shared" si="71"/>
        <v>2300.2158373400985</v>
      </c>
      <c r="T18" s="197">
        <f t="shared" si="28"/>
        <v>2117.6731764798024</v>
      </c>
      <c r="U18" s="197">
        <f t="shared" si="28"/>
        <v>7916.7254136252759</v>
      </c>
      <c r="V18" s="197">
        <f t="shared" si="28"/>
        <v>-5616.5095762851779</v>
      </c>
      <c r="W18" s="199">
        <f t="shared" si="28"/>
        <v>-3498.8363998053746</v>
      </c>
      <c r="Z18" s="204">
        <f t="shared" si="72"/>
        <v>7</v>
      </c>
      <c r="AA18" s="197">
        <f t="shared" si="2"/>
        <v>15</v>
      </c>
      <c r="AB18" s="197">
        <f>'Energy margins'!$S$12</f>
        <v>43.75</v>
      </c>
      <c r="AC18" s="197">
        <f t="shared" si="29"/>
        <v>656.25</v>
      </c>
      <c r="AD18" s="197">
        <f>'Margins summary'!$U$14</f>
        <v>330</v>
      </c>
      <c r="AE18" s="197">
        <f t="shared" si="30"/>
        <v>986.25</v>
      </c>
      <c r="AF18" s="197"/>
      <c r="AG18" s="918">
        <f>'Energy NPV'!U71</f>
        <v>316.00314399999996</v>
      </c>
      <c r="AH18" s="197"/>
      <c r="AI18" s="197">
        <f t="shared" si="31"/>
        <v>316.00314399999996</v>
      </c>
      <c r="AJ18" s="197">
        <f t="shared" si="3"/>
        <v>340.24685600000004</v>
      </c>
      <c r="AK18" s="197">
        <f t="shared" si="4"/>
        <v>670.24685599999998</v>
      </c>
      <c r="AL18" s="196">
        <f t="shared" si="32"/>
        <v>549.59904344864822</v>
      </c>
      <c r="AM18" s="197">
        <f t="shared" si="33"/>
        <v>276.36980470560593</v>
      </c>
      <c r="AN18" s="197">
        <f t="shared" si="34"/>
        <v>264.64765816253777</v>
      </c>
      <c r="AO18" s="197">
        <f t="shared" si="35"/>
        <v>284.95138528611045</v>
      </c>
      <c r="AP18" s="199">
        <f t="shared" si="36"/>
        <v>561.32118999171632</v>
      </c>
      <c r="AQ18" s="196">
        <f t="shared" si="73"/>
        <v>3450.3237560101479</v>
      </c>
      <c r="AR18" s="197">
        <f t="shared" si="37"/>
        <v>2117.6731764798024</v>
      </c>
      <c r="AS18" s="197">
        <f t="shared" si="37"/>
        <v>7916.7254136252759</v>
      </c>
      <c r="AT18" s="197">
        <f t="shared" si="37"/>
        <v>-4466.4016576151289</v>
      </c>
      <c r="AU18" s="199">
        <f t="shared" si="37"/>
        <v>-2348.7284811353261</v>
      </c>
      <c r="AX18" s="204">
        <f t="shared" si="74"/>
        <v>7</v>
      </c>
      <c r="AY18" s="197">
        <f t="shared" si="5"/>
        <v>5</v>
      </c>
      <c r="AZ18" s="197">
        <f>'Energy margins'!$S$12</f>
        <v>43.75</v>
      </c>
      <c r="BA18" s="197">
        <f t="shared" si="38"/>
        <v>218.75</v>
      </c>
      <c r="BB18" s="197">
        <f>'Margins summary'!$U$14</f>
        <v>330</v>
      </c>
      <c r="BC18" s="197">
        <f t="shared" si="39"/>
        <v>548.75</v>
      </c>
      <c r="BD18" s="197"/>
      <c r="BE18" s="918">
        <f>'Energy NPV'!U71</f>
        <v>316.00314399999996</v>
      </c>
      <c r="BF18" s="197"/>
      <c r="BG18" s="197">
        <f t="shared" si="40"/>
        <v>316.00314399999996</v>
      </c>
      <c r="BH18" s="197">
        <f t="shared" si="6"/>
        <v>-97.253143999999963</v>
      </c>
      <c r="BI18" s="197">
        <f t="shared" si="7"/>
        <v>232.74685600000004</v>
      </c>
      <c r="BJ18" s="196">
        <f t="shared" si="41"/>
        <v>183.19968114954941</v>
      </c>
      <c r="BK18" s="197">
        <f t="shared" si="42"/>
        <v>276.36980470560593</v>
      </c>
      <c r="BL18" s="197">
        <f t="shared" si="43"/>
        <v>264.64765816253777</v>
      </c>
      <c r="BM18" s="197">
        <f t="shared" si="44"/>
        <v>-81.447977012988375</v>
      </c>
      <c r="BN18" s="199">
        <f t="shared" si="45"/>
        <v>194.92182769261757</v>
      </c>
      <c r="BO18" s="196">
        <f t="shared" si="75"/>
        <v>1150.1079186700492</v>
      </c>
      <c r="BP18" s="197">
        <f t="shared" si="46"/>
        <v>2117.6731764798024</v>
      </c>
      <c r="BQ18" s="197">
        <f t="shared" si="47"/>
        <v>7916.7254136252759</v>
      </c>
      <c r="BR18" s="197">
        <f t="shared" si="48"/>
        <v>-6766.617494955226</v>
      </c>
      <c r="BS18" s="199">
        <f t="shared" si="49"/>
        <v>-4648.9443184754246</v>
      </c>
      <c r="BT18" s="197"/>
      <c r="BV18" s="204">
        <f t="shared" si="76"/>
        <v>7</v>
      </c>
      <c r="BW18" s="197">
        <f t="shared" si="8"/>
        <v>20</v>
      </c>
      <c r="BX18" s="197">
        <f>'Energy margins'!$S$12</f>
        <v>43.75</v>
      </c>
      <c r="BY18" s="197">
        <f t="shared" si="9"/>
        <v>875</v>
      </c>
      <c r="BZ18" s="197">
        <f>'Margins summary'!$U$14</f>
        <v>330</v>
      </c>
      <c r="CA18" s="197">
        <f t="shared" si="10"/>
        <v>1205</v>
      </c>
      <c r="CB18" s="197"/>
      <c r="CC18" s="918">
        <f>'Energy NPV'!U71</f>
        <v>316.00314399999996</v>
      </c>
      <c r="CD18" s="197"/>
      <c r="CE18" s="197">
        <f t="shared" si="11"/>
        <v>316.00314399999996</v>
      </c>
      <c r="CF18" s="197">
        <f t="shared" si="12"/>
        <v>558.99685599999998</v>
      </c>
      <c r="CG18" s="197">
        <f t="shared" si="13"/>
        <v>888.99685599999998</v>
      </c>
      <c r="CH18" s="196">
        <f t="shared" si="50"/>
        <v>732.79872459819762</v>
      </c>
      <c r="CI18" s="197">
        <f t="shared" si="51"/>
        <v>276.36980470560593</v>
      </c>
      <c r="CJ18" s="197">
        <f t="shared" si="52"/>
        <v>264.64765816253777</v>
      </c>
      <c r="CK18" s="197">
        <f t="shared" si="53"/>
        <v>468.1510664356598</v>
      </c>
      <c r="CL18" s="199">
        <f t="shared" si="54"/>
        <v>744.52087114126573</v>
      </c>
      <c r="CM18" s="196">
        <f t="shared" si="55"/>
        <v>4600.4316746801969</v>
      </c>
      <c r="CN18" s="197">
        <f t="shared" si="56"/>
        <v>2117.6731764798024</v>
      </c>
      <c r="CO18" s="197">
        <f t="shared" si="57"/>
        <v>7916.7254136252759</v>
      </c>
      <c r="CP18" s="197">
        <f t="shared" si="58"/>
        <v>-3316.2937389450776</v>
      </c>
      <c r="CQ18" s="199">
        <f t="shared" si="59"/>
        <v>-1198.6205624652766</v>
      </c>
      <c r="CR18" s="197"/>
      <c r="CT18" s="204">
        <f t="shared" si="77"/>
        <v>7</v>
      </c>
      <c r="CU18" s="197">
        <f t="shared" si="14"/>
        <v>0</v>
      </c>
      <c r="CV18" s="197">
        <f>'Energy margins'!$S$12</f>
        <v>43.75</v>
      </c>
      <c r="CW18" s="197">
        <f t="shared" si="15"/>
        <v>0</v>
      </c>
      <c r="CX18" s="197">
        <f>'Margins summary'!$U$14</f>
        <v>330</v>
      </c>
      <c r="CY18" s="197">
        <f t="shared" si="16"/>
        <v>330</v>
      </c>
      <c r="CZ18" s="197"/>
      <c r="DA18" s="918">
        <f>'Energy NPV'!U71</f>
        <v>316.00314399999996</v>
      </c>
      <c r="DB18" s="197"/>
      <c r="DC18" s="197">
        <f t="shared" si="17"/>
        <v>316.00314399999996</v>
      </c>
      <c r="DD18" s="197">
        <f t="shared" si="18"/>
        <v>-316.00314399999996</v>
      </c>
      <c r="DE18" s="197">
        <f t="shared" si="19"/>
        <v>13.996856000000037</v>
      </c>
      <c r="DF18" s="196">
        <f t="shared" si="60"/>
        <v>0</v>
      </c>
      <c r="DG18" s="197">
        <f t="shared" si="61"/>
        <v>276.36980470560593</v>
      </c>
      <c r="DH18" s="197">
        <f t="shared" si="62"/>
        <v>264.64765816253777</v>
      </c>
      <c r="DI18" s="197">
        <f t="shared" si="63"/>
        <v>-264.64765816253777</v>
      </c>
      <c r="DJ18" s="199">
        <f t="shared" si="64"/>
        <v>11.722146543068179</v>
      </c>
      <c r="DK18" s="196">
        <f t="shared" si="65"/>
        <v>0</v>
      </c>
      <c r="DL18" s="197">
        <f t="shared" si="66"/>
        <v>2117.6731764798024</v>
      </c>
      <c r="DM18" s="197">
        <f t="shared" si="67"/>
        <v>7916.7254136252759</v>
      </c>
      <c r="DN18" s="197">
        <f t="shared" si="68"/>
        <v>-7916.7254136252759</v>
      </c>
      <c r="DO18" s="199">
        <f t="shared" si="69"/>
        <v>-5799.0522371454726</v>
      </c>
    </row>
    <row r="19" spans="2:119" x14ac:dyDescent="0.3">
      <c r="B19" s="204">
        <f t="shared" si="70"/>
        <v>8</v>
      </c>
      <c r="C19" s="225">
        <f>'Energy NPV'!$D72*$E$8</f>
        <v>10</v>
      </c>
      <c r="D19" s="197">
        <f>'Energy margins'!$S$12</f>
        <v>43.75</v>
      </c>
      <c r="E19" s="197">
        <f t="shared" si="20"/>
        <v>437.5</v>
      </c>
      <c r="F19" s="197">
        <f>'Margins summary'!$U$14</f>
        <v>330</v>
      </c>
      <c r="G19" s="197">
        <f t="shared" si="21"/>
        <v>767.5</v>
      </c>
      <c r="H19" s="197"/>
      <c r="I19" s="918">
        <f>'Energy NPV'!U72</f>
        <v>316.00314399999996</v>
      </c>
      <c r="J19" s="197"/>
      <c r="K19" s="197">
        <f t="shared" si="22"/>
        <v>316.00314399999996</v>
      </c>
      <c r="L19" s="197">
        <f t="shared" si="0"/>
        <v>121.49685600000004</v>
      </c>
      <c r="M19" s="197">
        <f t="shared" si="1"/>
        <v>451.49685600000004</v>
      </c>
      <c r="N19" s="196">
        <f t="shared" si="23"/>
        <v>355.72753621271727</v>
      </c>
      <c r="O19" s="197">
        <f t="shared" si="24"/>
        <v>268.32019874330672</v>
      </c>
      <c r="P19" s="197">
        <f t="shared" si="25"/>
        <v>256.93947394421144</v>
      </c>
      <c r="Q19" s="197">
        <f t="shared" si="26"/>
        <v>98.788062268505854</v>
      </c>
      <c r="R19" s="199">
        <f t="shared" si="27"/>
        <v>367.1082610118126</v>
      </c>
      <c r="S19" s="196">
        <f t="shared" si="71"/>
        <v>2655.9433735528155</v>
      </c>
      <c r="T19" s="197">
        <f t="shared" si="28"/>
        <v>2385.9933752231091</v>
      </c>
      <c r="U19" s="197">
        <f t="shared" si="28"/>
        <v>8173.6648875694873</v>
      </c>
      <c r="V19" s="197">
        <f t="shared" si="28"/>
        <v>-5517.7215140166718</v>
      </c>
      <c r="W19" s="199">
        <f t="shared" si="28"/>
        <v>-3131.7281387935618</v>
      </c>
      <c r="Z19" s="204">
        <f t="shared" si="72"/>
        <v>8</v>
      </c>
      <c r="AA19" s="197">
        <f t="shared" si="2"/>
        <v>15</v>
      </c>
      <c r="AB19" s="197">
        <f>'Energy margins'!$S$12</f>
        <v>43.75</v>
      </c>
      <c r="AC19" s="197">
        <f t="shared" si="29"/>
        <v>656.25</v>
      </c>
      <c r="AD19" s="197">
        <f>'Margins summary'!$U$14</f>
        <v>330</v>
      </c>
      <c r="AE19" s="197">
        <f t="shared" si="30"/>
        <v>986.25</v>
      </c>
      <c r="AF19" s="197"/>
      <c r="AG19" s="918">
        <f>'Energy NPV'!U72</f>
        <v>316.00314399999996</v>
      </c>
      <c r="AH19" s="197"/>
      <c r="AI19" s="197">
        <f t="shared" si="31"/>
        <v>316.00314399999996</v>
      </c>
      <c r="AJ19" s="197">
        <f t="shared" si="3"/>
        <v>340.24685600000004</v>
      </c>
      <c r="AK19" s="197">
        <f t="shared" si="4"/>
        <v>670.24685599999998</v>
      </c>
      <c r="AL19" s="196">
        <f t="shared" si="32"/>
        <v>533.5913043190759</v>
      </c>
      <c r="AM19" s="197">
        <f t="shared" si="33"/>
        <v>268.32019874330672</v>
      </c>
      <c r="AN19" s="197">
        <f t="shared" si="34"/>
        <v>256.93947394421144</v>
      </c>
      <c r="AO19" s="197">
        <f t="shared" si="35"/>
        <v>276.65183037486446</v>
      </c>
      <c r="AP19" s="199">
        <f t="shared" si="36"/>
        <v>544.97202911817112</v>
      </c>
      <c r="AQ19" s="196">
        <f t="shared" si="73"/>
        <v>3983.9150603292237</v>
      </c>
      <c r="AR19" s="197">
        <f t="shared" si="37"/>
        <v>2385.9933752231091</v>
      </c>
      <c r="AS19" s="197">
        <f t="shared" si="37"/>
        <v>8173.6648875694873</v>
      </c>
      <c r="AT19" s="197">
        <f t="shared" si="37"/>
        <v>-4189.7498272402645</v>
      </c>
      <c r="AU19" s="199">
        <f t="shared" si="37"/>
        <v>-1803.756452017155</v>
      </c>
      <c r="AX19" s="204">
        <f t="shared" si="74"/>
        <v>8</v>
      </c>
      <c r="AY19" s="197">
        <f t="shared" si="5"/>
        <v>5</v>
      </c>
      <c r="AZ19" s="197">
        <f>'Energy margins'!$S$12</f>
        <v>43.75</v>
      </c>
      <c r="BA19" s="197">
        <f t="shared" si="38"/>
        <v>218.75</v>
      </c>
      <c r="BB19" s="197">
        <f>'Margins summary'!$U$14</f>
        <v>330</v>
      </c>
      <c r="BC19" s="197">
        <f t="shared" si="39"/>
        <v>548.75</v>
      </c>
      <c r="BD19" s="197"/>
      <c r="BE19" s="918">
        <f>'Energy NPV'!U72</f>
        <v>316.00314399999996</v>
      </c>
      <c r="BF19" s="197"/>
      <c r="BG19" s="197">
        <f t="shared" si="40"/>
        <v>316.00314399999996</v>
      </c>
      <c r="BH19" s="197">
        <f t="shared" si="6"/>
        <v>-97.253143999999963</v>
      </c>
      <c r="BI19" s="197">
        <f t="shared" si="7"/>
        <v>232.74685600000004</v>
      </c>
      <c r="BJ19" s="196">
        <f t="shared" si="41"/>
        <v>177.86376810635863</v>
      </c>
      <c r="BK19" s="197">
        <f t="shared" si="42"/>
        <v>268.32019874330672</v>
      </c>
      <c r="BL19" s="197">
        <f t="shared" si="43"/>
        <v>256.93947394421144</v>
      </c>
      <c r="BM19" s="197">
        <f t="shared" si="44"/>
        <v>-79.07570583785278</v>
      </c>
      <c r="BN19" s="199">
        <f t="shared" si="45"/>
        <v>189.24449290545394</v>
      </c>
      <c r="BO19" s="196">
        <f t="shared" si="75"/>
        <v>1327.9716867764078</v>
      </c>
      <c r="BP19" s="197">
        <f t="shared" si="46"/>
        <v>2385.9933752231091</v>
      </c>
      <c r="BQ19" s="197">
        <f t="shared" si="47"/>
        <v>8173.6648875694873</v>
      </c>
      <c r="BR19" s="197">
        <f t="shared" si="48"/>
        <v>-6845.6932007930791</v>
      </c>
      <c r="BS19" s="199">
        <f t="shared" si="49"/>
        <v>-4459.6998255699709</v>
      </c>
      <c r="BT19" s="197"/>
      <c r="BV19" s="204">
        <f t="shared" si="76"/>
        <v>8</v>
      </c>
      <c r="BW19" s="197">
        <f t="shared" si="8"/>
        <v>20</v>
      </c>
      <c r="BX19" s="197">
        <f>'Energy margins'!$S$12</f>
        <v>43.75</v>
      </c>
      <c r="BY19" s="197">
        <f t="shared" si="9"/>
        <v>875</v>
      </c>
      <c r="BZ19" s="197">
        <f>'Margins summary'!$U$14</f>
        <v>330</v>
      </c>
      <c r="CA19" s="197">
        <f t="shared" si="10"/>
        <v>1205</v>
      </c>
      <c r="CB19" s="197"/>
      <c r="CC19" s="918">
        <f>'Energy NPV'!U72</f>
        <v>316.00314399999996</v>
      </c>
      <c r="CD19" s="197"/>
      <c r="CE19" s="197">
        <f t="shared" si="11"/>
        <v>316.00314399999996</v>
      </c>
      <c r="CF19" s="197">
        <f t="shared" si="12"/>
        <v>558.99685599999998</v>
      </c>
      <c r="CG19" s="197">
        <f t="shared" si="13"/>
        <v>888.99685599999998</v>
      </c>
      <c r="CH19" s="196">
        <f t="shared" si="50"/>
        <v>711.45507242543454</v>
      </c>
      <c r="CI19" s="197">
        <f t="shared" si="51"/>
        <v>268.32019874330672</v>
      </c>
      <c r="CJ19" s="197">
        <f t="shared" si="52"/>
        <v>256.93947394421144</v>
      </c>
      <c r="CK19" s="197">
        <f t="shared" si="53"/>
        <v>454.51559848122309</v>
      </c>
      <c r="CL19" s="199">
        <f t="shared" si="54"/>
        <v>722.83579722452976</v>
      </c>
      <c r="CM19" s="196">
        <f t="shared" si="55"/>
        <v>5311.886747105631</v>
      </c>
      <c r="CN19" s="197">
        <f t="shared" si="56"/>
        <v>2385.9933752231091</v>
      </c>
      <c r="CO19" s="197">
        <f t="shared" si="57"/>
        <v>8173.6648875694873</v>
      </c>
      <c r="CP19" s="197">
        <f t="shared" si="58"/>
        <v>-2861.7781404638545</v>
      </c>
      <c r="CQ19" s="199">
        <f t="shared" si="59"/>
        <v>-475.78476524074688</v>
      </c>
      <c r="CR19" s="197"/>
      <c r="CT19" s="204">
        <f t="shared" si="77"/>
        <v>8</v>
      </c>
      <c r="CU19" s="197">
        <f t="shared" si="14"/>
        <v>0</v>
      </c>
      <c r="CV19" s="197">
        <f>'Energy margins'!$S$12</f>
        <v>43.75</v>
      </c>
      <c r="CW19" s="197">
        <f t="shared" si="15"/>
        <v>0</v>
      </c>
      <c r="CX19" s="197">
        <f>'Margins summary'!$U$14</f>
        <v>330</v>
      </c>
      <c r="CY19" s="197">
        <f t="shared" si="16"/>
        <v>330</v>
      </c>
      <c r="CZ19" s="197"/>
      <c r="DA19" s="918">
        <f>'Energy NPV'!U72</f>
        <v>316.00314399999996</v>
      </c>
      <c r="DB19" s="197"/>
      <c r="DC19" s="197">
        <f t="shared" si="17"/>
        <v>316.00314399999996</v>
      </c>
      <c r="DD19" s="197">
        <f t="shared" si="18"/>
        <v>-316.00314399999996</v>
      </c>
      <c r="DE19" s="197">
        <f t="shared" si="19"/>
        <v>13.996856000000037</v>
      </c>
      <c r="DF19" s="196">
        <f t="shared" si="60"/>
        <v>0</v>
      </c>
      <c r="DG19" s="197">
        <f t="shared" si="61"/>
        <v>268.32019874330672</v>
      </c>
      <c r="DH19" s="197">
        <f t="shared" si="62"/>
        <v>256.93947394421144</v>
      </c>
      <c r="DI19" s="197">
        <f t="shared" si="63"/>
        <v>-256.93947394421144</v>
      </c>
      <c r="DJ19" s="199">
        <f t="shared" si="64"/>
        <v>11.380724799095319</v>
      </c>
      <c r="DK19" s="196">
        <f t="shared" si="65"/>
        <v>0</v>
      </c>
      <c r="DL19" s="197">
        <f t="shared" si="66"/>
        <v>2385.9933752231091</v>
      </c>
      <c r="DM19" s="197">
        <f t="shared" si="67"/>
        <v>8173.6648875694873</v>
      </c>
      <c r="DN19" s="197">
        <f t="shared" si="68"/>
        <v>-8173.6648875694873</v>
      </c>
      <c r="DO19" s="199">
        <f t="shared" si="69"/>
        <v>-5787.6715123463773</v>
      </c>
    </row>
    <row r="20" spans="2:119" x14ac:dyDescent="0.3">
      <c r="B20" s="204">
        <f t="shared" si="70"/>
        <v>9</v>
      </c>
      <c r="C20" s="225">
        <f>'Energy NPV'!$D73*$E$8</f>
        <v>10</v>
      </c>
      <c r="D20" s="197">
        <f>'Energy margins'!$S$12</f>
        <v>43.75</v>
      </c>
      <c r="E20" s="197">
        <f t="shared" si="20"/>
        <v>437.5</v>
      </c>
      <c r="F20" s="197">
        <f>'Margins summary'!$U$14</f>
        <v>330</v>
      </c>
      <c r="G20" s="197">
        <f t="shared" si="21"/>
        <v>767.5</v>
      </c>
      <c r="H20" s="197"/>
      <c r="I20" s="918">
        <f>'Energy NPV'!U73</f>
        <v>316.00314399999996</v>
      </c>
      <c r="J20" s="197"/>
      <c r="K20" s="197">
        <f t="shared" si="22"/>
        <v>316.00314399999996</v>
      </c>
      <c r="L20" s="197">
        <f t="shared" si="0"/>
        <v>121.49685600000004</v>
      </c>
      <c r="M20" s="197">
        <f t="shared" si="1"/>
        <v>451.49685600000004</v>
      </c>
      <c r="N20" s="196">
        <f t="shared" si="23"/>
        <v>345.36654001234689</v>
      </c>
      <c r="O20" s="197">
        <f t="shared" si="24"/>
        <v>260.50504732359883</v>
      </c>
      <c r="P20" s="197">
        <f t="shared" si="25"/>
        <v>249.45579994583636</v>
      </c>
      <c r="Q20" s="197">
        <f t="shared" si="26"/>
        <v>95.910740066510542</v>
      </c>
      <c r="R20" s="199">
        <f t="shared" si="27"/>
        <v>356.41578739010936</v>
      </c>
      <c r="S20" s="196">
        <f t="shared" si="71"/>
        <v>3001.3099135651623</v>
      </c>
      <c r="T20" s="197">
        <f t="shared" si="28"/>
        <v>2646.4984225467078</v>
      </c>
      <c r="U20" s="197">
        <f t="shared" si="28"/>
        <v>8423.1206875153239</v>
      </c>
      <c r="V20" s="197">
        <f t="shared" si="28"/>
        <v>-5421.8107739501611</v>
      </c>
      <c r="W20" s="199">
        <f t="shared" si="28"/>
        <v>-2775.3123514034523</v>
      </c>
      <c r="Z20" s="204">
        <f t="shared" si="72"/>
        <v>9</v>
      </c>
      <c r="AA20" s="197">
        <f t="shared" si="2"/>
        <v>15</v>
      </c>
      <c r="AB20" s="197">
        <f>'Energy margins'!$S$12</f>
        <v>43.75</v>
      </c>
      <c r="AC20" s="197">
        <f t="shared" si="29"/>
        <v>656.25</v>
      </c>
      <c r="AD20" s="197">
        <f>'Margins summary'!$U$14</f>
        <v>330</v>
      </c>
      <c r="AE20" s="197">
        <f t="shared" si="30"/>
        <v>986.25</v>
      </c>
      <c r="AF20" s="197"/>
      <c r="AG20" s="918">
        <f>'Energy NPV'!U73</f>
        <v>316.00314399999996</v>
      </c>
      <c r="AH20" s="197"/>
      <c r="AI20" s="197">
        <f t="shared" si="31"/>
        <v>316.00314399999996</v>
      </c>
      <c r="AJ20" s="197">
        <f t="shared" si="3"/>
        <v>340.24685600000004</v>
      </c>
      <c r="AK20" s="197">
        <f t="shared" si="4"/>
        <v>670.24685599999998</v>
      </c>
      <c r="AL20" s="196">
        <f t="shared" si="32"/>
        <v>518.04981001852036</v>
      </c>
      <c r="AM20" s="197">
        <f t="shared" si="33"/>
        <v>260.50504732359883</v>
      </c>
      <c r="AN20" s="197">
        <f t="shared" si="34"/>
        <v>249.45579994583636</v>
      </c>
      <c r="AO20" s="197">
        <f t="shared" si="35"/>
        <v>268.594010072684</v>
      </c>
      <c r="AP20" s="199">
        <f t="shared" si="36"/>
        <v>529.09905739628277</v>
      </c>
      <c r="AQ20" s="196">
        <f t="shared" si="73"/>
        <v>4501.9648703477442</v>
      </c>
      <c r="AR20" s="197">
        <f t="shared" si="37"/>
        <v>2646.4984225467078</v>
      </c>
      <c r="AS20" s="197">
        <f t="shared" si="37"/>
        <v>8423.1206875153239</v>
      </c>
      <c r="AT20" s="197">
        <f t="shared" si="37"/>
        <v>-3921.1558171675806</v>
      </c>
      <c r="AU20" s="199">
        <f t="shared" si="37"/>
        <v>-1274.6573946208723</v>
      </c>
      <c r="AX20" s="204">
        <f t="shared" si="74"/>
        <v>9</v>
      </c>
      <c r="AY20" s="197">
        <f t="shared" si="5"/>
        <v>5</v>
      </c>
      <c r="AZ20" s="197">
        <f>'Energy margins'!$S$12</f>
        <v>43.75</v>
      </c>
      <c r="BA20" s="197">
        <f t="shared" si="38"/>
        <v>218.75</v>
      </c>
      <c r="BB20" s="197">
        <f>'Margins summary'!$U$14</f>
        <v>330</v>
      </c>
      <c r="BC20" s="197">
        <f t="shared" si="39"/>
        <v>548.75</v>
      </c>
      <c r="BD20" s="197"/>
      <c r="BE20" s="918">
        <f>'Energy NPV'!U73</f>
        <v>316.00314399999996</v>
      </c>
      <c r="BF20" s="197"/>
      <c r="BG20" s="197">
        <f t="shared" si="40"/>
        <v>316.00314399999996</v>
      </c>
      <c r="BH20" s="197">
        <f t="shared" si="6"/>
        <v>-97.253143999999963</v>
      </c>
      <c r="BI20" s="197">
        <f t="shared" si="7"/>
        <v>232.74685600000004</v>
      </c>
      <c r="BJ20" s="196">
        <f t="shared" si="41"/>
        <v>172.68327000617344</v>
      </c>
      <c r="BK20" s="197">
        <f t="shared" si="42"/>
        <v>260.50504732359883</v>
      </c>
      <c r="BL20" s="197">
        <f t="shared" si="43"/>
        <v>249.45579994583636</v>
      </c>
      <c r="BM20" s="197">
        <f t="shared" si="44"/>
        <v>-76.772529939662903</v>
      </c>
      <c r="BN20" s="199">
        <f t="shared" si="45"/>
        <v>183.73251738393589</v>
      </c>
      <c r="BO20" s="196">
        <f t="shared" si="75"/>
        <v>1500.6549567825812</v>
      </c>
      <c r="BP20" s="197">
        <f t="shared" si="46"/>
        <v>2646.4984225467078</v>
      </c>
      <c r="BQ20" s="197">
        <f t="shared" si="47"/>
        <v>8423.1206875153239</v>
      </c>
      <c r="BR20" s="197">
        <f t="shared" si="48"/>
        <v>-6922.4657307327416</v>
      </c>
      <c r="BS20" s="199">
        <f t="shared" si="49"/>
        <v>-4275.9673081860346</v>
      </c>
      <c r="BT20" s="197"/>
      <c r="BV20" s="204">
        <f t="shared" si="76"/>
        <v>9</v>
      </c>
      <c r="BW20" s="197">
        <f t="shared" si="8"/>
        <v>20</v>
      </c>
      <c r="BX20" s="197">
        <f>'Energy margins'!$S$12</f>
        <v>43.75</v>
      </c>
      <c r="BY20" s="197">
        <f t="shared" si="9"/>
        <v>875</v>
      </c>
      <c r="BZ20" s="197">
        <f>'Margins summary'!$U$14</f>
        <v>330</v>
      </c>
      <c r="CA20" s="197">
        <f t="shared" si="10"/>
        <v>1205</v>
      </c>
      <c r="CB20" s="197"/>
      <c r="CC20" s="918">
        <f>'Energy NPV'!U73</f>
        <v>316.00314399999996</v>
      </c>
      <c r="CD20" s="197"/>
      <c r="CE20" s="197">
        <f t="shared" si="11"/>
        <v>316.00314399999996</v>
      </c>
      <c r="CF20" s="197">
        <f t="shared" si="12"/>
        <v>558.99685599999998</v>
      </c>
      <c r="CG20" s="197">
        <f t="shared" si="13"/>
        <v>888.99685599999998</v>
      </c>
      <c r="CH20" s="196">
        <f t="shared" si="50"/>
        <v>690.73308002469378</v>
      </c>
      <c r="CI20" s="197">
        <f t="shared" si="51"/>
        <v>260.50504732359883</v>
      </c>
      <c r="CJ20" s="197">
        <f t="shared" si="52"/>
        <v>249.45579994583636</v>
      </c>
      <c r="CK20" s="197">
        <f t="shared" si="53"/>
        <v>441.27728007885742</v>
      </c>
      <c r="CL20" s="199">
        <f t="shared" si="54"/>
        <v>701.78232740245619</v>
      </c>
      <c r="CM20" s="196">
        <f t="shared" si="55"/>
        <v>6002.6198271303247</v>
      </c>
      <c r="CN20" s="197">
        <f t="shared" si="56"/>
        <v>2646.4984225467078</v>
      </c>
      <c r="CO20" s="197">
        <f t="shared" si="57"/>
        <v>8423.1206875153239</v>
      </c>
      <c r="CP20" s="197">
        <f t="shared" si="58"/>
        <v>-2420.5008603849969</v>
      </c>
      <c r="CQ20" s="199">
        <f t="shared" si="59"/>
        <v>225.99756216170931</v>
      </c>
      <c r="CR20" s="197"/>
      <c r="CT20" s="204">
        <f t="shared" si="77"/>
        <v>9</v>
      </c>
      <c r="CU20" s="197">
        <f t="shared" si="14"/>
        <v>0</v>
      </c>
      <c r="CV20" s="197">
        <f>'Energy margins'!$S$12</f>
        <v>43.75</v>
      </c>
      <c r="CW20" s="197">
        <f t="shared" si="15"/>
        <v>0</v>
      </c>
      <c r="CX20" s="197">
        <f>'Margins summary'!$U$14</f>
        <v>330</v>
      </c>
      <c r="CY20" s="197">
        <f t="shared" si="16"/>
        <v>330</v>
      </c>
      <c r="CZ20" s="197"/>
      <c r="DA20" s="918">
        <f>'Energy NPV'!U73</f>
        <v>316.00314399999996</v>
      </c>
      <c r="DB20" s="197"/>
      <c r="DC20" s="197">
        <f t="shared" si="17"/>
        <v>316.00314399999996</v>
      </c>
      <c r="DD20" s="197">
        <f t="shared" si="18"/>
        <v>-316.00314399999996</v>
      </c>
      <c r="DE20" s="197">
        <f t="shared" si="19"/>
        <v>13.996856000000037</v>
      </c>
      <c r="DF20" s="196">
        <f t="shared" si="60"/>
        <v>0</v>
      </c>
      <c r="DG20" s="197">
        <f t="shared" si="61"/>
        <v>260.50504732359883</v>
      </c>
      <c r="DH20" s="197">
        <f t="shared" si="62"/>
        <v>249.45579994583636</v>
      </c>
      <c r="DI20" s="197">
        <f t="shared" si="63"/>
        <v>-249.45579994583636</v>
      </c>
      <c r="DJ20" s="199">
        <f t="shared" si="64"/>
        <v>11.049247377762446</v>
      </c>
      <c r="DK20" s="196">
        <f t="shared" si="65"/>
        <v>0</v>
      </c>
      <c r="DL20" s="197">
        <f t="shared" si="66"/>
        <v>2646.4984225467078</v>
      </c>
      <c r="DM20" s="197">
        <f t="shared" si="67"/>
        <v>8423.1206875153239</v>
      </c>
      <c r="DN20" s="197">
        <f t="shared" si="68"/>
        <v>-8423.1206875153239</v>
      </c>
      <c r="DO20" s="199">
        <f t="shared" si="69"/>
        <v>-5776.6222649686151</v>
      </c>
    </row>
    <row r="21" spans="2:119" x14ac:dyDescent="0.3">
      <c r="B21" s="204">
        <f t="shared" si="70"/>
        <v>10</v>
      </c>
      <c r="C21" s="225">
        <f>'Energy NPV'!$D74*$E$8</f>
        <v>10</v>
      </c>
      <c r="D21" s="197">
        <f>'Energy margins'!$S$12</f>
        <v>43.75</v>
      </c>
      <c r="E21" s="197">
        <f t="shared" si="20"/>
        <v>437.5</v>
      </c>
      <c r="F21" s="197">
        <f>'Margins summary'!$U$14</f>
        <v>330</v>
      </c>
      <c r="G21" s="197">
        <f t="shared" si="21"/>
        <v>767.5</v>
      </c>
      <c r="H21" s="197"/>
      <c r="I21" s="918">
        <f>'Energy NPV'!U74</f>
        <v>316.00314399999996</v>
      </c>
      <c r="J21" s="197"/>
      <c r="K21" s="197">
        <f t="shared" si="22"/>
        <v>316.00314399999996</v>
      </c>
      <c r="L21" s="197">
        <f t="shared" si="0"/>
        <v>121.49685600000004</v>
      </c>
      <c r="M21" s="197">
        <f t="shared" si="1"/>
        <v>451.49685600000004</v>
      </c>
      <c r="N21" s="196">
        <f t="shared" si="23"/>
        <v>335.30732040033678</v>
      </c>
      <c r="O21" s="197">
        <f t="shared" si="24"/>
        <v>252.91752167339689</v>
      </c>
      <c r="P21" s="197">
        <f t="shared" si="25"/>
        <v>242.19009703479259</v>
      </c>
      <c r="Q21" s="197">
        <f t="shared" si="26"/>
        <v>93.11722336554422</v>
      </c>
      <c r="R21" s="199">
        <f t="shared" si="27"/>
        <v>346.03474503894108</v>
      </c>
      <c r="S21" s="196">
        <f t="shared" si="71"/>
        <v>3336.6172339654991</v>
      </c>
      <c r="T21" s="197">
        <f t="shared" si="28"/>
        <v>2899.4159442201048</v>
      </c>
      <c r="U21" s="197">
        <f t="shared" si="28"/>
        <v>8665.3107845501163</v>
      </c>
      <c r="V21" s="197">
        <f t="shared" si="28"/>
        <v>-5328.6935505846168</v>
      </c>
      <c r="W21" s="199">
        <f t="shared" si="28"/>
        <v>-2429.2776063645115</v>
      </c>
      <c r="Z21" s="204">
        <f t="shared" si="72"/>
        <v>10</v>
      </c>
      <c r="AA21" s="197">
        <f t="shared" si="2"/>
        <v>15</v>
      </c>
      <c r="AB21" s="197">
        <f>'Energy margins'!$S$12</f>
        <v>43.75</v>
      </c>
      <c r="AC21" s="197">
        <f t="shared" si="29"/>
        <v>656.25</v>
      </c>
      <c r="AD21" s="197">
        <f>'Margins summary'!$U$14</f>
        <v>330</v>
      </c>
      <c r="AE21" s="197">
        <f t="shared" si="30"/>
        <v>986.25</v>
      </c>
      <c r="AF21" s="197"/>
      <c r="AG21" s="918">
        <f>'Energy NPV'!U74</f>
        <v>316.00314399999996</v>
      </c>
      <c r="AH21" s="197"/>
      <c r="AI21" s="197">
        <f t="shared" si="31"/>
        <v>316.00314399999996</v>
      </c>
      <c r="AJ21" s="197">
        <f t="shared" si="3"/>
        <v>340.24685600000004</v>
      </c>
      <c r="AK21" s="197">
        <f t="shared" si="4"/>
        <v>670.24685599999998</v>
      </c>
      <c r="AL21" s="196">
        <f t="shared" si="32"/>
        <v>502.9609806005052</v>
      </c>
      <c r="AM21" s="197">
        <f t="shared" si="33"/>
        <v>252.91752167339689</v>
      </c>
      <c r="AN21" s="197">
        <f t="shared" si="34"/>
        <v>242.19009703479259</v>
      </c>
      <c r="AO21" s="197">
        <f t="shared" si="35"/>
        <v>260.77088356571261</v>
      </c>
      <c r="AP21" s="199">
        <f t="shared" si="36"/>
        <v>513.68840523910944</v>
      </c>
      <c r="AQ21" s="196">
        <f t="shared" si="73"/>
        <v>5004.9258509482497</v>
      </c>
      <c r="AR21" s="197">
        <f t="shared" si="37"/>
        <v>2899.4159442201048</v>
      </c>
      <c r="AS21" s="197">
        <f t="shared" si="37"/>
        <v>8665.3107845501163</v>
      </c>
      <c r="AT21" s="197">
        <f t="shared" si="37"/>
        <v>-3660.3849336018679</v>
      </c>
      <c r="AU21" s="199">
        <f t="shared" si="37"/>
        <v>-760.96898938176287</v>
      </c>
      <c r="AX21" s="204">
        <f t="shared" si="74"/>
        <v>10</v>
      </c>
      <c r="AY21" s="197">
        <f t="shared" si="5"/>
        <v>5</v>
      </c>
      <c r="AZ21" s="197">
        <f>'Energy margins'!$S$12</f>
        <v>43.75</v>
      </c>
      <c r="BA21" s="197">
        <f t="shared" si="38"/>
        <v>218.75</v>
      </c>
      <c r="BB21" s="197">
        <f>'Margins summary'!$U$14</f>
        <v>330</v>
      </c>
      <c r="BC21" s="197">
        <f t="shared" si="39"/>
        <v>548.75</v>
      </c>
      <c r="BD21" s="197"/>
      <c r="BE21" s="918">
        <f>'Energy NPV'!U74</f>
        <v>316.00314399999996</v>
      </c>
      <c r="BF21" s="197"/>
      <c r="BG21" s="197">
        <f t="shared" si="40"/>
        <v>316.00314399999996</v>
      </c>
      <c r="BH21" s="197">
        <f t="shared" si="6"/>
        <v>-97.253143999999963</v>
      </c>
      <c r="BI21" s="197">
        <f t="shared" si="7"/>
        <v>232.74685600000004</v>
      </c>
      <c r="BJ21" s="196">
        <f t="shared" si="41"/>
        <v>167.65366020016839</v>
      </c>
      <c r="BK21" s="197">
        <f t="shared" si="42"/>
        <v>252.91752167339689</v>
      </c>
      <c r="BL21" s="197">
        <f t="shared" si="43"/>
        <v>242.19009703479259</v>
      </c>
      <c r="BM21" s="197">
        <f t="shared" si="44"/>
        <v>-74.536436834624183</v>
      </c>
      <c r="BN21" s="199">
        <f t="shared" si="45"/>
        <v>178.38108483877272</v>
      </c>
      <c r="BO21" s="196">
        <f t="shared" si="75"/>
        <v>1668.3086169827495</v>
      </c>
      <c r="BP21" s="197">
        <f t="shared" si="46"/>
        <v>2899.4159442201048</v>
      </c>
      <c r="BQ21" s="197">
        <f t="shared" si="47"/>
        <v>8665.3107845501163</v>
      </c>
      <c r="BR21" s="197">
        <f t="shared" si="48"/>
        <v>-6997.0021675673661</v>
      </c>
      <c r="BS21" s="199">
        <f t="shared" si="49"/>
        <v>-4097.5862233472617</v>
      </c>
      <c r="BT21" s="197"/>
      <c r="BV21" s="204">
        <f t="shared" si="76"/>
        <v>10</v>
      </c>
      <c r="BW21" s="197">
        <f t="shared" si="8"/>
        <v>20</v>
      </c>
      <c r="BX21" s="197">
        <f>'Energy margins'!$S$12</f>
        <v>43.75</v>
      </c>
      <c r="BY21" s="197">
        <f t="shared" si="9"/>
        <v>875</v>
      </c>
      <c r="BZ21" s="197">
        <f>'Margins summary'!$U$14</f>
        <v>330</v>
      </c>
      <c r="CA21" s="197">
        <f t="shared" si="10"/>
        <v>1205</v>
      </c>
      <c r="CB21" s="197"/>
      <c r="CC21" s="918">
        <f>'Energy NPV'!U74</f>
        <v>316.00314399999996</v>
      </c>
      <c r="CD21" s="197"/>
      <c r="CE21" s="197">
        <f t="shared" si="11"/>
        <v>316.00314399999996</v>
      </c>
      <c r="CF21" s="197">
        <f t="shared" si="12"/>
        <v>558.99685599999998</v>
      </c>
      <c r="CG21" s="197">
        <f t="shared" si="13"/>
        <v>888.99685599999998</v>
      </c>
      <c r="CH21" s="196">
        <f t="shared" si="50"/>
        <v>670.61464080067356</v>
      </c>
      <c r="CI21" s="197">
        <f t="shared" si="51"/>
        <v>252.91752167339689</v>
      </c>
      <c r="CJ21" s="197">
        <f t="shared" si="52"/>
        <v>242.19009703479259</v>
      </c>
      <c r="CK21" s="197">
        <f t="shared" si="53"/>
        <v>428.42454376588097</v>
      </c>
      <c r="CL21" s="199">
        <f t="shared" si="54"/>
        <v>681.3420654392778</v>
      </c>
      <c r="CM21" s="196">
        <f t="shared" si="55"/>
        <v>6673.2344679309981</v>
      </c>
      <c r="CN21" s="197">
        <f t="shared" si="56"/>
        <v>2899.4159442201048</v>
      </c>
      <c r="CO21" s="197">
        <f t="shared" si="57"/>
        <v>8665.3107845501163</v>
      </c>
      <c r="CP21" s="197">
        <f t="shared" si="58"/>
        <v>-1992.0763166191159</v>
      </c>
      <c r="CQ21" s="199">
        <f t="shared" si="59"/>
        <v>907.33962760098711</v>
      </c>
      <c r="CR21" s="197"/>
      <c r="CT21" s="204">
        <f t="shared" si="77"/>
        <v>10</v>
      </c>
      <c r="CU21" s="197">
        <f t="shared" si="14"/>
        <v>0</v>
      </c>
      <c r="CV21" s="197">
        <f>'Energy margins'!$S$12</f>
        <v>43.75</v>
      </c>
      <c r="CW21" s="197">
        <f t="shared" si="15"/>
        <v>0</v>
      </c>
      <c r="CX21" s="197">
        <f>'Margins summary'!$U$14</f>
        <v>330</v>
      </c>
      <c r="CY21" s="197">
        <f t="shared" si="16"/>
        <v>330</v>
      </c>
      <c r="CZ21" s="197"/>
      <c r="DA21" s="918">
        <f>'Energy NPV'!U74</f>
        <v>316.00314399999996</v>
      </c>
      <c r="DB21" s="197"/>
      <c r="DC21" s="197">
        <f t="shared" si="17"/>
        <v>316.00314399999996</v>
      </c>
      <c r="DD21" s="197">
        <f t="shared" si="18"/>
        <v>-316.00314399999996</v>
      </c>
      <c r="DE21" s="197">
        <f t="shared" si="19"/>
        <v>13.996856000000037</v>
      </c>
      <c r="DF21" s="196">
        <f t="shared" si="60"/>
        <v>0</v>
      </c>
      <c r="DG21" s="197">
        <f t="shared" si="61"/>
        <v>252.91752167339689</v>
      </c>
      <c r="DH21" s="197">
        <f t="shared" si="62"/>
        <v>242.19009703479259</v>
      </c>
      <c r="DI21" s="197">
        <f t="shared" si="63"/>
        <v>-242.19009703479259</v>
      </c>
      <c r="DJ21" s="199">
        <f t="shared" si="64"/>
        <v>10.727424638604317</v>
      </c>
      <c r="DK21" s="196">
        <f t="shared" si="65"/>
        <v>0</v>
      </c>
      <c r="DL21" s="197">
        <f t="shared" si="66"/>
        <v>2899.4159442201048</v>
      </c>
      <c r="DM21" s="197">
        <f t="shared" si="67"/>
        <v>8665.3107845501163</v>
      </c>
      <c r="DN21" s="197">
        <f t="shared" si="68"/>
        <v>-8665.3107845501163</v>
      </c>
      <c r="DO21" s="199">
        <f t="shared" si="69"/>
        <v>-5765.894840330011</v>
      </c>
    </row>
    <row r="22" spans="2:119" x14ac:dyDescent="0.3">
      <c r="B22" s="204">
        <f t="shared" si="70"/>
        <v>11</v>
      </c>
      <c r="C22" s="225">
        <f>'Energy NPV'!$D75*$E$8</f>
        <v>10</v>
      </c>
      <c r="D22" s="197">
        <f>'Energy margins'!$S$12</f>
        <v>43.75</v>
      </c>
      <c r="E22" s="197">
        <f t="shared" si="20"/>
        <v>437.5</v>
      </c>
      <c r="F22" s="197">
        <f>'Margins summary'!$U$14</f>
        <v>330</v>
      </c>
      <c r="G22" s="197">
        <f t="shared" si="21"/>
        <v>767.5</v>
      </c>
      <c r="H22" s="197"/>
      <c r="I22" s="918">
        <f>'Energy NPV'!U75</f>
        <v>316.00314399999996</v>
      </c>
      <c r="J22" s="197"/>
      <c r="K22" s="197">
        <f t="shared" si="22"/>
        <v>316.00314399999996</v>
      </c>
      <c r="L22" s="197">
        <f t="shared" si="0"/>
        <v>121.49685600000004</v>
      </c>
      <c r="M22" s="197">
        <f t="shared" si="1"/>
        <v>451.49685600000004</v>
      </c>
      <c r="N22" s="196">
        <f t="shared" si="23"/>
        <v>325.54108776731726</v>
      </c>
      <c r="O22" s="197">
        <f t="shared" si="24"/>
        <v>245.55099191591933</v>
      </c>
      <c r="P22" s="197">
        <f t="shared" si="25"/>
        <v>235.13601653863356</v>
      </c>
      <c r="Q22" s="197">
        <f t="shared" si="26"/>
        <v>90.405071228683695</v>
      </c>
      <c r="R22" s="199">
        <f t="shared" si="27"/>
        <v>335.95606314460304</v>
      </c>
      <c r="S22" s="196">
        <f t="shared" si="71"/>
        <v>3662.1583217328161</v>
      </c>
      <c r="T22" s="197">
        <f t="shared" si="28"/>
        <v>3144.9669361360243</v>
      </c>
      <c r="U22" s="197">
        <f t="shared" si="28"/>
        <v>8900.4468010887504</v>
      </c>
      <c r="V22" s="197">
        <f t="shared" si="28"/>
        <v>-5238.2884793559333</v>
      </c>
      <c r="W22" s="199">
        <f t="shared" si="28"/>
        <v>-2093.3215432199086</v>
      </c>
      <c r="Z22" s="204">
        <f t="shared" si="72"/>
        <v>11</v>
      </c>
      <c r="AA22" s="197">
        <f t="shared" si="2"/>
        <v>15</v>
      </c>
      <c r="AB22" s="197">
        <f>'Energy margins'!$S$12</f>
        <v>43.75</v>
      </c>
      <c r="AC22" s="197">
        <f t="shared" si="29"/>
        <v>656.25</v>
      </c>
      <c r="AD22" s="197">
        <f>'Margins summary'!$U$14</f>
        <v>330</v>
      </c>
      <c r="AE22" s="197">
        <f t="shared" si="30"/>
        <v>986.25</v>
      </c>
      <c r="AF22" s="197"/>
      <c r="AG22" s="918">
        <f>'Energy NPV'!U75</f>
        <v>316.00314399999996</v>
      </c>
      <c r="AH22" s="197"/>
      <c r="AI22" s="197">
        <f t="shared" si="31"/>
        <v>316.00314399999996</v>
      </c>
      <c r="AJ22" s="197">
        <f t="shared" si="3"/>
        <v>340.24685600000004</v>
      </c>
      <c r="AK22" s="197">
        <f t="shared" si="4"/>
        <v>670.24685599999998</v>
      </c>
      <c r="AL22" s="196">
        <f t="shared" si="32"/>
        <v>488.31163165097593</v>
      </c>
      <c r="AM22" s="197">
        <f t="shared" si="33"/>
        <v>245.55099191591933</v>
      </c>
      <c r="AN22" s="197">
        <f t="shared" si="34"/>
        <v>235.13601653863356</v>
      </c>
      <c r="AO22" s="197">
        <f t="shared" si="35"/>
        <v>253.17561511234234</v>
      </c>
      <c r="AP22" s="199">
        <f t="shared" si="36"/>
        <v>498.72660702826158</v>
      </c>
      <c r="AQ22" s="196">
        <f t="shared" si="73"/>
        <v>5493.2374825992256</v>
      </c>
      <c r="AR22" s="197">
        <f t="shared" si="37"/>
        <v>3144.9669361360243</v>
      </c>
      <c r="AS22" s="197">
        <f t="shared" si="37"/>
        <v>8900.4468010887504</v>
      </c>
      <c r="AT22" s="197">
        <f t="shared" si="37"/>
        <v>-3407.2093184895257</v>
      </c>
      <c r="AU22" s="199">
        <f t="shared" si="37"/>
        <v>-262.24238235350128</v>
      </c>
      <c r="AX22" s="204">
        <f t="shared" si="74"/>
        <v>11</v>
      </c>
      <c r="AY22" s="197">
        <f t="shared" si="5"/>
        <v>5</v>
      </c>
      <c r="AZ22" s="197">
        <f>'Energy margins'!$S$12</f>
        <v>43.75</v>
      </c>
      <c r="BA22" s="197">
        <f t="shared" si="38"/>
        <v>218.75</v>
      </c>
      <c r="BB22" s="197">
        <f>'Margins summary'!$U$14</f>
        <v>330</v>
      </c>
      <c r="BC22" s="197">
        <f t="shared" si="39"/>
        <v>548.75</v>
      </c>
      <c r="BD22" s="197"/>
      <c r="BE22" s="918">
        <f>'Energy NPV'!U75</f>
        <v>316.00314399999996</v>
      </c>
      <c r="BF22" s="197"/>
      <c r="BG22" s="197">
        <f t="shared" si="40"/>
        <v>316.00314399999996</v>
      </c>
      <c r="BH22" s="197">
        <f t="shared" si="6"/>
        <v>-97.253143999999963</v>
      </c>
      <c r="BI22" s="197">
        <f t="shared" si="7"/>
        <v>232.74685600000004</v>
      </c>
      <c r="BJ22" s="196">
        <f t="shared" si="41"/>
        <v>162.77054388365863</v>
      </c>
      <c r="BK22" s="197">
        <f t="shared" si="42"/>
        <v>245.55099191591933</v>
      </c>
      <c r="BL22" s="197">
        <f t="shared" si="43"/>
        <v>235.13601653863356</v>
      </c>
      <c r="BM22" s="197">
        <f t="shared" si="44"/>
        <v>-72.365472654974937</v>
      </c>
      <c r="BN22" s="199">
        <f t="shared" si="45"/>
        <v>173.18551926094437</v>
      </c>
      <c r="BO22" s="196">
        <f t="shared" si="75"/>
        <v>1831.0791608664081</v>
      </c>
      <c r="BP22" s="197">
        <f t="shared" si="46"/>
        <v>3144.9669361360243</v>
      </c>
      <c r="BQ22" s="197">
        <f t="shared" si="47"/>
        <v>8900.4468010887504</v>
      </c>
      <c r="BR22" s="197">
        <f t="shared" si="48"/>
        <v>-7069.3676402223409</v>
      </c>
      <c r="BS22" s="199">
        <f t="shared" si="49"/>
        <v>-3924.4007040863171</v>
      </c>
      <c r="BT22" s="197"/>
      <c r="BV22" s="204">
        <f t="shared" si="76"/>
        <v>11</v>
      </c>
      <c r="BW22" s="197">
        <f t="shared" si="8"/>
        <v>20</v>
      </c>
      <c r="BX22" s="197">
        <f>'Energy margins'!$S$12</f>
        <v>43.75</v>
      </c>
      <c r="BY22" s="197">
        <f t="shared" si="9"/>
        <v>875</v>
      </c>
      <c r="BZ22" s="197">
        <f>'Margins summary'!$U$14</f>
        <v>330</v>
      </c>
      <c r="CA22" s="197">
        <f t="shared" si="10"/>
        <v>1205</v>
      </c>
      <c r="CB22" s="197"/>
      <c r="CC22" s="918">
        <f>'Energy NPV'!U75</f>
        <v>316.00314399999996</v>
      </c>
      <c r="CD22" s="197"/>
      <c r="CE22" s="197">
        <f t="shared" si="11"/>
        <v>316.00314399999996</v>
      </c>
      <c r="CF22" s="197">
        <f t="shared" si="12"/>
        <v>558.99685599999998</v>
      </c>
      <c r="CG22" s="197">
        <f t="shared" si="13"/>
        <v>888.99685599999998</v>
      </c>
      <c r="CH22" s="196">
        <f t="shared" si="50"/>
        <v>651.08217553463453</v>
      </c>
      <c r="CI22" s="197">
        <f t="shared" si="51"/>
        <v>245.55099191591933</v>
      </c>
      <c r="CJ22" s="197">
        <f t="shared" si="52"/>
        <v>235.13601653863356</v>
      </c>
      <c r="CK22" s="197">
        <f t="shared" si="53"/>
        <v>415.94615899600092</v>
      </c>
      <c r="CL22" s="199">
        <f t="shared" si="54"/>
        <v>661.49715091192024</v>
      </c>
      <c r="CM22" s="196">
        <f t="shared" si="55"/>
        <v>7324.3166434656323</v>
      </c>
      <c r="CN22" s="197">
        <f t="shared" si="56"/>
        <v>3144.9669361360243</v>
      </c>
      <c r="CO22" s="197">
        <f t="shared" si="57"/>
        <v>8900.4468010887504</v>
      </c>
      <c r="CP22" s="197">
        <f t="shared" si="58"/>
        <v>-1576.1301576231149</v>
      </c>
      <c r="CQ22" s="199">
        <f t="shared" si="59"/>
        <v>1568.8367785129074</v>
      </c>
      <c r="CR22" s="197"/>
      <c r="CT22" s="204">
        <f t="shared" si="77"/>
        <v>11</v>
      </c>
      <c r="CU22" s="197">
        <f t="shared" si="14"/>
        <v>0</v>
      </c>
      <c r="CV22" s="197">
        <f>'Energy margins'!$S$12</f>
        <v>43.75</v>
      </c>
      <c r="CW22" s="197">
        <f t="shared" si="15"/>
        <v>0</v>
      </c>
      <c r="CX22" s="197">
        <f>'Margins summary'!$U$14</f>
        <v>330</v>
      </c>
      <c r="CY22" s="197">
        <f t="shared" si="16"/>
        <v>330</v>
      </c>
      <c r="CZ22" s="197"/>
      <c r="DA22" s="918">
        <f>'Energy NPV'!U75</f>
        <v>316.00314399999996</v>
      </c>
      <c r="DB22" s="197"/>
      <c r="DC22" s="197">
        <f t="shared" si="17"/>
        <v>316.00314399999996</v>
      </c>
      <c r="DD22" s="197">
        <f t="shared" si="18"/>
        <v>-316.00314399999996</v>
      </c>
      <c r="DE22" s="197">
        <f t="shared" si="19"/>
        <v>13.996856000000037</v>
      </c>
      <c r="DF22" s="196">
        <f t="shared" si="60"/>
        <v>0</v>
      </c>
      <c r="DG22" s="197">
        <f t="shared" si="61"/>
        <v>245.55099191591933</v>
      </c>
      <c r="DH22" s="197">
        <f t="shared" si="62"/>
        <v>235.13601653863356</v>
      </c>
      <c r="DI22" s="197">
        <f t="shared" si="63"/>
        <v>-235.13601653863356</v>
      </c>
      <c r="DJ22" s="199">
        <f t="shared" si="64"/>
        <v>10.414975377285744</v>
      </c>
      <c r="DK22" s="196">
        <f t="shared" si="65"/>
        <v>0</v>
      </c>
      <c r="DL22" s="197">
        <f t="shared" si="66"/>
        <v>3144.9669361360243</v>
      </c>
      <c r="DM22" s="197">
        <f t="shared" si="67"/>
        <v>8900.4468010887504</v>
      </c>
      <c r="DN22" s="197">
        <f t="shared" si="68"/>
        <v>-8900.4468010887504</v>
      </c>
      <c r="DO22" s="199">
        <f t="shared" si="69"/>
        <v>-5755.4798649527256</v>
      </c>
    </row>
    <row r="23" spans="2:119" x14ac:dyDescent="0.3">
      <c r="B23" s="204">
        <f t="shared" si="70"/>
        <v>12</v>
      </c>
      <c r="C23" s="225">
        <f>'Energy NPV'!$D76*$E$8</f>
        <v>10</v>
      </c>
      <c r="D23" s="197">
        <f>'Energy margins'!$S$12</f>
        <v>43.75</v>
      </c>
      <c r="E23" s="197">
        <f t="shared" si="20"/>
        <v>437.5</v>
      </c>
      <c r="F23" s="197">
        <f>'Margins summary'!$U$14</f>
        <v>330</v>
      </c>
      <c r="G23" s="197">
        <f t="shared" si="21"/>
        <v>767.5</v>
      </c>
      <c r="H23" s="197"/>
      <c r="I23" s="918">
        <f>'Energy NPV'!U76</f>
        <v>316.00314399999996</v>
      </c>
      <c r="J23" s="197"/>
      <c r="K23" s="197">
        <f t="shared" si="22"/>
        <v>316.00314399999996</v>
      </c>
      <c r="L23" s="197">
        <f t="shared" si="0"/>
        <v>121.49685600000004</v>
      </c>
      <c r="M23" s="197">
        <f t="shared" si="1"/>
        <v>451.49685600000004</v>
      </c>
      <c r="N23" s="196">
        <f t="shared" si="23"/>
        <v>316.05930851195848</v>
      </c>
      <c r="O23" s="197">
        <f t="shared" si="24"/>
        <v>238.39902127759154</v>
      </c>
      <c r="P23" s="197">
        <f t="shared" si="25"/>
        <v>228.2873946977025</v>
      </c>
      <c r="Q23" s="197">
        <f t="shared" si="26"/>
        <v>87.771913814256024</v>
      </c>
      <c r="R23" s="199">
        <f t="shared" si="27"/>
        <v>326.17093509184758</v>
      </c>
      <c r="S23" s="196">
        <f t="shared" si="71"/>
        <v>3978.2176302447747</v>
      </c>
      <c r="T23" s="197">
        <f t="shared" si="28"/>
        <v>3383.3659574136159</v>
      </c>
      <c r="U23" s="197">
        <f t="shared" si="28"/>
        <v>9128.7341957864537</v>
      </c>
      <c r="V23" s="197">
        <f t="shared" si="28"/>
        <v>-5150.5165655416777</v>
      </c>
      <c r="W23" s="199">
        <f t="shared" si="28"/>
        <v>-1767.1506081280609</v>
      </c>
      <c r="Z23" s="204">
        <f t="shared" si="72"/>
        <v>12</v>
      </c>
      <c r="AA23" s="197">
        <f t="shared" si="2"/>
        <v>15</v>
      </c>
      <c r="AB23" s="197">
        <f>'Energy margins'!$S$12</f>
        <v>43.75</v>
      </c>
      <c r="AC23" s="197">
        <f t="shared" si="29"/>
        <v>656.25</v>
      </c>
      <c r="AD23" s="197">
        <f>'Margins summary'!$U$14</f>
        <v>330</v>
      </c>
      <c r="AE23" s="197">
        <f t="shared" si="30"/>
        <v>986.25</v>
      </c>
      <c r="AF23" s="197"/>
      <c r="AG23" s="918">
        <f>'Energy NPV'!U76</f>
        <v>316.00314399999996</v>
      </c>
      <c r="AH23" s="197"/>
      <c r="AI23" s="197">
        <f t="shared" si="31"/>
        <v>316.00314399999996</v>
      </c>
      <c r="AJ23" s="197">
        <f t="shared" si="3"/>
        <v>340.24685600000004</v>
      </c>
      <c r="AK23" s="197">
        <f t="shared" si="4"/>
        <v>670.24685599999998</v>
      </c>
      <c r="AL23" s="196">
        <f t="shared" si="32"/>
        <v>474.08896276793774</v>
      </c>
      <c r="AM23" s="197">
        <f t="shared" si="33"/>
        <v>238.39902127759154</v>
      </c>
      <c r="AN23" s="197">
        <f t="shared" si="34"/>
        <v>228.2873946977025</v>
      </c>
      <c r="AO23" s="197">
        <f t="shared" si="35"/>
        <v>245.80156807023528</v>
      </c>
      <c r="AP23" s="199">
        <f t="shared" si="36"/>
        <v>484.20058934782679</v>
      </c>
      <c r="AQ23" s="196">
        <f t="shared" si="73"/>
        <v>5967.3264453671636</v>
      </c>
      <c r="AR23" s="197">
        <f t="shared" si="37"/>
        <v>3383.3659574136159</v>
      </c>
      <c r="AS23" s="197">
        <f t="shared" si="37"/>
        <v>9128.7341957864537</v>
      </c>
      <c r="AT23" s="197">
        <f t="shared" si="37"/>
        <v>-3161.4077504192906</v>
      </c>
      <c r="AU23" s="199">
        <f t="shared" si="37"/>
        <v>221.95820699432551</v>
      </c>
      <c r="AX23" s="204">
        <f t="shared" si="74"/>
        <v>12</v>
      </c>
      <c r="AY23" s="197">
        <f t="shared" si="5"/>
        <v>5</v>
      </c>
      <c r="AZ23" s="197">
        <f>'Energy margins'!$S$12</f>
        <v>43.75</v>
      </c>
      <c r="BA23" s="197">
        <f t="shared" si="38"/>
        <v>218.75</v>
      </c>
      <c r="BB23" s="197">
        <f>'Margins summary'!$U$14</f>
        <v>330</v>
      </c>
      <c r="BC23" s="197">
        <f t="shared" si="39"/>
        <v>548.75</v>
      </c>
      <c r="BD23" s="197"/>
      <c r="BE23" s="918">
        <f>'Energy NPV'!U76</f>
        <v>316.00314399999996</v>
      </c>
      <c r="BF23" s="197"/>
      <c r="BG23" s="197">
        <f t="shared" si="40"/>
        <v>316.00314399999996</v>
      </c>
      <c r="BH23" s="197">
        <f t="shared" si="6"/>
        <v>-97.253143999999963</v>
      </c>
      <c r="BI23" s="197">
        <f t="shared" si="7"/>
        <v>232.74685600000004</v>
      </c>
      <c r="BJ23" s="196">
        <f t="shared" si="41"/>
        <v>158.02965425597924</v>
      </c>
      <c r="BK23" s="197">
        <f t="shared" si="42"/>
        <v>238.39902127759154</v>
      </c>
      <c r="BL23" s="197">
        <f t="shared" si="43"/>
        <v>228.2873946977025</v>
      </c>
      <c r="BM23" s="197">
        <f t="shared" si="44"/>
        <v>-70.257740441723229</v>
      </c>
      <c r="BN23" s="199">
        <f t="shared" si="45"/>
        <v>168.14128083586832</v>
      </c>
      <c r="BO23" s="196">
        <f t="shared" si="75"/>
        <v>1989.1088151223873</v>
      </c>
      <c r="BP23" s="197">
        <f t="shared" si="46"/>
        <v>3383.3659574136159</v>
      </c>
      <c r="BQ23" s="197">
        <f t="shared" si="47"/>
        <v>9128.7341957864537</v>
      </c>
      <c r="BR23" s="197">
        <f t="shared" si="48"/>
        <v>-7139.6253806640643</v>
      </c>
      <c r="BS23" s="199">
        <f t="shared" si="49"/>
        <v>-3756.2594232504489</v>
      </c>
      <c r="BT23" s="197"/>
      <c r="BV23" s="204">
        <f t="shared" si="76"/>
        <v>12</v>
      </c>
      <c r="BW23" s="197">
        <f t="shared" si="8"/>
        <v>20</v>
      </c>
      <c r="BX23" s="197">
        <f>'Energy margins'!$S$12</f>
        <v>43.75</v>
      </c>
      <c r="BY23" s="197">
        <f t="shared" si="9"/>
        <v>875</v>
      </c>
      <c r="BZ23" s="197">
        <f>'Margins summary'!$U$14</f>
        <v>330</v>
      </c>
      <c r="CA23" s="197">
        <f t="shared" si="10"/>
        <v>1205</v>
      </c>
      <c r="CB23" s="197"/>
      <c r="CC23" s="918">
        <f>'Energy NPV'!U76</f>
        <v>316.00314399999996</v>
      </c>
      <c r="CD23" s="197"/>
      <c r="CE23" s="197">
        <f t="shared" si="11"/>
        <v>316.00314399999996</v>
      </c>
      <c r="CF23" s="197">
        <f t="shared" si="12"/>
        <v>558.99685599999998</v>
      </c>
      <c r="CG23" s="197">
        <f t="shared" si="13"/>
        <v>888.99685599999998</v>
      </c>
      <c r="CH23" s="196">
        <f t="shared" si="50"/>
        <v>632.11861702391695</v>
      </c>
      <c r="CI23" s="197">
        <f t="shared" si="51"/>
        <v>238.39902127759154</v>
      </c>
      <c r="CJ23" s="197">
        <f t="shared" si="52"/>
        <v>228.2873946977025</v>
      </c>
      <c r="CK23" s="197">
        <f t="shared" si="53"/>
        <v>403.83122232621446</v>
      </c>
      <c r="CL23" s="199">
        <f t="shared" si="54"/>
        <v>642.230243603806</v>
      </c>
      <c r="CM23" s="196">
        <f t="shared" si="55"/>
        <v>7956.4352604895494</v>
      </c>
      <c r="CN23" s="197">
        <f t="shared" si="56"/>
        <v>3383.3659574136159</v>
      </c>
      <c r="CO23" s="197">
        <f t="shared" si="57"/>
        <v>9128.7341957864537</v>
      </c>
      <c r="CP23" s="197">
        <f t="shared" si="58"/>
        <v>-1172.2989352969005</v>
      </c>
      <c r="CQ23" s="199">
        <f t="shared" si="59"/>
        <v>2211.0670221167134</v>
      </c>
      <c r="CR23" s="197"/>
      <c r="CT23" s="204">
        <f t="shared" si="77"/>
        <v>12</v>
      </c>
      <c r="CU23" s="197">
        <f t="shared" si="14"/>
        <v>0</v>
      </c>
      <c r="CV23" s="197">
        <f>'Energy margins'!$S$12</f>
        <v>43.75</v>
      </c>
      <c r="CW23" s="197">
        <f t="shared" si="15"/>
        <v>0</v>
      </c>
      <c r="CX23" s="197">
        <f>'Margins summary'!$U$14</f>
        <v>330</v>
      </c>
      <c r="CY23" s="197">
        <f t="shared" si="16"/>
        <v>330</v>
      </c>
      <c r="CZ23" s="197"/>
      <c r="DA23" s="918">
        <f>'Energy NPV'!U76</f>
        <v>316.00314399999996</v>
      </c>
      <c r="DB23" s="197"/>
      <c r="DC23" s="197">
        <f t="shared" si="17"/>
        <v>316.00314399999996</v>
      </c>
      <c r="DD23" s="197">
        <f t="shared" si="18"/>
        <v>-316.00314399999996</v>
      </c>
      <c r="DE23" s="197">
        <f t="shared" si="19"/>
        <v>13.996856000000037</v>
      </c>
      <c r="DF23" s="196">
        <f t="shared" si="60"/>
        <v>0</v>
      </c>
      <c r="DG23" s="197">
        <f t="shared" si="61"/>
        <v>238.39902127759154</v>
      </c>
      <c r="DH23" s="197">
        <f t="shared" si="62"/>
        <v>228.2873946977025</v>
      </c>
      <c r="DI23" s="197">
        <f t="shared" si="63"/>
        <v>-228.2873946977025</v>
      </c>
      <c r="DJ23" s="199">
        <f t="shared" si="64"/>
        <v>10.111626579889071</v>
      </c>
      <c r="DK23" s="196">
        <f t="shared" si="65"/>
        <v>0</v>
      </c>
      <c r="DL23" s="197">
        <f t="shared" si="66"/>
        <v>3383.3659574136159</v>
      </c>
      <c r="DM23" s="197">
        <f t="shared" si="67"/>
        <v>9128.7341957864537</v>
      </c>
      <c r="DN23" s="197">
        <f t="shared" si="68"/>
        <v>-9128.7341957864537</v>
      </c>
      <c r="DO23" s="199">
        <f t="shared" si="69"/>
        <v>-5745.3682383728365</v>
      </c>
    </row>
    <row r="24" spans="2:119" x14ac:dyDescent="0.3">
      <c r="B24" s="204">
        <f t="shared" si="70"/>
        <v>13</v>
      </c>
      <c r="C24" s="225">
        <f>'Energy NPV'!$D77*$E$8</f>
        <v>10</v>
      </c>
      <c r="D24" s="197">
        <f>'Energy margins'!$S$12</f>
        <v>43.75</v>
      </c>
      <c r="E24" s="197">
        <f t="shared" si="20"/>
        <v>437.5</v>
      </c>
      <c r="F24" s="197">
        <f>'Margins summary'!$U$14</f>
        <v>330</v>
      </c>
      <c r="G24" s="197">
        <f t="shared" si="21"/>
        <v>767.5</v>
      </c>
      <c r="H24" s="197"/>
      <c r="I24" s="918">
        <f>'Energy NPV'!U77</f>
        <v>316.00314399999996</v>
      </c>
      <c r="J24" s="197"/>
      <c r="K24" s="197">
        <f t="shared" si="22"/>
        <v>316.00314399999996</v>
      </c>
      <c r="L24" s="197">
        <f t="shared" si="0"/>
        <v>121.49685600000004</v>
      </c>
      <c r="M24" s="197">
        <f t="shared" si="1"/>
        <v>451.49685600000004</v>
      </c>
      <c r="N24" s="196">
        <f t="shared" si="23"/>
        <v>306.85369758442579</v>
      </c>
      <c r="O24" s="197">
        <f t="shared" si="24"/>
        <v>231.45536046368116</v>
      </c>
      <c r="P24" s="197">
        <f t="shared" si="25"/>
        <v>221.63824727932283</v>
      </c>
      <c r="Q24" s="197">
        <f t="shared" si="26"/>
        <v>85.215450305102948</v>
      </c>
      <c r="R24" s="199">
        <f t="shared" si="27"/>
        <v>316.67081076878412</v>
      </c>
      <c r="S24" s="196">
        <f t="shared" si="71"/>
        <v>4285.0713278292005</v>
      </c>
      <c r="T24" s="197">
        <f t="shared" si="28"/>
        <v>3614.8213178772971</v>
      </c>
      <c r="U24" s="197">
        <f t="shared" si="28"/>
        <v>9350.3724430657767</v>
      </c>
      <c r="V24" s="197">
        <f t="shared" si="28"/>
        <v>-5065.3011152365743</v>
      </c>
      <c r="W24" s="199">
        <f t="shared" si="28"/>
        <v>-1450.4797973592767</v>
      </c>
      <c r="Z24" s="204">
        <f t="shared" si="72"/>
        <v>13</v>
      </c>
      <c r="AA24" s="197">
        <f t="shared" si="2"/>
        <v>15</v>
      </c>
      <c r="AB24" s="197">
        <f>'Energy margins'!$S$12</f>
        <v>43.75</v>
      </c>
      <c r="AC24" s="197">
        <f t="shared" si="29"/>
        <v>656.25</v>
      </c>
      <c r="AD24" s="197">
        <f>'Margins summary'!$U$14</f>
        <v>330</v>
      </c>
      <c r="AE24" s="197">
        <f t="shared" si="30"/>
        <v>986.25</v>
      </c>
      <c r="AF24" s="197"/>
      <c r="AG24" s="918">
        <f>'Energy NPV'!U77</f>
        <v>316.00314399999996</v>
      </c>
      <c r="AH24" s="197"/>
      <c r="AI24" s="197">
        <f t="shared" si="31"/>
        <v>316.00314399999996</v>
      </c>
      <c r="AJ24" s="197">
        <f t="shared" si="3"/>
        <v>340.24685600000004</v>
      </c>
      <c r="AK24" s="197">
        <f t="shared" si="4"/>
        <v>670.24685599999998</v>
      </c>
      <c r="AL24" s="196">
        <f t="shared" si="32"/>
        <v>460.28054637663865</v>
      </c>
      <c r="AM24" s="197">
        <f t="shared" si="33"/>
        <v>231.45536046368116</v>
      </c>
      <c r="AN24" s="197">
        <f t="shared" si="34"/>
        <v>221.63824727932283</v>
      </c>
      <c r="AO24" s="197">
        <f t="shared" si="35"/>
        <v>238.64229909731583</v>
      </c>
      <c r="AP24" s="199">
        <f t="shared" si="36"/>
        <v>470.09765956099693</v>
      </c>
      <c r="AQ24" s="196">
        <f t="shared" si="73"/>
        <v>6427.6069917438026</v>
      </c>
      <c r="AR24" s="197">
        <f t="shared" si="37"/>
        <v>3614.8213178772971</v>
      </c>
      <c r="AS24" s="197">
        <f t="shared" si="37"/>
        <v>9350.3724430657767</v>
      </c>
      <c r="AT24" s="197">
        <f t="shared" si="37"/>
        <v>-2922.7654513219745</v>
      </c>
      <c r="AU24" s="199">
        <f t="shared" si="37"/>
        <v>692.05586655532238</v>
      </c>
      <c r="AX24" s="204">
        <f t="shared" si="74"/>
        <v>13</v>
      </c>
      <c r="AY24" s="197">
        <f t="shared" si="5"/>
        <v>5</v>
      </c>
      <c r="AZ24" s="197">
        <f>'Energy margins'!$S$12</f>
        <v>43.75</v>
      </c>
      <c r="BA24" s="197">
        <f t="shared" si="38"/>
        <v>218.75</v>
      </c>
      <c r="BB24" s="197">
        <f>'Margins summary'!$U$14</f>
        <v>330</v>
      </c>
      <c r="BC24" s="197">
        <f t="shared" si="39"/>
        <v>548.75</v>
      </c>
      <c r="BD24" s="197"/>
      <c r="BE24" s="918">
        <f>'Energy NPV'!U77</f>
        <v>316.00314399999996</v>
      </c>
      <c r="BF24" s="197"/>
      <c r="BG24" s="197">
        <f t="shared" si="40"/>
        <v>316.00314399999996</v>
      </c>
      <c r="BH24" s="197">
        <f t="shared" si="6"/>
        <v>-97.253143999999963</v>
      </c>
      <c r="BI24" s="197">
        <f t="shared" si="7"/>
        <v>232.74685600000004</v>
      </c>
      <c r="BJ24" s="196">
        <f t="shared" si="41"/>
        <v>153.42684879221289</v>
      </c>
      <c r="BK24" s="197">
        <f t="shared" si="42"/>
        <v>231.45536046368116</v>
      </c>
      <c r="BL24" s="197">
        <f t="shared" si="43"/>
        <v>221.63824727932283</v>
      </c>
      <c r="BM24" s="197">
        <f t="shared" si="44"/>
        <v>-68.211398487109946</v>
      </c>
      <c r="BN24" s="199">
        <f t="shared" si="45"/>
        <v>163.2439619765712</v>
      </c>
      <c r="BO24" s="196">
        <f t="shared" si="75"/>
        <v>2142.5356639146003</v>
      </c>
      <c r="BP24" s="197">
        <f t="shared" si="46"/>
        <v>3614.8213178772971</v>
      </c>
      <c r="BQ24" s="197">
        <f t="shared" si="47"/>
        <v>9350.3724430657767</v>
      </c>
      <c r="BR24" s="197">
        <f t="shared" si="48"/>
        <v>-7207.8367791511746</v>
      </c>
      <c r="BS24" s="199">
        <f t="shared" si="49"/>
        <v>-3593.0154612738779</v>
      </c>
      <c r="BT24" s="197"/>
      <c r="BV24" s="204">
        <f t="shared" si="76"/>
        <v>13</v>
      </c>
      <c r="BW24" s="197">
        <f t="shared" si="8"/>
        <v>20</v>
      </c>
      <c r="BX24" s="197">
        <f>'Energy margins'!$S$12</f>
        <v>43.75</v>
      </c>
      <c r="BY24" s="197">
        <f t="shared" si="9"/>
        <v>875</v>
      </c>
      <c r="BZ24" s="197">
        <f>'Margins summary'!$U$14</f>
        <v>330</v>
      </c>
      <c r="CA24" s="197">
        <f t="shared" si="10"/>
        <v>1205</v>
      </c>
      <c r="CB24" s="197"/>
      <c r="CC24" s="918">
        <f>'Energy NPV'!U77</f>
        <v>316.00314399999996</v>
      </c>
      <c r="CD24" s="197"/>
      <c r="CE24" s="197">
        <f t="shared" si="11"/>
        <v>316.00314399999996</v>
      </c>
      <c r="CF24" s="197">
        <f t="shared" si="12"/>
        <v>558.99685599999998</v>
      </c>
      <c r="CG24" s="197">
        <f t="shared" si="13"/>
        <v>888.99685599999998</v>
      </c>
      <c r="CH24" s="196">
        <f t="shared" si="50"/>
        <v>613.70739516885158</v>
      </c>
      <c r="CI24" s="197">
        <f t="shared" si="51"/>
        <v>231.45536046368116</v>
      </c>
      <c r="CJ24" s="197">
        <f t="shared" si="52"/>
        <v>221.63824727932283</v>
      </c>
      <c r="CK24" s="197">
        <f t="shared" si="53"/>
        <v>392.06914788952867</v>
      </c>
      <c r="CL24" s="199">
        <f t="shared" si="54"/>
        <v>623.52450835320985</v>
      </c>
      <c r="CM24" s="196">
        <f t="shared" si="55"/>
        <v>8570.1426556584011</v>
      </c>
      <c r="CN24" s="197">
        <f t="shared" si="56"/>
        <v>3614.8213178772971</v>
      </c>
      <c r="CO24" s="197">
        <f t="shared" si="57"/>
        <v>9350.3724430657767</v>
      </c>
      <c r="CP24" s="197">
        <f t="shared" si="58"/>
        <v>-780.22978740737176</v>
      </c>
      <c r="CQ24" s="199">
        <f t="shared" si="59"/>
        <v>2834.5915304699233</v>
      </c>
      <c r="CR24" s="197"/>
      <c r="CT24" s="204">
        <f t="shared" si="77"/>
        <v>13</v>
      </c>
      <c r="CU24" s="197">
        <f t="shared" si="14"/>
        <v>0</v>
      </c>
      <c r="CV24" s="197">
        <f>'Energy margins'!$S$12</f>
        <v>43.75</v>
      </c>
      <c r="CW24" s="197">
        <f t="shared" si="15"/>
        <v>0</v>
      </c>
      <c r="CX24" s="197">
        <f>'Margins summary'!$U$14</f>
        <v>330</v>
      </c>
      <c r="CY24" s="197">
        <f t="shared" si="16"/>
        <v>330</v>
      </c>
      <c r="CZ24" s="197"/>
      <c r="DA24" s="918">
        <f>'Energy NPV'!U77</f>
        <v>316.00314399999996</v>
      </c>
      <c r="DB24" s="197"/>
      <c r="DC24" s="197">
        <f t="shared" si="17"/>
        <v>316.00314399999996</v>
      </c>
      <c r="DD24" s="197">
        <f t="shared" si="18"/>
        <v>-316.00314399999996</v>
      </c>
      <c r="DE24" s="197">
        <f t="shared" si="19"/>
        <v>13.996856000000037</v>
      </c>
      <c r="DF24" s="196">
        <f t="shared" si="60"/>
        <v>0</v>
      </c>
      <c r="DG24" s="197">
        <f t="shared" si="61"/>
        <v>231.45536046368116</v>
      </c>
      <c r="DH24" s="197">
        <f t="shared" si="62"/>
        <v>221.63824727932283</v>
      </c>
      <c r="DI24" s="197">
        <f t="shared" si="63"/>
        <v>-221.63824727932283</v>
      </c>
      <c r="DJ24" s="199">
        <f t="shared" si="64"/>
        <v>9.8171131843583233</v>
      </c>
      <c r="DK24" s="196">
        <f t="shared" si="65"/>
        <v>0</v>
      </c>
      <c r="DL24" s="197">
        <f t="shared" si="66"/>
        <v>3614.8213178772971</v>
      </c>
      <c r="DM24" s="197">
        <f t="shared" si="67"/>
        <v>9350.3724430657767</v>
      </c>
      <c r="DN24" s="197">
        <f t="shared" si="68"/>
        <v>-9350.3724430657767</v>
      </c>
      <c r="DO24" s="199">
        <f t="shared" si="69"/>
        <v>-5735.5511251884782</v>
      </c>
    </row>
    <row r="25" spans="2:119" x14ac:dyDescent="0.3">
      <c r="B25" s="204">
        <f t="shared" si="70"/>
        <v>14</v>
      </c>
      <c r="C25" s="225">
        <f>'Energy NPV'!$D78*$E$8</f>
        <v>10</v>
      </c>
      <c r="D25" s="197">
        <f>'Energy margins'!$S$12</f>
        <v>43.75</v>
      </c>
      <c r="E25" s="197">
        <f t="shared" si="20"/>
        <v>437.5</v>
      </c>
      <c r="F25" s="197">
        <f>'Margins summary'!$U$14</f>
        <v>330</v>
      </c>
      <c r="G25" s="197">
        <f t="shared" si="21"/>
        <v>767.5</v>
      </c>
      <c r="H25" s="197"/>
      <c r="I25" s="918">
        <f>'Energy NPV'!U78</f>
        <v>316.00314399999996</v>
      </c>
      <c r="J25" s="197"/>
      <c r="K25" s="197">
        <f t="shared" si="22"/>
        <v>316.00314399999996</v>
      </c>
      <c r="L25" s="197">
        <f t="shared" si="0"/>
        <v>121.49685600000004</v>
      </c>
      <c r="M25" s="197">
        <f t="shared" si="1"/>
        <v>451.49685600000004</v>
      </c>
      <c r="N25" s="196">
        <f t="shared" si="23"/>
        <v>297.91621124701533</v>
      </c>
      <c r="O25" s="197">
        <f t="shared" si="24"/>
        <v>224.71394219774871</v>
      </c>
      <c r="P25" s="197">
        <f t="shared" si="25"/>
        <v>215.18276434885712</v>
      </c>
      <c r="Q25" s="197">
        <f t="shared" si="26"/>
        <v>82.733446898158206</v>
      </c>
      <c r="R25" s="199">
        <f t="shared" si="27"/>
        <v>307.44738909590689</v>
      </c>
      <c r="S25" s="196">
        <f t="shared" si="71"/>
        <v>4582.9875390762154</v>
      </c>
      <c r="T25" s="197">
        <f t="shared" si="28"/>
        <v>3839.5352600750457</v>
      </c>
      <c r="U25" s="197">
        <f t="shared" si="28"/>
        <v>9565.5552074146344</v>
      </c>
      <c r="V25" s="197">
        <f t="shared" si="28"/>
        <v>-4982.5676683384163</v>
      </c>
      <c r="W25" s="199">
        <f t="shared" si="28"/>
        <v>-1143.0324082633699</v>
      </c>
      <c r="Z25" s="204">
        <f t="shared" si="72"/>
        <v>14</v>
      </c>
      <c r="AA25" s="197">
        <f t="shared" si="2"/>
        <v>15</v>
      </c>
      <c r="AB25" s="197">
        <f>'Energy margins'!$S$12</f>
        <v>43.75</v>
      </c>
      <c r="AC25" s="197">
        <f t="shared" si="29"/>
        <v>656.25</v>
      </c>
      <c r="AD25" s="197">
        <f>'Margins summary'!$U$14</f>
        <v>330</v>
      </c>
      <c r="AE25" s="197">
        <f t="shared" si="30"/>
        <v>986.25</v>
      </c>
      <c r="AF25" s="197"/>
      <c r="AG25" s="918">
        <f>'Energy NPV'!U78</f>
        <v>316.00314399999996</v>
      </c>
      <c r="AH25" s="197"/>
      <c r="AI25" s="197">
        <f t="shared" si="31"/>
        <v>316.00314399999996</v>
      </c>
      <c r="AJ25" s="197">
        <f t="shared" si="3"/>
        <v>340.24685600000004</v>
      </c>
      <c r="AK25" s="197">
        <f t="shared" si="4"/>
        <v>670.24685599999998</v>
      </c>
      <c r="AL25" s="196">
        <f t="shared" si="32"/>
        <v>446.87431687052299</v>
      </c>
      <c r="AM25" s="197">
        <f t="shared" si="33"/>
        <v>224.71394219774871</v>
      </c>
      <c r="AN25" s="197">
        <f t="shared" si="34"/>
        <v>215.18276434885712</v>
      </c>
      <c r="AO25" s="197">
        <f t="shared" si="35"/>
        <v>231.69155252166587</v>
      </c>
      <c r="AP25" s="199">
        <f t="shared" si="36"/>
        <v>456.40549471941455</v>
      </c>
      <c r="AQ25" s="196">
        <f t="shared" si="73"/>
        <v>6874.4813086143258</v>
      </c>
      <c r="AR25" s="197">
        <f t="shared" si="37"/>
        <v>3839.5352600750457</v>
      </c>
      <c r="AS25" s="197">
        <f t="shared" si="37"/>
        <v>9565.5552074146344</v>
      </c>
      <c r="AT25" s="197">
        <f t="shared" si="37"/>
        <v>-2691.0738988003086</v>
      </c>
      <c r="AU25" s="199">
        <f t="shared" si="37"/>
        <v>1148.4613612747369</v>
      </c>
      <c r="AX25" s="204">
        <f t="shared" si="74"/>
        <v>14</v>
      </c>
      <c r="AY25" s="197">
        <f t="shared" si="5"/>
        <v>5</v>
      </c>
      <c r="AZ25" s="197">
        <f>'Energy margins'!$S$12</f>
        <v>43.75</v>
      </c>
      <c r="BA25" s="197">
        <f t="shared" si="38"/>
        <v>218.75</v>
      </c>
      <c r="BB25" s="197">
        <f>'Margins summary'!$U$14</f>
        <v>330</v>
      </c>
      <c r="BC25" s="197">
        <f t="shared" si="39"/>
        <v>548.75</v>
      </c>
      <c r="BD25" s="197"/>
      <c r="BE25" s="918">
        <f>'Energy NPV'!U78</f>
        <v>316.00314399999996</v>
      </c>
      <c r="BF25" s="197"/>
      <c r="BG25" s="197">
        <f t="shared" si="40"/>
        <v>316.00314399999996</v>
      </c>
      <c r="BH25" s="197">
        <f t="shared" si="6"/>
        <v>-97.253143999999963</v>
      </c>
      <c r="BI25" s="197">
        <f t="shared" si="7"/>
        <v>232.74685600000004</v>
      </c>
      <c r="BJ25" s="196">
        <f t="shared" si="41"/>
        <v>148.95810562350766</v>
      </c>
      <c r="BK25" s="197">
        <f t="shared" si="42"/>
        <v>224.71394219774871</v>
      </c>
      <c r="BL25" s="197">
        <f t="shared" si="43"/>
        <v>215.18276434885712</v>
      </c>
      <c r="BM25" s="197">
        <f t="shared" si="44"/>
        <v>-66.224658725349471</v>
      </c>
      <c r="BN25" s="199">
        <f t="shared" si="45"/>
        <v>158.48928347239925</v>
      </c>
      <c r="BO25" s="196">
        <f t="shared" si="75"/>
        <v>2291.4937695381077</v>
      </c>
      <c r="BP25" s="197">
        <f t="shared" si="46"/>
        <v>3839.5352600750457</v>
      </c>
      <c r="BQ25" s="197">
        <f t="shared" si="47"/>
        <v>9565.5552074146344</v>
      </c>
      <c r="BR25" s="197">
        <f t="shared" si="48"/>
        <v>-7274.061437876524</v>
      </c>
      <c r="BS25" s="199">
        <f t="shared" si="49"/>
        <v>-3434.5261778014788</v>
      </c>
      <c r="BT25" s="197"/>
      <c r="BV25" s="204">
        <f t="shared" si="76"/>
        <v>14</v>
      </c>
      <c r="BW25" s="197">
        <f t="shared" si="8"/>
        <v>20</v>
      </c>
      <c r="BX25" s="197">
        <f>'Energy margins'!$S$12</f>
        <v>43.75</v>
      </c>
      <c r="BY25" s="197">
        <f t="shared" si="9"/>
        <v>875</v>
      </c>
      <c r="BZ25" s="197">
        <f>'Margins summary'!$U$14</f>
        <v>330</v>
      </c>
      <c r="CA25" s="197">
        <f t="shared" si="10"/>
        <v>1205</v>
      </c>
      <c r="CB25" s="197"/>
      <c r="CC25" s="918">
        <f>'Energy NPV'!U78</f>
        <v>316.00314399999996</v>
      </c>
      <c r="CD25" s="197"/>
      <c r="CE25" s="197">
        <f t="shared" si="11"/>
        <v>316.00314399999996</v>
      </c>
      <c r="CF25" s="197">
        <f t="shared" si="12"/>
        <v>558.99685599999998</v>
      </c>
      <c r="CG25" s="197">
        <f t="shared" si="13"/>
        <v>888.99685599999998</v>
      </c>
      <c r="CH25" s="196">
        <f t="shared" si="50"/>
        <v>595.83242249403065</v>
      </c>
      <c r="CI25" s="197">
        <f t="shared" si="51"/>
        <v>224.71394219774871</v>
      </c>
      <c r="CJ25" s="197">
        <f t="shared" si="52"/>
        <v>215.18276434885712</v>
      </c>
      <c r="CK25" s="197">
        <f t="shared" si="53"/>
        <v>380.64965814517348</v>
      </c>
      <c r="CL25" s="199">
        <f t="shared" si="54"/>
        <v>605.36360034292215</v>
      </c>
      <c r="CM25" s="196">
        <f t="shared" si="55"/>
        <v>9165.9750781524308</v>
      </c>
      <c r="CN25" s="197">
        <f t="shared" si="56"/>
        <v>3839.5352600750457</v>
      </c>
      <c r="CO25" s="197">
        <f t="shared" si="57"/>
        <v>9565.5552074146344</v>
      </c>
      <c r="CP25" s="197">
        <f t="shared" si="58"/>
        <v>-399.58012926219828</v>
      </c>
      <c r="CQ25" s="199">
        <f t="shared" si="59"/>
        <v>3439.9551308128457</v>
      </c>
      <c r="CR25" s="197"/>
      <c r="CT25" s="204">
        <f t="shared" si="77"/>
        <v>14</v>
      </c>
      <c r="CU25" s="197">
        <f t="shared" si="14"/>
        <v>0</v>
      </c>
      <c r="CV25" s="197">
        <f>'Energy margins'!$S$12</f>
        <v>43.75</v>
      </c>
      <c r="CW25" s="197">
        <f t="shared" si="15"/>
        <v>0</v>
      </c>
      <c r="CX25" s="197">
        <f>'Margins summary'!$U$14</f>
        <v>330</v>
      </c>
      <c r="CY25" s="197">
        <f t="shared" si="16"/>
        <v>330</v>
      </c>
      <c r="CZ25" s="197"/>
      <c r="DA25" s="918">
        <f>'Energy NPV'!U78</f>
        <v>316.00314399999996</v>
      </c>
      <c r="DB25" s="197"/>
      <c r="DC25" s="197">
        <f t="shared" si="17"/>
        <v>316.00314399999996</v>
      </c>
      <c r="DD25" s="197">
        <f t="shared" si="18"/>
        <v>-316.00314399999996</v>
      </c>
      <c r="DE25" s="197">
        <f t="shared" si="19"/>
        <v>13.996856000000037</v>
      </c>
      <c r="DF25" s="196">
        <f t="shared" si="60"/>
        <v>0</v>
      </c>
      <c r="DG25" s="197">
        <f t="shared" si="61"/>
        <v>224.71394219774871</v>
      </c>
      <c r="DH25" s="197">
        <f t="shared" si="62"/>
        <v>215.18276434885712</v>
      </c>
      <c r="DI25" s="197">
        <f t="shared" si="63"/>
        <v>-215.18276434885712</v>
      </c>
      <c r="DJ25" s="199">
        <f t="shared" si="64"/>
        <v>9.531177848891577</v>
      </c>
      <c r="DK25" s="196">
        <f t="shared" si="65"/>
        <v>0</v>
      </c>
      <c r="DL25" s="197">
        <f t="shared" si="66"/>
        <v>3839.5352600750457</v>
      </c>
      <c r="DM25" s="197">
        <f t="shared" si="67"/>
        <v>9565.5552074146344</v>
      </c>
      <c r="DN25" s="197">
        <f t="shared" si="68"/>
        <v>-9565.5552074146344</v>
      </c>
      <c r="DO25" s="199">
        <f t="shared" si="69"/>
        <v>-5726.0199473395869</v>
      </c>
    </row>
    <row r="26" spans="2:119" x14ac:dyDescent="0.3">
      <c r="B26" s="204">
        <f t="shared" si="70"/>
        <v>15</v>
      </c>
      <c r="C26" s="225">
        <f>'Energy NPV'!$D79*$E$8</f>
        <v>10</v>
      </c>
      <c r="D26" s="197">
        <f>'Energy margins'!$S$12</f>
        <v>43.75</v>
      </c>
      <c r="E26" s="197">
        <f t="shared" si="20"/>
        <v>437.5</v>
      </c>
      <c r="F26" s="197">
        <f>'Margins summary'!$U$14</f>
        <v>330</v>
      </c>
      <c r="G26" s="197">
        <f t="shared" si="21"/>
        <v>767.5</v>
      </c>
      <c r="H26" s="197"/>
      <c r="I26" s="918">
        <f>'Energy NPV'!U79</f>
        <v>316.00314399999996</v>
      </c>
      <c r="J26" s="197"/>
      <c r="K26" s="197">
        <f t="shared" si="22"/>
        <v>316.00314399999996</v>
      </c>
      <c r="L26" s="197">
        <f t="shared" si="0"/>
        <v>121.49685600000004</v>
      </c>
      <c r="M26" s="197">
        <f t="shared" si="1"/>
        <v>451.49685600000004</v>
      </c>
      <c r="N26" s="196">
        <f t="shared" si="23"/>
        <v>289.23904004564594</v>
      </c>
      <c r="O26" s="197">
        <f t="shared" si="24"/>
        <v>218.16887592014436</v>
      </c>
      <c r="P26" s="197">
        <f t="shared" si="25"/>
        <v>208.91530519306517</v>
      </c>
      <c r="Q26" s="197">
        <f t="shared" si="26"/>
        <v>80.32373485258077</v>
      </c>
      <c r="R26" s="199">
        <f t="shared" si="27"/>
        <v>298.49261077272513</v>
      </c>
      <c r="S26" s="196">
        <f t="shared" si="71"/>
        <v>4872.2265791218615</v>
      </c>
      <c r="T26" s="197">
        <f t="shared" si="28"/>
        <v>4057.70413599519</v>
      </c>
      <c r="U26" s="197">
        <f t="shared" si="28"/>
        <v>9774.4705126076988</v>
      </c>
      <c r="V26" s="197">
        <f t="shared" si="28"/>
        <v>-4902.2439334858354</v>
      </c>
      <c r="W26" s="199">
        <f t="shared" si="28"/>
        <v>-844.53979749064479</v>
      </c>
      <c r="Z26" s="204">
        <f t="shared" si="72"/>
        <v>15</v>
      </c>
      <c r="AA26" s="197">
        <f t="shared" si="2"/>
        <v>15</v>
      </c>
      <c r="AB26" s="197">
        <f>'Energy margins'!$S$12</f>
        <v>43.75</v>
      </c>
      <c r="AC26" s="197">
        <f t="shared" si="29"/>
        <v>656.25</v>
      </c>
      <c r="AD26" s="197">
        <f>'Margins summary'!$U$14</f>
        <v>330</v>
      </c>
      <c r="AE26" s="197">
        <f t="shared" si="30"/>
        <v>986.25</v>
      </c>
      <c r="AF26" s="197"/>
      <c r="AG26" s="918">
        <f>'Energy NPV'!U79</f>
        <v>316.00314399999996</v>
      </c>
      <c r="AH26" s="197"/>
      <c r="AI26" s="197">
        <f t="shared" si="31"/>
        <v>316.00314399999996</v>
      </c>
      <c r="AJ26" s="197">
        <f t="shared" si="3"/>
        <v>340.24685600000004</v>
      </c>
      <c r="AK26" s="197">
        <f t="shared" si="4"/>
        <v>670.24685599999998</v>
      </c>
      <c r="AL26" s="196">
        <f t="shared" si="32"/>
        <v>433.85856006846888</v>
      </c>
      <c r="AM26" s="197">
        <f t="shared" si="33"/>
        <v>218.16887592014436</v>
      </c>
      <c r="AN26" s="197">
        <f t="shared" si="34"/>
        <v>208.91530519306517</v>
      </c>
      <c r="AO26" s="197">
        <f t="shared" si="35"/>
        <v>224.94325487540374</v>
      </c>
      <c r="AP26" s="199">
        <f t="shared" si="36"/>
        <v>443.11213079554807</v>
      </c>
      <c r="AQ26" s="196">
        <f t="shared" si="73"/>
        <v>7308.339868682795</v>
      </c>
      <c r="AR26" s="197">
        <f t="shared" si="37"/>
        <v>4057.70413599519</v>
      </c>
      <c r="AS26" s="197">
        <f t="shared" si="37"/>
        <v>9774.4705126076988</v>
      </c>
      <c r="AT26" s="197">
        <f t="shared" si="37"/>
        <v>-2466.1306439249047</v>
      </c>
      <c r="AU26" s="199">
        <f t="shared" si="37"/>
        <v>1591.5734920702848</v>
      </c>
      <c r="AX26" s="204">
        <f t="shared" si="74"/>
        <v>15</v>
      </c>
      <c r="AY26" s="197">
        <f t="shared" si="5"/>
        <v>5</v>
      </c>
      <c r="AZ26" s="197">
        <f>'Energy margins'!$S$12</f>
        <v>43.75</v>
      </c>
      <c r="BA26" s="197">
        <f t="shared" si="38"/>
        <v>218.75</v>
      </c>
      <c r="BB26" s="197">
        <f>'Margins summary'!$U$14</f>
        <v>330</v>
      </c>
      <c r="BC26" s="197">
        <f t="shared" si="39"/>
        <v>548.75</v>
      </c>
      <c r="BD26" s="197"/>
      <c r="BE26" s="918">
        <f>'Energy NPV'!U79</f>
        <v>316.00314399999996</v>
      </c>
      <c r="BF26" s="197"/>
      <c r="BG26" s="197">
        <f t="shared" si="40"/>
        <v>316.00314399999996</v>
      </c>
      <c r="BH26" s="197">
        <f t="shared" si="6"/>
        <v>-97.253143999999963</v>
      </c>
      <c r="BI26" s="197">
        <f t="shared" si="7"/>
        <v>232.74685600000004</v>
      </c>
      <c r="BJ26" s="196">
        <f t="shared" si="41"/>
        <v>144.61952002282297</v>
      </c>
      <c r="BK26" s="197">
        <f t="shared" si="42"/>
        <v>218.16887592014436</v>
      </c>
      <c r="BL26" s="197">
        <f t="shared" si="43"/>
        <v>208.91530519306517</v>
      </c>
      <c r="BM26" s="197">
        <f t="shared" si="44"/>
        <v>-64.295785170242198</v>
      </c>
      <c r="BN26" s="199">
        <f t="shared" si="45"/>
        <v>153.87309074990216</v>
      </c>
      <c r="BO26" s="196">
        <f t="shared" si="75"/>
        <v>2436.1132895609308</v>
      </c>
      <c r="BP26" s="197">
        <f t="shared" si="46"/>
        <v>4057.70413599519</v>
      </c>
      <c r="BQ26" s="197">
        <f t="shared" si="47"/>
        <v>9774.4705126076988</v>
      </c>
      <c r="BR26" s="197">
        <f t="shared" si="48"/>
        <v>-7338.3572230467662</v>
      </c>
      <c r="BS26" s="199">
        <f t="shared" si="49"/>
        <v>-3280.6530870515767</v>
      </c>
      <c r="BT26" s="197"/>
      <c r="BV26" s="204">
        <f t="shared" si="76"/>
        <v>15</v>
      </c>
      <c r="BW26" s="197">
        <f t="shared" si="8"/>
        <v>20</v>
      </c>
      <c r="BX26" s="197">
        <f>'Energy margins'!$S$12</f>
        <v>43.75</v>
      </c>
      <c r="BY26" s="197">
        <f t="shared" si="9"/>
        <v>875</v>
      </c>
      <c r="BZ26" s="197">
        <f>'Margins summary'!$U$14</f>
        <v>330</v>
      </c>
      <c r="CA26" s="197">
        <f t="shared" si="10"/>
        <v>1205</v>
      </c>
      <c r="CB26" s="197"/>
      <c r="CC26" s="918">
        <f>'Energy NPV'!U79</f>
        <v>316.00314399999996</v>
      </c>
      <c r="CD26" s="197"/>
      <c r="CE26" s="197">
        <f t="shared" si="11"/>
        <v>316.00314399999996</v>
      </c>
      <c r="CF26" s="197">
        <f t="shared" si="12"/>
        <v>558.99685599999998</v>
      </c>
      <c r="CG26" s="197">
        <f t="shared" si="13"/>
        <v>888.99685599999998</v>
      </c>
      <c r="CH26" s="196">
        <f t="shared" si="50"/>
        <v>578.47808009129187</v>
      </c>
      <c r="CI26" s="197">
        <f t="shared" si="51"/>
        <v>218.16887592014436</v>
      </c>
      <c r="CJ26" s="197">
        <f t="shared" si="52"/>
        <v>208.91530519306517</v>
      </c>
      <c r="CK26" s="197">
        <f t="shared" si="53"/>
        <v>369.56277489822668</v>
      </c>
      <c r="CL26" s="199">
        <f t="shared" si="54"/>
        <v>587.73165081837101</v>
      </c>
      <c r="CM26" s="196">
        <f t="shared" si="55"/>
        <v>9744.453158243723</v>
      </c>
      <c r="CN26" s="197">
        <f t="shared" si="56"/>
        <v>4057.70413599519</v>
      </c>
      <c r="CO26" s="197">
        <f t="shared" si="57"/>
        <v>9774.4705126076988</v>
      </c>
      <c r="CP26" s="197">
        <f t="shared" si="58"/>
        <v>-30.017354363971606</v>
      </c>
      <c r="CQ26" s="199">
        <f t="shared" si="59"/>
        <v>4027.6867816312169</v>
      </c>
      <c r="CR26" s="197"/>
      <c r="CT26" s="204">
        <f t="shared" si="77"/>
        <v>15</v>
      </c>
      <c r="CU26" s="197">
        <f t="shared" si="14"/>
        <v>0</v>
      </c>
      <c r="CV26" s="197">
        <f>'Energy margins'!$S$12</f>
        <v>43.75</v>
      </c>
      <c r="CW26" s="197">
        <f t="shared" si="15"/>
        <v>0</v>
      </c>
      <c r="CX26" s="197">
        <f>'Margins summary'!$U$14</f>
        <v>330</v>
      </c>
      <c r="CY26" s="197">
        <f t="shared" si="16"/>
        <v>330</v>
      </c>
      <c r="CZ26" s="197"/>
      <c r="DA26" s="918">
        <f>'Energy NPV'!U79</f>
        <v>316.00314399999996</v>
      </c>
      <c r="DB26" s="197"/>
      <c r="DC26" s="197">
        <f t="shared" si="17"/>
        <v>316.00314399999996</v>
      </c>
      <c r="DD26" s="197">
        <f t="shared" si="18"/>
        <v>-316.00314399999996</v>
      </c>
      <c r="DE26" s="197">
        <f t="shared" si="19"/>
        <v>13.996856000000037</v>
      </c>
      <c r="DF26" s="196">
        <f t="shared" si="60"/>
        <v>0</v>
      </c>
      <c r="DG26" s="197">
        <f t="shared" si="61"/>
        <v>218.16887592014436</v>
      </c>
      <c r="DH26" s="197">
        <f t="shared" si="62"/>
        <v>208.91530519306517</v>
      </c>
      <c r="DI26" s="197">
        <f t="shared" si="63"/>
        <v>-208.91530519306517</v>
      </c>
      <c r="DJ26" s="199">
        <f t="shared" si="64"/>
        <v>9.2535707270792003</v>
      </c>
      <c r="DK26" s="196">
        <f t="shared" si="65"/>
        <v>0</v>
      </c>
      <c r="DL26" s="197">
        <f t="shared" si="66"/>
        <v>4057.70413599519</v>
      </c>
      <c r="DM26" s="197">
        <f t="shared" si="67"/>
        <v>9774.4705126076988</v>
      </c>
      <c r="DN26" s="197">
        <f t="shared" si="68"/>
        <v>-9774.4705126076988</v>
      </c>
      <c r="DO26" s="199">
        <f t="shared" si="69"/>
        <v>-5716.7663766125079</v>
      </c>
    </row>
    <row r="27" spans="2:119" x14ac:dyDescent="0.3">
      <c r="B27" s="206">
        <f t="shared" si="70"/>
        <v>16</v>
      </c>
      <c r="C27" s="226">
        <f>'Energy NPV'!$D80*$E$8</f>
        <v>10</v>
      </c>
      <c r="D27" s="207">
        <f>'Energy margins'!$S$12</f>
        <v>43.75</v>
      </c>
      <c r="E27" s="207">
        <f t="shared" si="20"/>
        <v>437.5</v>
      </c>
      <c r="F27" s="207">
        <f>'Margins summary'!$U$14</f>
        <v>330</v>
      </c>
      <c r="G27" s="207">
        <f t="shared" si="21"/>
        <v>767.5</v>
      </c>
      <c r="H27" s="207"/>
      <c r="I27" s="919">
        <f>'Energy NPV'!U80</f>
        <v>203.00314399999996</v>
      </c>
      <c r="J27" s="207">
        <f>'Energy margins'!$X$67</f>
        <v>192.1</v>
      </c>
      <c r="K27" s="207">
        <f t="shared" si="22"/>
        <v>395.10314399999993</v>
      </c>
      <c r="L27" s="207">
        <f t="shared" si="0"/>
        <v>42.396856000000071</v>
      </c>
      <c r="M27" s="207">
        <f t="shared" si="1"/>
        <v>372.39685600000007</v>
      </c>
      <c r="N27" s="208">
        <f t="shared" si="23"/>
        <v>280.81460198606396</v>
      </c>
      <c r="O27" s="207">
        <f t="shared" si="24"/>
        <v>211.81444264091684</v>
      </c>
      <c r="P27" s="207">
        <f t="shared" si="25"/>
        <v>253.60167343040573</v>
      </c>
      <c r="Q27" s="207">
        <f t="shared" si="26"/>
        <v>27.212928555658259</v>
      </c>
      <c r="R27" s="209">
        <f t="shared" si="27"/>
        <v>239.0273711965751</v>
      </c>
      <c r="S27" s="208">
        <f t="shared" si="71"/>
        <v>5153.0411811079257</v>
      </c>
      <c r="T27" s="207">
        <f t="shared" si="28"/>
        <v>4269.5185786361071</v>
      </c>
      <c r="U27" s="207">
        <f t="shared" si="28"/>
        <v>10028.072186038104</v>
      </c>
      <c r="V27" s="207">
        <f t="shared" si="28"/>
        <v>-4875.031004930177</v>
      </c>
      <c r="W27" s="209">
        <f t="shared" si="28"/>
        <v>-605.51242629406966</v>
      </c>
      <c r="Z27" s="206">
        <f t="shared" si="72"/>
        <v>16</v>
      </c>
      <c r="AA27" s="207">
        <f t="shared" si="2"/>
        <v>15</v>
      </c>
      <c r="AB27" s="207">
        <f>'Energy margins'!$S$12</f>
        <v>43.75</v>
      </c>
      <c r="AC27" s="207">
        <f>AA27*AB27</f>
        <v>656.25</v>
      </c>
      <c r="AD27" s="207">
        <f>'Margins summary'!$U$14</f>
        <v>330</v>
      </c>
      <c r="AE27" s="207">
        <f t="shared" si="30"/>
        <v>986.25</v>
      </c>
      <c r="AF27" s="207"/>
      <c r="AG27" s="919">
        <f>'Energy NPV'!U80</f>
        <v>203.00314399999996</v>
      </c>
      <c r="AH27" s="207">
        <f>'Energy margins'!$X$67</f>
        <v>192.1</v>
      </c>
      <c r="AI27" s="207">
        <f t="shared" si="31"/>
        <v>395.10314399999993</v>
      </c>
      <c r="AJ27" s="207">
        <f t="shared" si="3"/>
        <v>261.14685600000007</v>
      </c>
      <c r="AK27" s="207">
        <f t="shared" si="4"/>
        <v>591.14685600000007</v>
      </c>
      <c r="AL27" s="208">
        <f t="shared" si="32"/>
        <v>421.221902979096</v>
      </c>
      <c r="AM27" s="207">
        <f t="shared" si="33"/>
        <v>211.81444264091684</v>
      </c>
      <c r="AN27" s="207">
        <f t="shared" si="34"/>
        <v>253.60167343040573</v>
      </c>
      <c r="AO27" s="207">
        <f t="shared" si="35"/>
        <v>167.62022954869025</v>
      </c>
      <c r="AP27" s="209">
        <f t="shared" si="36"/>
        <v>379.43467218960711</v>
      </c>
      <c r="AQ27" s="208">
        <f t="shared" si="73"/>
        <v>7729.5617716618908</v>
      </c>
      <c r="AR27" s="207">
        <f t="shared" si="37"/>
        <v>4269.5185786361071</v>
      </c>
      <c r="AS27" s="207">
        <f t="shared" si="37"/>
        <v>10028.072186038104</v>
      </c>
      <c r="AT27" s="207">
        <f t="shared" si="37"/>
        <v>-2298.5104143762146</v>
      </c>
      <c r="AU27" s="209">
        <f t="shared" si="37"/>
        <v>1971.0081642598921</v>
      </c>
      <c r="AX27" s="206">
        <f t="shared" si="74"/>
        <v>16</v>
      </c>
      <c r="AY27" s="207">
        <f t="shared" si="5"/>
        <v>5</v>
      </c>
      <c r="AZ27" s="207">
        <f>'Energy margins'!$S$12</f>
        <v>43.75</v>
      </c>
      <c r="BA27" s="207">
        <f>AY27*AZ27</f>
        <v>218.75</v>
      </c>
      <c r="BB27" s="207">
        <f>'Margins summary'!$U$14</f>
        <v>330</v>
      </c>
      <c r="BC27" s="207">
        <f t="shared" si="39"/>
        <v>548.75</v>
      </c>
      <c r="BD27" s="207"/>
      <c r="BE27" s="919">
        <f>'Energy NPV'!U80</f>
        <v>203.00314399999996</v>
      </c>
      <c r="BF27" s="207">
        <f>'Energy margins'!$X$67</f>
        <v>192.1</v>
      </c>
      <c r="BG27" s="207">
        <f t="shared" si="40"/>
        <v>395.10314399999993</v>
      </c>
      <c r="BH27" s="207">
        <f t="shared" si="6"/>
        <v>-176.35314399999993</v>
      </c>
      <c r="BI27" s="207">
        <f t="shared" si="7"/>
        <v>153.64685600000007</v>
      </c>
      <c r="BJ27" s="208">
        <f t="shared" si="41"/>
        <v>140.40730099303198</v>
      </c>
      <c r="BK27" s="207">
        <f t="shared" si="42"/>
        <v>211.81444264091684</v>
      </c>
      <c r="BL27" s="207">
        <f t="shared" si="43"/>
        <v>253.60167343040573</v>
      </c>
      <c r="BM27" s="207">
        <f t="shared" si="44"/>
        <v>-113.19437243737373</v>
      </c>
      <c r="BN27" s="209">
        <f t="shared" si="45"/>
        <v>98.620070203543108</v>
      </c>
      <c r="BO27" s="208">
        <f t="shared" si="75"/>
        <v>2576.5205905539628</v>
      </c>
      <c r="BP27" s="207">
        <f t="shared" si="46"/>
        <v>4269.5185786361071</v>
      </c>
      <c r="BQ27" s="207">
        <f t="shared" si="47"/>
        <v>10028.072186038104</v>
      </c>
      <c r="BR27" s="207">
        <f t="shared" si="48"/>
        <v>-7451.5515954841403</v>
      </c>
      <c r="BS27" s="209">
        <f t="shared" si="49"/>
        <v>-3182.0330168480336</v>
      </c>
      <c r="BT27" s="197"/>
      <c r="BV27" s="206">
        <f t="shared" si="76"/>
        <v>16</v>
      </c>
      <c r="BW27" s="207">
        <f t="shared" si="8"/>
        <v>20</v>
      </c>
      <c r="BX27" s="207">
        <f>'Energy margins'!$S$12</f>
        <v>43.75</v>
      </c>
      <c r="BY27" s="207">
        <f t="shared" si="9"/>
        <v>875</v>
      </c>
      <c r="BZ27" s="207">
        <f>'Margins summary'!$U$14</f>
        <v>330</v>
      </c>
      <c r="CA27" s="207">
        <f t="shared" si="10"/>
        <v>1205</v>
      </c>
      <c r="CB27" s="207"/>
      <c r="CC27" s="919">
        <f>'Energy NPV'!U80</f>
        <v>203.00314399999996</v>
      </c>
      <c r="CD27" s="207">
        <f>'Energy margins'!$X$67</f>
        <v>192.1</v>
      </c>
      <c r="CE27" s="207">
        <f t="shared" si="11"/>
        <v>395.10314399999993</v>
      </c>
      <c r="CF27" s="207">
        <f t="shared" si="12"/>
        <v>479.89685600000007</v>
      </c>
      <c r="CG27" s="207">
        <f t="shared" si="13"/>
        <v>809.89685600000007</v>
      </c>
      <c r="CH27" s="208">
        <f t="shared" si="50"/>
        <v>561.62920397212793</v>
      </c>
      <c r="CI27" s="207">
        <f t="shared" si="51"/>
        <v>211.81444264091684</v>
      </c>
      <c r="CJ27" s="207">
        <f t="shared" si="52"/>
        <v>253.60167343040573</v>
      </c>
      <c r="CK27" s="207">
        <f t="shared" si="53"/>
        <v>308.02753054172223</v>
      </c>
      <c r="CL27" s="209">
        <f t="shared" si="54"/>
        <v>519.84197318263909</v>
      </c>
      <c r="CM27" s="208">
        <f t="shared" si="55"/>
        <v>10306.082362215851</v>
      </c>
      <c r="CN27" s="207">
        <f t="shared" si="56"/>
        <v>4269.5185786361071</v>
      </c>
      <c r="CO27" s="207">
        <f t="shared" si="57"/>
        <v>10028.072186038104</v>
      </c>
      <c r="CP27" s="207">
        <f t="shared" si="58"/>
        <v>278.01017617775062</v>
      </c>
      <c r="CQ27" s="209">
        <f t="shared" si="59"/>
        <v>4547.5287548138558</v>
      </c>
      <c r="CR27" s="197"/>
      <c r="CT27" s="206">
        <f t="shared" si="77"/>
        <v>16</v>
      </c>
      <c r="CU27" s="207">
        <f t="shared" si="14"/>
        <v>0</v>
      </c>
      <c r="CV27" s="207">
        <f>'Energy margins'!$S$12</f>
        <v>43.75</v>
      </c>
      <c r="CW27" s="207">
        <f t="shared" si="15"/>
        <v>0</v>
      </c>
      <c r="CX27" s="207">
        <f>'Margins summary'!$U$14</f>
        <v>330</v>
      </c>
      <c r="CY27" s="207">
        <f t="shared" si="16"/>
        <v>330</v>
      </c>
      <c r="CZ27" s="207"/>
      <c r="DA27" s="919">
        <f>'Energy NPV'!U80</f>
        <v>203.00314399999996</v>
      </c>
      <c r="DB27" s="207">
        <f>'Energy margins'!$X$67</f>
        <v>192.1</v>
      </c>
      <c r="DC27" s="207">
        <f t="shared" si="17"/>
        <v>395.10314399999993</v>
      </c>
      <c r="DD27" s="207">
        <f t="shared" si="18"/>
        <v>-395.10314399999993</v>
      </c>
      <c r="DE27" s="207">
        <f t="shared" si="19"/>
        <v>-65.103143999999929</v>
      </c>
      <c r="DF27" s="208">
        <f t="shared" si="60"/>
        <v>0</v>
      </c>
      <c r="DG27" s="207">
        <f t="shared" si="61"/>
        <v>211.81444264091684</v>
      </c>
      <c r="DH27" s="207">
        <f t="shared" si="62"/>
        <v>253.60167343040573</v>
      </c>
      <c r="DI27" s="207">
        <f t="shared" si="63"/>
        <v>-253.60167343040573</v>
      </c>
      <c r="DJ27" s="209">
        <f>DE27/((1+$B$4)^(CT27-1))</f>
        <v>-41.787230789488888</v>
      </c>
      <c r="DK27" s="208">
        <f t="shared" si="65"/>
        <v>0</v>
      </c>
      <c r="DL27" s="207">
        <f t="shared" si="66"/>
        <v>4269.5185786361071</v>
      </c>
      <c r="DM27" s="207">
        <f t="shared" si="67"/>
        <v>10028.072186038104</v>
      </c>
      <c r="DN27" s="207">
        <f t="shared" si="68"/>
        <v>-10028.072186038104</v>
      </c>
      <c r="DO27" s="209">
        <f t="shared" si="69"/>
        <v>-5758.5536074019965</v>
      </c>
    </row>
    <row r="29" spans="2:119" x14ac:dyDescent="0.3">
      <c r="Z29" s="197"/>
    </row>
    <row r="34" spans="2:119" x14ac:dyDescent="0.3">
      <c r="B34" s="228" t="s">
        <v>436</v>
      </c>
      <c r="C34" s="775" t="s">
        <v>408</v>
      </c>
      <c r="D34" s="269" t="s">
        <v>395</v>
      </c>
      <c r="E34" s="906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Z34" s="228" t="s">
        <v>436</v>
      </c>
      <c r="AA34" s="211" t="s">
        <v>318</v>
      </c>
      <c r="AB34" s="908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X34" s="228" t="s">
        <v>436</v>
      </c>
      <c r="AY34" s="211" t="s">
        <v>319</v>
      </c>
      <c r="AZ34" s="908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V34" s="228" t="s">
        <v>436</v>
      </c>
      <c r="BW34" s="268" t="s">
        <v>320</v>
      </c>
      <c r="BX34" s="905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T34" s="228" t="s">
        <v>436</v>
      </c>
      <c r="CU34" s="268" t="s">
        <v>321</v>
      </c>
      <c r="CV34" s="905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108"/>
      <c r="F35" s="1108"/>
      <c r="G35" s="1108"/>
      <c r="H35" s="148"/>
      <c r="I35" s="931"/>
      <c r="J35" s="1108"/>
      <c r="K35" s="1108"/>
      <c r="L35" s="148"/>
      <c r="M35" s="148"/>
      <c r="N35" s="1109" t="s">
        <v>270</v>
      </c>
      <c r="O35" s="1110"/>
      <c r="P35" s="1110"/>
      <c r="Q35" s="1110"/>
      <c r="R35" s="1111"/>
      <c r="S35" s="1109" t="s">
        <v>271</v>
      </c>
      <c r="T35" s="1110"/>
      <c r="U35" s="1110"/>
      <c r="V35" s="1110"/>
      <c r="W35" s="1111"/>
      <c r="Z35" s="203"/>
      <c r="AA35" s="148"/>
      <c r="AB35" s="148"/>
      <c r="AC35" s="992"/>
      <c r="AD35" s="992"/>
      <c r="AE35" s="992"/>
      <c r="AF35" s="148"/>
      <c r="AG35" s="931"/>
      <c r="AH35" s="992"/>
      <c r="AI35" s="992"/>
      <c r="AJ35" s="148"/>
      <c r="AK35" s="148"/>
      <c r="AL35" s="993" t="s">
        <v>270</v>
      </c>
      <c r="AM35" s="994"/>
      <c r="AN35" s="994"/>
      <c r="AO35" s="994"/>
      <c r="AP35" s="995"/>
      <c r="AQ35" s="993" t="s">
        <v>271</v>
      </c>
      <c r="AR35" s="994"/>
      <c r="AS35" s="994"/>
      <c r="AT35" s="994"/>
      <c r="AU35" s="995"/>
      <c r="AX35" s="203"/>
      <c r="AY35" s="148"/>
      <c r="AZ35" s="148"/>
      <c r="BA35" s="992"/>
      <c r="BB35" s="992"/>
      <c r="BC35" s="992"/>
      <c r="BD35" s="148"/>
      <c r="BE35" s="931"/>
      <c r="BF35" s="992"/>
      <c r="BG35" s="992"/>
      <c r="BH35" s="148"/>
      <c r="BI35" s="148"/>
      <c r="BJ35" s="993" t="s">
        <v>270</v>
      </c>
      <c r="BK35" s="994"/>
      <c r="BL35" s="994"/>
      <c r="BM35" s="994"/>
      <c r="BN35" s="995"/>
      <c r="BO35" s="993" t="s">
        <v>271</v>
      </c>
      <c r="BP35" s="994"/>
      <c r="BQ35" s="994"/>
      <c r="BR35" s="994"/>
      <c r="BS35" s="995"/>
      <c r="BV35" s="203"/>
      <c r="BW35" s="148"/>
      <c r="BX35" s="148"/>
      <c r="BY35" s="992"/>
      <c r="BZ35" s="992"/>
      <c r="CA35" s="992"/>
      <c r="CB35" s="148"/>
      <c r="CC35" s="931"/>
      <c r="CD35" s="992"/>
      <c r="CE35" s="992"/>
      <c r="CF35" s="148"/>
      <c r="CG35" s="148"/>
      <c r="CH35" s="993" t="s">
        <v>270</v>
      </c>
      <c r="CI35" s="994"/>
      <c r="CJ35" s="994"/>
      <c r="CK35" s="994"/>
      <c r="CL35" s="995"/>
      <c r="CM35" s="993" t="s">
        <v>271</v>
      </c>
      <c r="CN35" s="994"/>
      <c r="CO35" s="994"/>
      <c r="CP35" s="994"/>
      <c r="CQ35" s="995"/>
      <c r="CT35" s="203"/>
      <c r="CU35" s="148"/>
      <c r="CV35" s="148"/>
      <c r="CW35" s="992"/>
      <c r="CX35" s="992"/>
      <c r="CY35" s="992"/>
      <c r="CZ35" s="148"/>
      <c r="DA35" s="931"/>
      <c r="DB35" s="992"/>
      <c r="DC35" s="992"/>
      <c r="DD35" s="148"/>
      <c r="DE35" s="148"/>
      <c r="DF35" s="993" t="s">
        <v>270</v>
      </c>
      <c r="DG35" s="994"/>
      <c r="DH35" s="994"/>
      <c r="DI35" s="994"/>
      <c r="DJ35" s="995"/>
      <c r="DK35" s="993" t="s">
        <v>271</v>
      </c>
      <c r="DL35" s="994"/>
      <c r="DM35" s="994"/>
      <c r="DN35" s="994"/>
      <c r="DO35" s="995"/>
    </row>
    <row r="36" spans="2:119" ht="51" x14ac:dyDescent="0.3">
      <c r="B36" s="204" t="s">
        <v>272</v>
      </c>
      <c r="C36" s="205" t="s">
        <v>289</v>
      </c>
      <c r="D36" s="205" t="s">
        <v>290</v>
      </c>
      <c r="E36" s="171" t="s">
        <v>676</v>
      </c>
      <c r="F36" s="171" t="s">
        <v>672</v>
      </c>
      <c r="G36" s="171" t="s">
        <v>677</v>
      </c>
      <c r="H36" s="205" t="s">
        <v>287</v>
      </c>
      <c r="I36" s="935" t="str">
        <f>'Energy NPV'!U89</f>
        <v>Total Recurring Costs</v>
      </c>
      <c r="J36" s="205" t="s">
        <v>291</v>
      </c>
      <c r="K36" s="171" t="s">
        <v>276</v>
      </c>
      <c r="L36" s="171" t="s">
        <v>678</v>
      </c>
      <c r="M36" s="171" t="s">
        <v>679</v>
      </c>
      <c r="N36" s="195" t="s">
        <v>277</v>
      </c>
      <c r="O36" s="171" t="s">
        <v>680</v>
      </c>
      <c r="P36" s="171" t="s">
        <v>278</v>
      </c>
      <c r="Q36" s="171" t="s">
        <v>681</v>
      </c>
      <c r="R36" s="198" t="s">
        <v>279</v>
      </c>
      <c r="S36" s="195" t="s">
        <v>280</v>
      </c>
      <c r="T36" s="171" t="s">
        <v>682</v>
      </c>
      <c r="U36" s="171" t="s">
        <v>281</v>
      </c>
      <c r="V36" s="171" t="s">
        <v>683</v>
      </c>
      <c r="W36" s="198" t="s">
        <v>282</v>
      </c>
      <c r="Z36" s="204" t="s">
        <v>272</v>
      </c>
      <c r="AA36" s="205" t="s">
        <v>289</v>
      </c>
      <c r="AB36" s="205" t="s">
        <v>290</v>
      </c>
      <c r="AC36" s="171" t="s">
        <v>676</v>
      </c>
      <c r="AD36" s="171" t="s">
        <v>672</v>
      </c>
      <c r="AE36" s="171" t="s">
        <v>677</v>
      </c>
      <c r="AF36" s="205" t="s">
        <v>287</v>
      </c>
      <c r="AG36" s="935" t="str">
        <f>'Energy NPV'!U89</f>
        <v>Total Recurring Costs</v>
      </c>
      <c r="AH36" s="205" t="s">
        <v>291</v>
      </c>
      <c r="AI36" s="171" t="s">
        <v>276</v>
      </c>
      <c r="AJ36" s="171" t="s">
        <v>678</v>
      </c>
      <c r="AK36" s="171" t="s">
        <v>679</v>
      </c>
      <c r="AL36" s="195" t="s">
        <v>277</v>
      </c>
      <c r="AM36" s="171" t="s">
        <v>680</v>
      </c>
      <c r="AN36" s="171" t="s">
        <v>278</v>
      </c>
      <c r="AO36" s="171" t="s">
        <v>681</v>
      </c>
      <c r="AP36" s="198" t="s">
        <v>279</v>
      </c>
      <c r="AQ36" s="195" t="s">
        <v>280</v>
      </c>
      <c r="AR36" s="171" t="s">
        <v>682</v>
      </c>
      <c r="AS36" s="171" t="s">
        <v>281</v>
      </c>
      <c r="AT36" s="171" t="s">
        <v>683</v>
      </c>
      <c r="AU36" s="198" t="s">
        <v>282</v>
      </c>
      <c r="AX36" s="204" t="s">
        <v>272</v>
      </c>
      <c r="AY36" s="205" t="s">
        <v>289</v>
      </c>
      <c r="AZ36" s="205" t="s">
        <v>290</v>
      </c>
      <c r="BA36" s="171" t="s">
        <v>676</v>
      </c>
      <c r="BB36" s="171" t="s">
        <v>672</v>
      </c>
      <c r="BC36" s="171" t="s">
        <v>677</v>
      </c>
      <c r="BD36" s="205" t="s">
        <v>287</v>
      </c>
      <c r="BE36" s="935" t="str">
        <f>'Energy NPV'!U89</f>
        <v>Total Recurring Costs</v>
      </c>
      <c r="BF36" s="205" t="s">
        <v>291</v>
      </c>
      <c r="BG36" s="171" t="s">
        <v>276</v>
      </c>
      <c r="BH36" s="171" t="s">
        <v>678</v>
      </c>
      <c r="BI36" s="171" t="s">
        <v>679</v>
      </c>
      <c r="BJ36" s="195" t="s">
        <v>277</v>
      </c>
      <c r="BK36" s="171" t="s">
        <v>680</v>
      </c>
      <c r="BL36" s="171" t="s">
        <v>278</v>
      </c>
      <c r="BM36" s="171" t="s">
        <v>681</v>
      </c>
      <c r="BN36" s="198" t="s">
        <v>279</v>
      </c>
      <c r="BO36" s="195" t="s">
        <v>280</v>
      </c>
      <c r="BP36" s="171" t="s">
        <v>682</v>
      </c>
      <c r="BQ36" s="171" t="s">
        <v>281</v>
      </c>
      <c r="BR36" s="171" t="s">
        <v>683</v>
      </c>
      <c r="BS36" s="198" t="s">
        <v>282</v>
      </c>
      <c r="BV36" s="204" t="s">
        <v>272</v>
      </c>
      <c r="BW36" s="205" t="s">
        <v>289</v>
      </c>
      <c r="BX36" s="205" t="s">
        <v>290</v>
      </c>
      <c r="BY36" s="171" t="s">
        <v>676</v>
      </c>
      <c r="BZ36" s="171" t="s">
        <v>672</v>
      </c>
      <c r="CA36" s="171" t="s">
        <v>677</v>
      </c>
      <c r="CB36" s="205" t="s">
        <v>287</v>
      </c>
      <c r="CC36" s="935" t="str">
        <f>'Energy NPV'!U89</f>
        <v>Total Recurring Costs</v>
      </c>
      <c r="CD36" s="205" t="s">
        <v>291</v>
      </c>
      <c r="CE36" s="171" t="s">
        <v>276</v>
      </c>
      <c r="CF36" s="171" t="s">
        <v>678</v>
      </c>
      <c r="CG36" s="171" t="s">
        <v>679</v>
      </c>
      <c r="CH36" s="195" t="s">
        <v>277</v>
      </c>
      <c r="CI36" s="171" t="s">
        <v>680</v>
      </c>
      <c r="CJ36" s="171" t="s">
        <v>278</v>
      </c>
      <c r="CK36" s="171" t="s">
        <v>681</v>
      </c>
      <c r="CL36" s="198" t="s">
        <v>279</v>
      </c>
      <c r="CM36" s="195" t="s">
        <v>280</v>
      </c>
      <c r="CN36" s="171" t="s">
        <v>682</v>
      </c>
      <c r="CO36" s="171" t="s">
        <v>281</v>
      </c>
      <c r="CP36" s="171" t="s">
        <v>683</v>
      </c>
      <c r="CQ36" s="198" t="s">
        <v>282</v>
      </c>
      <c r="CT36" s="204" t="s">
        <v>272</v>
      </c>
      <c r="CU36" s="205" t="s">
        <v>289</v>
      </c>
      <c r="CV36" s="205" t="s">
        <v>290</v>
      </c>
      <c r="CW36" s="171" t="s">
        <v>676</v>
      </c>
      <c r="CX36" s="171" t="s">
        <v>672</v>
      </c>
      <c r="CY36" s="171" t="s">
        <v>677</v>
      </c>
      <c r="CZ36" s="205" t="s">
        <v>287</v>
      </c>
      <c r="DA36" s="935" t="str">
        <f>'Energy NPV'!U89</f>
        <v>Total Recurring Costs</v>
      </c>
      <c r="DB36" s="205" t="s">
        <v>291</v>
      </c>
      <c r="DC36" s="171" t="s">
        <v>276</v>
      </c>
      <c r="DD36" s="171" t="s">
        <v>678</v>
      </c>
      <c r="DE36" s="171" t="s">
        <v>679</v>
      </c>
      <c r="DF36" s="195" t="s">
        <v>277</v>
      </c>
      <c r="DG36" s="171" t="s">
        <v>680</v>
      </c>
      <c r="DH36" s="171" t="s">
        <v>278</v>
      </c>
      <c r="DI36" s="171" t="s">
        <v>681</v>
      </c>
      <c r="DJ36" s="198" t="s">
        <v>279</v>
      </c>
      <c r="DK36" s="195" t="s">
        <v>280</v>
      </c>
      <c r="DL36" s="171" t="s">
        <v>682</v>
      </c>
      <c r="DM36" s="171" t="s">
        <v>281</v>
      </c>
      <c r="DN36" s="171" t="s">
        <v>683</v>
      </c>
      <c r="DO36" s="198" t="s">
        <v>282</v>
      </c>
    </row>
    <row r="37" spans="2:119" x14ac:dyDescent="0.3">
      <c r="B37" s="173"/>
      <c r="C37" s="226" t="s">
        <v>332</v>
      </c>
      <c r="D37" s="226" t="s">
        <v>569</v>
      </c>
      <c r="E37" s="201" t="s">
        <v>567</v>
      </c>
      <c r="F37" s="201" t="s">
        <v>567</v>
      </c>
      <c r="G37" s="201" t="s">
        <v>567</v>
      </c>
      <c r="H37" s="201" t="s">
        <v>567</v>
      </c>
      <c r="I37" s="969" t="str">
        <f>'Energy NPV'!U90</f>
        <v>(€ ha-1)</v>
      </c>
      <c r="J37" s="201" t="s">
        <v>567</v>
      </c>
      <c r="K37" s="201" t="s">
        <v>567</v>
      </c>
      <c r="L37" s="201" t="s">
        <v>567</v>
      </c>
      <c r="M37" s="202" t="s">
        <v>567</v>
      </c>
      <c r="N37" s="201" t="s">
        <v>567</v>
      </c>
      <c r="O37" s="201" t="s">
        <v>567</v>
      </c>
      <c r="P37" s="201" t="s">
        <v>567</v>
      </c>
      <c r="Q37" s="201" t="s">
        <v>567</v>
      </c>
      <c r="R37" s="202" t="s">
        <v>567</v>
      </c>
      <c r="S37" s="201" t="s">
        <v>567</v>
      </c>
      <c r="T37" s="201" t="s">
        <v>567</v>
      </c>
      <c r="U37" s="201" t="s">
        <v>567</v>
      </c>
      <c r="V37" s="201" t="s">
        <v>567</v>
      </c>
      <c r="W37" s="202" t="s">
        <v>567</v>
      </c>
      <c r="Z37" s="173"/>
      <c r="AA37" s="226" t="s">
        <v>332</v>
      </c>
      <c r="AB37" s="226" t="s">
        <v>569</v>
      </c>
      <c r="AC37" s="201" t="s">
        <v>567</v>
      </c>
      <c r="AD37" s="201" t="s">
        <v>567</v>
      </c>
      <c r="AE37" s="201" t="s">
        <v>567</v>
      </c>
      <c r="AF37" s="201" t="s">
        <v>567</v>
      </c>
      <c r="AG37" s="969" t="str">
        <f>'Energy NPV'!U90</f>
        <v>(€ ha-1)</v>
      </c>
      <c r="AH37" s="201" t="s">
        <v>567</v>
      </c>
      <c r="AI37" s="201" t="s">
        <v>567</v>
      </c>
      <c r="AJ37" s="201" t="s">
        <v>567</v>
      </c>
      <c r="AK37" s="202" t="s">
        <v>567</v>
      </c>
      <c r="AL37" s="201" t="s">
        <v>567</v>
      </c>
      <c r="AM37" s="201" t="s">
        <v>567</v>
      </c>
      <c r="AN37" s="201" t="s">
        <v>567</v>
      </c>
      <c r="AO37" s="201" t="s">
        <v>567</v>
      </c>
      <c r="AP37" s="202" t="s">
        <v>567</v>
      </c>
      <c r="AQ37" s="201" t="s">
        <v>567</v>
      </c>
      <c r="AR37" s="201" t="s">
        <v>567</v>
      </c>
      <c r="AS37" s="201" t="s">
        <v>567</v>
      </c>
      <c r="AT37" s="201" t="s">
        <v>567</v>
      </c>
      <c r="AU37" s="202" t="s">
        <v>567</v>
      </c>
      <c r="AX37" s="173"/>
      <c r="AY37" s="226" t="s">
        <v>332</v>
      </c>
      <c r="AZ37" s="226" t="s">
        <v>569</v>
      </c>
      <c r="BA37" s="201" t="s">
        <v>567</v>
      </c>
      <c r="BB37" s="201" t="s">
        <v>567</v>
      </c>
      <c r="BC37" s="201" t="s">
        <v>567</v>
      </c>
      <c r="BD37" s="201" t="s">
        <v>567</v>
      </c>
      <c r="BE37" s="969" t="str">
        <f>'Energy NPV'!U90</f>
        <v>(€ ha-1)</v>
      </c>
      <c r="BF37" s="201" t="s">
        <v>567</v>
      </c>
      <c r="BG37" s="201" t="s">
        <v>567</v>
      </c>
      <c r="BH37" s="201" t="s">
        <v>567</v>
      </c>
      <c r="BI37" s="202" t="s">
        <v>567</v>
      </c>
      <c r="BJ37" s="201" t="s">
        <v>567</v>
      </c>
      <c r="BK37" s="201" t="s">
        <v>567</v>
      </c>
      <c r="BL37" s="201" t="s">
        <v>567</v>
      </c>
      <c r="BM37" s="201" t="s">
        <v>567</v>
      </c>
      <c r="BN37" s="202" t="s">
        <v>567</v>
      </c>
      <c r="BO37" s="201" t="s">
        <v>567</v>
      </c>
      <c r="BP37" s="201" t="s">
        <v>567</v>
      </c>
      <c r="BQ37" s="201" t="s">
        <v>567</v>
      </c>
      <c r="BR37" s="201" t="s">
        <v>567</v>
      </c>
      <c r="BS37" s="202" t="s">
        <v>567</v>
      </c>
      <c r="BV37" s="173"/>
      <c r="BW37" s="226" t="s">
        <v>332</v>
      </c>
      <c r="BX37" s="226" t="s">
        <v>569</v>
      </c>
      <c r="BY37" s="201" t="s">
        <v>567</v>
      </c>
      <c r="BZ37" s="201" t="s">
        <v>567</v>
      </c>
      <c r="CA37" s="201" t="s">
        <v>567</v>
      </c>
      <c r="CB37" s="201" t="s">
        <v>567</v>
      </c>
      <c r="CC37" s="969" t="str">
        <f>'Energy NPV'!U90</f>
        <v>(€ ha-1)</v>
      </c>
      <c r="CD37" s="201" t="s">
        <v>567</v>
      </c>
      <c r="CE37" s="201" t="s">
        <v>567</v>
      </c>
      <c r="CF37" s="201" t="s">
        <v>567</v>
      </c>
      <c r="CG37" s="202" t="s">
        <v>567</v>
      </c>
      <c r="CH37" s="201" t="s">
        <v>567</v>
      </c>
      <c r="CI37" s="201" t="s">
        <v>567</v>
      </c>
      <c r="CJ37" s="201" t="s">
        <v>567</v>
      </c>
      <c r="CK37" s="201" t="s">
        <v>567</v>
      </c>
      <c r="CL37" s="202" t="s">
        <v>567</v>
      </c>
      <c r="CM37" s="201" t="s">
        <v>567</v>
      </c>
      <c r="CN37" s="201" t="s">
        <v>567</v>
      </c>
      <c r="CO37" s="201" t="s">
        <v>567</v>
      </c>
      <c r="CP37" s="201" t="s">
        <v>567</v>
      </c>
      <c r="CQ37" s="202" t="s">
        <v>567</v>
      </c>
      <c r="CT37" s="173"/>
      <c r="CU37" s="226" t="s">
        <v>332</v>
      </c>
      <c r="CV37" s="226" t="s">
        <v>569</v>
      </c>
      <c r="CW37" s="201" t="s">
        <v>567</v>
      </c>
      <c r="CX37" s="201" t="s">
        <v>567</v>
      </c>
      <c r="CY37" s="201" t="s">
        <v>567</v>
      </c>
      <c r="CZ37" s="201" t="s">
        <v>567</v>
      </c>
      <c r="DA37" s="969" t="str">
        <f>'Energy NPV'!U90</f>
        <v>(€ ha-1)</v>
      </c>
      <c r="DB37" s="201" t="s">
        <v>567</v>
      </c>
      <c r="DC37" s="201" t="s">
        <v>567</v>
      </c>
      <c r="DD37" s="201" t="s">
        <v>567</v>
      </c>
      <c r="DE37" s="202" t="s">
        <v>567</v>
      </c>
      <c r="DF37" s="201" t="s">
        <v>567</v>
      </c>
      <c r="DG37" s="201" t="s">
        <v>567</v>
      </c>
      <c r="DH37" s="201" t="s">
        <v>567</v>
      </c>
      <c r="DI37" s="201" t="s">
        <v>567</v>
      </c>
      <c r="DJ37" s="202" t="s">
        <v>567</v>
      </c>
      <c r="DK37" s="201" t="s">
        <v>567</v>
      </c>
      <c r="DL37" s="201" t="s">
        <v>567</v>
      </c>
      <c r="DM37" s="201" t="s">
        <v>567</v>
      </c>
      <c r="DN37" s="201" t="s">
        <v>567</v>
      </c>
      <c r="DO37" s="202" t="s">
        <v>567</v>
      </c>
    </row>
    <row r="38" spans="2:119" x14ac:dyDescent="0.3">
      <c r="B38" s="204">
        <v>1</v>
      </c>
      <c r="C38" s="225">
        <f>'Energy NPV'!$D91*$E$34</f>
        <v>0</v>
      </c>
      <c r="D38" s="197">
        <f>'Energy margins'!$Z$12</f>
        <v>43.75</v>
      </c>
      <c r="E38" s="197">
        <f>C38*D38</f>
        <v>0</v>
      </c>
      <c r="F38" s="197">
        <f>'Margins summary'!$W$14</f>
        <v>330</v>
      </c>
      <c r="G38" s="197">
        <f>E38+F38</f>
        <v>330</v>
      </c>
      <c r="H38" s="197">
        <f>'Margins summary'!$V$20</f>
        <v>2769.6868439999998</v>
      </c>
      <c r="I38" s="918">
        <f>'Energy NPV'!U91</f>
        <v>0</v>
      </c>
      <c r="J38" s="197"/>
      <c r="K38" s="197">
        <f>H38+I38+J38</f>
        <v>2769.6868439999998</v>
      </c>
      <c r="L38" s="197">
        <f t="shared" ref="L38:L53" si="78">E38-K38</f>
        <v>-2769.6868439999998</v>
      </c>
      <c r="M38" s="197">
        <f t="shared" ref="M38:M53" si="79">G38-K38</f>
        <v>-2439.6868439999998</v>
      </c>
      <c r="N38" s="1033">
        <f>E38/(1+$B$4)^(B38-1)</f>
        <v>0</v>
      </c>
      <c r="O38" s="213">
        <f>F38/(1+$B$4)^(B38-1)</f>
        <v>330</v>
      </c>
      <c r="P38" s="213">
        <f>K38/(1+$B$4)^(B38-1)</f>
        <v>2769.6868439999998</v>
      </c>
      <c r="Q38" s="213">
        <f>L38/(1+$B$4)^(B38-1)</f>
        <v>-2769.6868439999998</v>
      </c>
      <c r="R38" s="929">
        <f>M38/(1+$B$4)^(B38-1)</f>
        <v>-2439.6868439999998</v>
      </c>
      <c r="S38" s="196">
        <f>N38</f>
        <v>0</v>
      </c>
      <c r="T38" s="197">
        <f>O38</f>
        <v>330</v>
      </c>
      <c r="U38" s="197">
        <f>P38</f>
        <v>2769.6868439999998</v>
      </c>
      <c r="V38" s="197">
        <f>Q38</f>
        <v>-2769.6868439999998</v>
      </c>
      <c r="W38" s="199">
        <f>R38</f>
        <v>-2439.6868439999998</v>
      </c>
      <c r="Z38" s="204">
        <v>1</v>
      </c>
      <c r="AA38" s="197">
        <f>'Energy NPV'!$D91*$AB$34</f>
        <v>0</v>
      </c>
      <c r="AB38" s="197">
        <f>'Energy margins'!$Z$12</f>
        <v>43.75</v>
      </c>
      <c r="AC38" s="197">
        <f>AA38*AB38</f>
        <v>0</v>
      </c>
      <c r="AD38" s="197">
        <f>'Margins summary'!$W$14</f>
        <v>330</v>
      </c>
      <c r="AE38" s="197">
        <f>AC38+AD38</f>
        <v>330</v>
      </c>
      <c r="AF38" s="197">
        <f>'Margins summary'!$V$20</f>
        <v>2769.6868439999998</v>
      </c>
      <c r="AG38" s="918">
        <f>'Energy NPV'!U91</f>
        <v>0</v>
      </c>
      <c r="AH38" s="197"/>
      <c r="AI38" s="197">
        <f>AF38+AG38+AH38</f>
        <v>2769.6868439999998</v>
      </c>
      <c r="AJ38" s="197">
        <f t="shared" ref="AJ38:AJ53" si="80">AC38-AI38</f>
        <v>-2769.6868439999998</v>
      </c>
      <c r="AK38" s="197">
        <f t="shared" ref="AK38:AK53" si="81">AE38-AI38</f>
        <v>-2439.6868439999998</v>
      </c>
      <c r="AL38" s="1033">
        <f>AC38/(1+$B$4)^(Z38-1)</f>
        <v>0</v>
      </c>
      <c r="AM38" s="213">
        <f>AD38/(1+$B$4)^(Z38-1)</f>
        <v>330</v>
      </c>
      <c r="AN38" s="213">
        <f>AI38/(1+$B$4)^(Z38-1)</f>
        <v>2769.6868439999998</v>
      </c>
      <c r="AO38" s="213">
        <f>AJ38/(1+$B$4)^(Z38-1)</f>
        <v>-2769.6868439999998</v>
      </c>
      <c r="AP38" s="929">
        <f>AK38/(1+$B$4)^(Z38-1)</f>
        <v>-2439.6868439999998</v>
      </c>
      <c r="AQ38" s="196">
        <f>AL38</f>
        <v>0</v>
      </c>
      <c r="AR38" s="197">
        <f>AM38</f>
        <v>330</v>
      </c>
      <c r="AS38" s="197">
        <f>AN38</f>
        <v>2769.6868439999998</v>
      </c>
      <c r="AT38" s="197">
        <f>AO38</f>
        <v>-2769.6868439999998</v>
      </c>
      <c r="AU38" s="199">
        <f>AP38</f>
        <v>-2439.6868439999998</v>
      </c>
      <c r="AX38" s="204">
        <v>1</v>
      </c>
      <c r="AY38" s="197">
        <f>'Energy NPV'!$D91*$AZ$34</f>
        <v>0</v>
      </c>
      <c r="AZ38" s="197">
        <f>'Energy margins'!$Z$12</f>
        <v>43.75</v>
      </c>
      <c r="BA38" s="197">
        <f>AY38*AZ38</f>
        <v>0</v>
      </c>
      <c r="BB38" s="197">
        <f>'Margins summary'!$W$14</f>
        <v>330</v>
      </c>
      <c r="BC38" s="197">
        <f>BA38+BB38</f>
        <v>330</v>
      </c>
      <c r="BD38" s="197">
        <f>'Margins summary'!$V$20</f>
        <v>2769.6868439999998</v>
      </c>
      <c r="BE38" s="918">
        <f>'Energy NPV'!U91</f>
        <v>0</v>
      </c>
      <c r="BF38" s="197"/>
      <c r="BG38" s="197">
        <f>BD38+BE38+BF38</f>
        <v>2769.6868439999998</v>
      </c>
      <c r="BH38" s="197">
        <f t="shared" ref="BH38:BH53" si="82">BA38-BG38</f>
        <v>-2769.6868439999998</v>
      </c>
      <c r="BI38" s="197">
        <f t="shared" ref="BI38:BI53" si="83">BC38-BG38</f>
        <v>-2439.6868439999998</v>
      </c>
      <c r="BJ38" s="1033">
        <f>BA38/(1+$B$4)^(AX38-1)</f>
        <v>0</v>
      </c>
      <c r="BK38" s="213">
        <f>BB38/(1+$B$4)^(AX38-1)</f>
        <v>330</v>
      </c>
      <c r="BL38" s="213">
        <f>BG38/(1+$B$4)^(AX38-1)</f>
        <v>2769.6868439999998</v>
      </c>
      <c r="BM38" s="213">
        <f>BH38/(1+$B$4)^(AX38-1)</f>
        <v>-2769.6868439999998</v>
      </c>
      <c r="BN38" s="929">
        <f>BI38/(1+$B$4)^(AX38-1)</f>
        <v>-2439.6868439999998</v>
      </c>
      <c r="BO38" s="196">
        <f>BJ38</f>
        <v>0</v>
      </c>
      <c r="BP38" s="197">
        <f>BK38</f>
        <v>330</v>
      </c>
      <c r="BQ38" s="197">
        <f>BL38</f>
        <v>2769.6868439999998</v>
      </c>
      <c r="BR38" s="197">
        <f>BM38</f>
        <v>-2769.6868439999998</v>
      </c>
      <c r="BS38" s="199">
        <f>BN38</f>
        <v>-2439.6868439999998</v>
      </c>
      <c r="BV38" s="204">
        <v>1</v>
      </c>
      <c r="BW38" s="197">
        <f>'Energy NPV'!$D91*$BX$34</f>
        <v>0</v>
      </c>
      <c r="BX38" s="197">
        <f>'Energy margins'!$Z$12</f>
        <v>43.75</v>
      </c>
      <c r="BY38" s="197">
        <f t="shared" ref="BY38:BY53" si="84">BW38*BX38</f>
        <v>0</v>
      </c>
      <c r="BZ38" s="197">
        <f>'Margins summary'!$W$14</f>
        <v>330</v>
      </c>
      <c r="CA38" s="197">
        <f t="shared" ref="CA38:CA53" si="85">BY38+BZ38</f>
        <v>330</v>
      </c>
      <c r="CB38" s="197">
        <f>'Margins summary'!$V$20</f>
        <v>2769.6868439999998</v>
      </c>
      <c r="CC38" s="918">
        <f>'Energy NPV'!U91</f>
        <v>0</v>
      </c>
      <c r="CD38" s="197"/>
      <c r="CE38" s="197">
        <f t="shared" ref="CE38:CE53" si="86">CB38+CC38+CD38</f>
        <v>2769.6868439999998</v>
      </c>
      <c r="CF38" s="197">
        <f t="shared" ref="CF38:CF53" si="87">BY38-CE38</f>
        <v>-2769.6868439999998</v>
      </c>
      <c r="CG38" s="197">
        <f t="shared" ref="CG38:CG53" si="88">CA38-CE38</f>
        <v>-2439.6868439999998</v>
      </c>
      <c r="CH38" s="1033">
        <f>BY38/(1+$B$4)^(BV38-1)</f>
        <v>0</v>
      </c>
      <c r="CI38" s="213">
        <f>BZ38/(1+$B$4)^(BV38-1)</f>
        <v>330</v>
      </c>
      <c r="CJ38" s="213">
        <f>CE38/(1+$B$4)^(BV38-1)</f>
        <v>2769.6868439999998</v>
      </c>
      <c r="CK38" s="213">
        <f>CF38/(1+$B$4)^(BV38-1)</f>
        <v>-2769.6868439999998</v>
      </c>
      <c r="CL38" s="929">
        <f>CG38/(1+$B$4)^(BV38-1)</f>
        <v>-2439.6868439999998</v>
      </c>
      <c r="CM38" s="196">
        <f>CH38</f>
        <v>0</v>
      </c>
      <c r="CN38" s="197">
        <f>CI38</f>
        <v>330</v>
      </c>
      <c r="CO38" s="197">
        <f>CJ38</f>
        <v>2769.6868439999998</v>
      </c>
      <c r="CP38" s="197">
        <f>CK38</f>
        <v>-2769.6868439999998</v>
      </c>
      <c r="CQ38" s="199">
        <f>CL38</f>
        <v>-2439.6868439999998</v>
      </c>
      <c r="CT38" s="204">
        <v>1</v>
      </c>
      <c r="CU38" s="197">
        <f>'Energy NPV'!$D91*$CV$34</f>
        <v>0</v>
      </c>
      <c r="CV38" s="197">
        <f>'Energy margins'!$Z$12</f>
        <v>43.75</v>
      </c>
      <c r="CW38" s="197">
        <f>CU38*CV38</f>
        <v>0</v>
      </c>
      <c r="CX38" s="197">
        <f>'Margins summary'!$W$14</f>
        <v>330</v>
      </c>
      <c r="CY38" s="197">
        <f>CW38+CX38</f>
        <v>330</v>
      </c>
      <c r="CZ38" s="197">
        <f>'Margins summary'!$V$20</f>
        <v>2769.6868439999998</v>
      </c>
      <c r="DA38" s="918">
        <f>'Energy NPV'!U91</f>
        <v>0</v>
      </c>
      <c r="DB38" s="197"/>
      <c r="DC38" s="197">
        <f>CZ38+DA38+DB38</f>
        <v>2769.6868439999998</v>
      </c>
      <c r="DD38" s="197">
        <f t="shared" ref="DD38:DD53" si="89">CW38-DC38</f>
        <v>-2769.6868439999998</v>
      </c>
      <c r="DE38" s="197">
        <f t="shared" ref="DE38:DE53" si="90">CY38-DC38</f>
        <v>-2439.6868439999998</v>
      </c>
      <c r="DF38" s="1033">
        <f>CW38/(1+$B$4)^(CT38-1)</f>
        <v>0</v>
      </c>
      <c r="DG38" s="213">
        <f>CX38/(1+$B$4)^(CT38-1)</f>
        <v>330</v>
      </c>
      <c r="DH38" s="213">
        <f>DC38/(1+$B$4)^(CT38-1)</f>
        <v>2769.6868439999998</v>
      </c>
      <c r="DI38" s="213">
        <f>DD38/(1+$B$4)^(CT38-1)</f>
        <v>-2769.6868439999998</v>
      </c>
      <c r="DJ38" s="929">
        <f>DE38/(1+$B$4)^(CT38-1)</f>
        <v>-2439.6868439999998</v>
      </c>
      <c r="DK38" s="196">
        <f>DF38</f>
        <v>0</v>
      </c>
      <c r="DL38" s="197">
        <f>DG38</f>
        <v>330</v>
      </c>
      <c r="DM38" s="197">
        <f>DH38</f>
        <v>2769.6868439999998</v>
      </c>
      <c r="DN38" s="197">
        <f>DI38</f>
        <v>-2769.6868439999998</v>
      </c>
      <c r="DO38" s="199">
        <f>DJ38</f>
        <v>-2439.6868439999998</v>
      </c>
    </row>
    <row r="39" spans="2:119" x14ac:dyDescent="0.3">
      <c r="B39" s="204">
        <v>2</v>
      </c>
      <c r="C39" s="225">
        <f>'Energy NPV'!$D92*$E$34</f>
        <v>9.1411042944785272</v>
      </c>
      <c r="D39" s="197">
        <f>'Energy margins'!$Z$12</f>
        <v>43.75</v>
      </c>
      <c r="E39" s="197">
        <f>C39*D39</f>
        <v>399.92331288343559</v>
      </c>
      <c r="F39" s="197">
        <f>'Margins summary'!$W$14</f>
        <v>330</v>
      </c>
      <c r="G39" s="197">
        <f t="shared" ref="G39:G53" si="91">E39+F39</f>
        <v>729.92331288343553</v>
      </c>
      <c r="H39" s="197"/>
      <c r="I39" s="918">
        <f>'Energy NPV'!U92</f>
        <v>600.46934399999986</v>
      </c>
      <c r="J39" s="197"/>
      <c r="K39" s="197">
        <f t="shared" ref="K39:K53" si="92">H39+I39+J39</f>
        <v>600.46934399999986</v>
      </c>
      <c r="L39" s="197">
        <f t="shared" si="78"/>
        <v>-200.54603111656428</v>
      </c>
      <c r="M39" s="197">
        <f t="shared" si="79"/>
        <v>129.45396888343566</v>
      </c>
      <c r="N39" s="196">
        <f t="shared" ref="N39:N52" si="93">E39/(1+$B$4)^(B39-1)</f>
        <v>388.27506105187922</v>
      </c>
      <c r="O39" s="197">
        <f t="shared" ref="O39:O52" si="94">F39/(1+$B$4)^(B39-1)</f>
        <v>320.38834951456312</v>
      </c>
      <c r="P39" s="197">
        <f t="shared" ref="P39:P52" si="95">K39/(1+$B$4)^(B39-1)</f>
        <v>582.97994563106784</v>
      </c>
      <c r="Q39" s="197">
        <f t="shared" ref="Q39:Q52" si="96">L39/(1+$B$4)^(B39-1)</f>
        <v>-194.70488457918862</v>
      </c>
      <c r="R39" s="199">
        <f t="shared" ref="R39:R52" si="97">M39/(1+$B$4)^(B39-1)</f>
        <v>125.68346493537443</v>
      </c>
      <c r="S39" s="196">
        <f>S38+N39</f>
        <v>388.27506105187922</v>
      </c>
      <c r="T39" s="197">
        <f t="shared" ref="T39:W53" si="98">T38+O39</f>
        <v>650.38834951456306</v>
      </c>
      <c r="U39" s="197">
        <f t="shared" si="98"/>
        <v>3352.6667896310678</v>
      </c>
      <c r="V39" s="197">
        <f t="shared" si="98"/>
        <v>-2964.3917285791886</v>
      </c>
      <c r="W39" s="199">
        <f t="shared" si="98"/>
        <v>-2314.0033790646253</v>
      </c>
      <c r="Z39" s="204">
        <v>2</v>
      </c>
      <c r="AA39" s="197">
        <f>'Energy NPV'!$D92*$AB$34</f>
        <v>13.711656441717791</v>
      </c>
      <c r="AB39" s="197">
        <f>'Energy margins'!$Z$12</f>
        <v>43.75</v>
      </c>
      <c r="AC39" s="197">
        <f>AA39*AB39</f>
        <v>599.88496932515341</v>
      </c>
      <c r="AD39" s="197">
        <f>'Margins summary'!$W$14</f>
        <v>330</v>
      </c>
      <c r="AE39" s="197">
        <f t="shared" ref="AE39:AE53" si="99">AC39+AD39</f>
        <v>929.88496932515341</v>
      </c>
      <c r="AF39" s="197"/>
      <c r="AG39" s="918">
        <f>'Energy NPV'!U92</f>
        <v>600.46934399999986</v>
      </c>
      <c r="AH39" s="197"/>
      <c r="AI39" s="197">
        <f t="shared" ref="AI39:AI53" si="100">AF39+AG39+AH39</f>
        <v>600.46934399999986</v>
      </c>
      <c r="AJ39" s="197">
        <f t="shared" si="80"/>
        <v>-0.58437467484645822</v>
      </c>
      <c r="AK39" s="197">
        <f t="shared" si="81"/>
        <v>329.41562532515354</v>
      </c>
      <c r="AL39" s="196">
        <f t="shared" ref="AL39:AL52" si="101">AC39/(1+$B$4)^(Z39-1)</f>
        <v>582.41259157781883</v>
      </c>
      <c r="AM39" s="197">
        <f t="shared" ref="AM39:AM52" si="102">AD39/(1+$B$4)^(Z39-1)</f>
        <v>320.38834951456312</v>
      </c>
      <c r="AN39" s="197">
        <f t="shared" ref="AN39:AN52" si="103">AI39/(1+$B$4)^(Z39-1)</f>
        <v>582.97994563106784</v>
      </c>
      <c r="AO39" s="197">
        <f t="shared" ref="AO39:AO52" si="104">AJ39/(1+$B$4)^(Z39-1)</f>
        <v>-0.56735405324898858</v>
      </c>
      <c r="AP39" s="199">
        <f t="shared" ref="AP39:AP52" si="105">AK39/(1+$B$4)^(Z39-1)</f>
        <v>319.82099546131411</v>
      </c>
      <c r="AQ39" s="196">
        <f>AQ38+AL39</f>
        <v>582.41259157781883</v>
      </c>
      <c r="AR39" s="197">
        <f t="shared" ref="AR39:AU53" si="106">AR38+AM39</f>
        <v>650.38834951456306</v>
      </c>
      <c r="AS39" s="197">
        <f t="shared" si="106"/>
        <v>3352.6667896310678</v>
      </c>
      <c r="AT39" s="197">
        <f t="shared" si="106"/>
        <v>-2770.2541980532487</v>
      </c>
      <c r="AU39" s="199">
        <f t="shared" si="106"/>
        <v>-2119.8658485386859</v>
      </c>
      <c r="AX39" s="204">
        <v>2</v>
      </c>
      <c r="AY39" s="197">
        <f>'Energy NPV'!$D92*$AZ$34</f>
        <v>4.5705521472392636</v>
      </c>
      <c r="AZ39" s="197">
        <f>'Energy margins'!$Z$12</f>
        <v>43.75</v>
      </c>
      <c r="BA39" s="197">
        <f>AY39*AZ39</f>
        <v>199.96165644171779</v>
      </c>
      <c r="BB39" s="197">
        <f>'Margins summary'!$W$14</f>
        <v>330</v>
      </c>
      <c r="BC39" s="197">
        <f t="shared" ref="BC39:BC53" si="107">BA39+BB39</f>
        <v>529.96165644171776</v>
      </c>
      <c r="BD39" s="197"/>
      <c r="BE39" s="918">
        <f>'Energy NPV'!U92</f>
        <v>600.46934399999986</v>
      </c>
      <c r="BF39" s="197"/>
      <c r="BG39" s="197">
        <f t="shared" ref="BG39:BG53" si="108">BD39+BE39+BF39</f>
        <v>600.46934399999986</v>
      </c>
      <c r="BH39" s="197">
        <f t="shared" si="82"/>
        <v>-400.5076875582821</v>
      </c>
      <c r="BI39" s="197">
        <f t="shared" si="83"/>
        <v>-70.5076875582821</v>
      </c>
      <c r="BJ39" s="196">
        <f t="shared" ref="BJ39:BJ52" si="109">BA39/(1+$B$4)^(AX39-1)</f>
        <v>194.13753052593961</v>
      </c>
      <c r="BK39" s="197">
        <f t="shared" ref="BK39:BK52" si="110">BB39/(1+$B$4)^(AX39-1)</f>
        <v>320.38834951456312</v>
      </c>
      <c r="BL39" s="197">
        <f t="shared" ref="BL39:BL52" si="111">BG39/(1+$B$4)^(AX39-1)</f>
        <v>582.97994563106784</v>
      </c>
      <c r="BM39" s="197">
        <f t="shared" ref="BM39:BM52" si="112">BH39/(1+$B$4)^(AX39-1)</f>
        <v>-388.84241510512823</v>
      </c>
      <c r="BN39" s="199">
        <f t="shared" ref="BN39:BN52" si="113">BI39/(1+$B$4)^(AX39-1)</f>
        <v>-68.454065590565151</v>
      </c>
      <c r="BO39" s="196">
        <f>BO38+BJ39</f>
        <v>194.13753052593961</v>
      </c>
      <c r="BP39" s="197">
        <f t="shared" ref="BP39:BP53" si="114">BP38+BK39</f>
        <v>650.38834951456306</v>
      </c>
      <c r="BQ39" s="197">
        <f t="shared" ref="BQ39:BQ53" si="115">BQ38+BL39</f>
        <v>3352.6667896310678</v>
      </c>
      <c r="BR39" s="197">
        <f t="shared" ref="BR39:BR53" si="116">BR38+BM39</f>
        <v>-3158.5292591051279</v>
      </c>
      <c r="BS39" s="199">
        <f t="shared" ref="BS39:BS53" si="117">BS38+BN39</f>
        <v>-2508.1409095905651</v>
      </c>
      <c r="BV39" s="204">
        <v>2</v>
      </c>
      <c r="BW39" s="197">
        <f>'Energy NPV'!$D92*$BX$34</f>
        <v>18.282208588957054</v>
      </c>
      <c r="BX39" s="197">
        <f>'Energy margins'!$Z$12</f>
        <v>43.75</v>
      </c>
      <c r="BY39" s="197">
        <f t="shared" si="84"/>
        <v>799.84662576687117</v>
      </c>
      <c r="BZ39" s="197">
        <f>'Margins summary'!$W$14</f>
        <v>330</v>
      </c>
      <c r="CA39" s="197">
        <f t="shared" si="85"/>
        <v>1129.8466257668711</v>
      </c>
      <c r="CB39" s="197"/>
      <c r="CC39" s="918">
        <f>'Energy NPV'!U92</f>
        <v>600.46934399999986</v>
      </c>
      <c r="CD39" s="197"/>
      <c r="CE39" s="197">
        <f t="shared" si="86"/>
        <v>600.46934399999986</v>
      </c>
      <c r="CF39" s="197">
        <f t="shared" si="87"/>
        <v>199.37728176687131</v>
      </c>
      <c r="CG39" s="197">
        <f t="shared" si="88"/>
        <v>529.37728176687119</v>
      </c>
      <c r="CH39" s="196">
        <f t="shared" ref="CH39:CH52" si="118">BY39/(1+$B$4)^(BV39-1)</f>
        <v>776.55012210375844</v>
      </c>
      <c r="CI39" s="197">
        <f t="shared" ref="CI39:CI52" si="119">BZ39/(1+$B$4)^(BV39-1)</f>
        <v>320.38834951456312</v>
      </c>
      <c r="CJ39" s="197">
        <f t="shared" ref="CJ39:CJ52" si="120">CE39/(1+$B$4)^(BV39-1)</f>
        <v>582.97994563106784</v>
      </c>
      <c r="CK39" s="197">
        <f t="shared" ref="CK39:CK52" si="121">CF39/(1+$B$4)^(BV39-1)</f>
        <v>193.57017647269058</v>
      </c>
      <c r="CL39" s="199">
        <f t="shared" ref="CL39:CL52" si="122">CG39/(1+$B$4)^(BV39-1)</f>
        <v>513.95852598725355</v>
      </c>
      <c r="CM39" s="196">
        <f t="shared" ref="CM39:CM53" si="123">CM38+CH39</f>
        <v>776.55012210375844</v>
      </c>
      <c r="CN39" s="197">
        <f t="shared" ref="CN39:CN53" si="124">CN38+CI39</f>
        <v>650.38834951456306</v>
      </c>
      <c r="CO39" s="197">
        <f t="shared" ref="CO39:CO53" si="125">CO38+CJ39</f>
        <v>3352.6667896310678</v>
      </c>
      <c r="CP39" s="197">
        <f t="shared" ref="CP39:CP53" si="126">CP38+CK39</f>
        <v>-2576.1166675273093</v>
      </c>
      <c r="CQ39" s="199">
        <f t="shared" ref="CQ39:CQ53" si="127">CQ38+CL39</f>
        <v>-1925.7283180127463</v>
      </c>
      <c r="CT39" s="204">
        <v>2</v>
      </c>
      <c r="CU39" s="197">
        <f>'Energy NPV'!$D92*$CV$34</f>
        <v>0</v>
      </c>
      <c r="CV39" s="197">
        <f>'Energy margins'!$Z$12</f>
        <v>43.75</v>
      </c>
      <c r="CW39" s="197">
        <f>CU39*CV39</f>
        <v>0</v>
      </c>
      <c r="CX39" s="197">
        <f>'Margins summary'!$W$14</f>
        <v>330</v>
      </c>
      <c r="CY39" s="197">
        <f t="shared" ref="CY39:CY53" si="128">CW39+CX39</f>
        <v>330</v>
      </c>
      <c r="CZ39" s="197"/>
      <c r="DA39" s="918">
        <f>'Energy NPV'!U92</f>
        <v>600.46934399999986</v>
      </c>
      <c r="DB39" s="197"/>
      <c r="DC39" s="197">
        <f t="shared" ref="DC39:DC53" si="129">CZ39+DA39+DB39</f>
        <v>600.46934399999986</v>
      </c>
      <c r="DD39" s="197">
        <f t="shared" si="89"/>
        <v>-600.46934399999986</v>
      </c>
      <c r="DE39" s="197">
        <f t="shared" si="90"/>
        <v>-270.46934399999986</v>
      </c>
      <c r="DF39" s="196">
        <f t="shared" ref="DF39:DF52" si="130">CW39/(1+$B$4)^(CT39-1)</f>
        <v>0</v>
      </c>
      <c r="DG39" s="197">
        <f t="shared" ref="DG39:DG52" si="131">CX39/(1+$B$4)^(CT39-1)</f>
        <v>320.38834951456312</v>
      </c>
      <c r="DH39" s="197">
        <f t="shared" ref="DH39:DH52" si="132">DC39/(1+$B$4)^(CT39-1)</f>
        <v>582.97994563106784</v>
      </c>
      <c r="DI39" s="197">
        <f t="shared" ref="DI39:DI52" si="133">DD39/(1+$B$4)^(CT39-1)</f>
        <v>-582.97994563106784</v>
      </c>
      <c r="DJ39" s="199">
        <f t="shared" ref="DJ39:DJ52" si="134">DE39/(1+$B$4)^(CT39-1)</f>
        <v>-262.59159611650472</v>
      </c>
      <c r="DK39" s="196">
        <f>DK38+DF39</f>
        <v>0</v>
      </c>
      <c r="DL39" s="197">
        <f t="shared" ref="DL39:DL53" si="135">DL38+DG39</f>
        <v>650.38834951456306</v>
      </c>
      <c r="DM39" s="197">
        <f t="shared" ref="DM39:DM53" si="136">DM38+DH39</f>
        <v>3352.6667896310678</v>
      </c>
      <c r="DN39" s="197">
        <f t="shared" ref="DN39:DN53" si="137">DN38+DI39</f>
        <v>-3352.6667896310678</v>
      </c>
      <c r="DO39" s="199">
        <f t="shared" ref="DO39:DO53" si="138">DO38+DJ39</f>
        <v>-2702.2784401165045</v>
      </c>
    </row>
    <row r="40" spans="2:119" x14ac:dyDescent="0.3">
      <c r="B40" s="204">
        <f t="shared" ref="B40:B53" si="139">B39+1</f>
        <v>3</v>
      </c>
      <c r="C40" s="225">
        <f>'Energy NPV'!$D93*$E$34</f>
        <v>13.52760736196319</v>
      </c>
      <c r="D40" s="197">
        <f>'Energy margins'!$Z$12</f>
        <v>43.75</v>
      </c>
      <c r="E40" s="197">
        <f t="shared" ref="E40:E53" si="140">C40*D40</f>
        <v>591.83282208588957</v>
      </c>
      <c r="F40" s="197">
        <f>'Margins summary'!$W$14</f>
        <v>330</v>
      </c>
      <c r="G40" s="197">
        <f t="shared" si="91"/>
        <v>921.83282208588957</v>
      </c>
      <c r="H40" s="197"/>
      <c r="I40" s="918">
        <f>'Energy NPV'!U93</f>
        <v>600.46934399999986</v>
      </c>
      <c r="J40" s="197"/>
      <c r="K40" s="197">
        <f t="shared" si="92"/>
        <v>600.46934399999986</v>
      </c>
      <c r="L40" s="197">
        <f t="shared" si="78"/>
        <v>-8.6365219141102898</v>
      </c>
      <c r="M40" s="197">
        <f t="shared" si="79"/>
        <v>321.36347808588971</v>
      </c>
      <c r="N40" s="196">
        <f t="shared" si="93"/>
        <v>557.85919698924465</v>
      </c>
      <c r="O40" s="197">
        <f t="shared" si="94"/>
        <v>311.05665001413894</v>
      </c>
      <c r="P40" s="197">
        <f t="shared" si="95"/>
        <v>565.99994721462895</v>
      </c>
      <c r="Q40" s="197">
        <f t="shared" si="96"/>
        <v>-8.140750225384382</v>
      </c>
      <c r="R40" s="199">
        <f t="shared" si="97"/>
        <v>302.91589978875459</v>
      </c>
      <c r="S40" s="196">
        <f t="shared" ref="S40:S53" si="141">S39+N40</f>
        <v>946.13425804112387</v>
      </c>
      <c r="T40" s="197">
        <f t="shared" si="98"/>
        <v>961.44499952870206</v>
      </c>
      <c r="U40" s="197">
        <f t="shared" si="98"/>
        <v>3918.6667368456965</v>
      </c>
      <c r="V40" s="197">
        <f t="shared" si="98"/>
        <v>-2972.5324788045727</v>
      </c>
      <c r="W40" s="199">
        <f t="shared" si="98"/>
        <v>-2011.0874792758707</v>
      </c>
      <c r="Z40" s="204">
        <f t="shared" ref="Z40:Z53" si="142">Z39+1</f>
        <v>3</v>
      </c>
      <c r="AA40" s="197">
        <f>'Energy NPV'!$D93*$AB$34</f>
        <v>20.291411042944784</v>
      </c>
      <c r="AB40" s="197">
        <f>'Energy margins'!$Z$12</f>
        <v>43.75</v>
      </c>
      <c r="AC40" s="197">
        <f t="shared" ref="AC40:AC53" si="143">AA40*AB40</f>
        <v>887.74923312883425</v>
      </c>
      <c r="AD40" s="197">
        <f>'Margins summary'!$W$14</f>
        <v>330</v>
      </c>
      <c r="AE40" s="197">
        <f t="shared" si="99"/>
        <v>1217.7492331288342</v>
      </c>
      <c r="AF40" s="197"/>
      <c r="AG40" s="918">
        <f>'Energy NPV'!U93</f>
        <v>600.46934399999986</v>
      </c>
      <c r="AH40" s="197"/>
      <c r="AI40" s="197">
        <f t="shared" si="100"/>
        <v>600.46934399999986</v>
      </c>
      <c r="AJ40" s="197">
        <f t="shared" si="80"/>
        <v>287.27988912883438</v>
      </c>
      <c r="AK40" s="197">
        <f t="shared" si="81"/>
        <v>617.27988912883438</v>
      </c>
      <c r="AL40" s="196">
        <f t="shared" si="101"/>
        <v>836.78879548386681</v>
      </c>
      <c r="AM40" s="197">
        <f t="shared" si="102"/>
        <v>311.05665001413894</v>
      </c>
      <c r="AN40" s="197">
        <f t="shared" si="103"/>
        <v>565.99994721462895</v>
      </c>
      <c r="AO40" s="197">
        <f t="shared" si="104"/>
        <v>270.7888482692378</v>
      </c>
      <c r="AP40" s="199">
        <f t="shared" si="105"/>
        <v>581.84549828337674</v>
      </c>
      <c r="AQ40" s="196">
        <f t="shared" ref="AQ40:AQ53" si="144">AQ39+AL40</f>
        <v>1419.2013870616856</v>
      </c>
      <c r="AR40" s="197">
        <f t="shared" si="106"/>
        <v>961.44499952870206</v>
      </c>
      <c r="AS40" s="197">
        <f t="shared" si="106"/>
        <v>3918.6667368456965</v>
      </c>
      <c r="AT40" s="197">
        <f t="shared" si="106"/>
        <v>-2499.4653497840109</v>
      </c>
      <c r="AU40" s="199">
        <f t="shared" si="106"/>
        <v>-1538.020350255309</v>
      </c>
      <c r="AX40" s="204">
        <f t="shared" ref="AX40:AX53" si="145">AX39+1</f>
        <v>3</v>
      </c>
      <c r="AY40" s="197">
        <f>'Energy NPV'!$D93*$AZ$34</f>
        <v>6.7638036809815949</v>
      </c>
      <c r="AZ40" s="197">
        <f>'Energy margins'!$Z$12</f>
        <v>43.75</v>
      </c>
      <c r="BA40" s="197">
        <f t="shared" ref="BA40:BA53" si="146">AY40*AZ40</f>
        <v>295.91641104294479</v>
      </c>
      <c r="BB40" s="197">
        <f>'Margins summary'!$W$14</f>
        <v>330</v>
      </c>
      <c r="BC40" s="197">
        <f t="shared" si="107"/>
        <v>625.91641104294479</v>
      </c>
      <c r="BD40" s="197"/>
      <c r="BE40" s="918">
        <f>'Energy NPV'!U93</f>
        <v>600.46934399999986</v>
      </c>
      <c r="BF40" s="197"/>
      <c r="BG40" s="197">
        <f t="shared" si="108"/>
        <v>600.46934399999986</v>
      </c>
      <c r="BH40" s="197">
        <f t="shared" si="82"/>
        <v>-304.55293295705508</v>
      </c>
      <c r="BI40" s="197">
        <f t="shared" si="83"/>
        <v>25.447067042944923</v>
      </c>
      <c r="BJ40" s="196">
        <f t="shared" si="109"/>
        <v>278.92959849462233</v>
      </c>
      <c r="BK40" s="197">
        <f t="shared" si="110"/>
        <v>311.05665001413894</v>
      </c>
      <c r="BL40" s="197">
        <f t="shared" si="111"/>
        <v>565.99994721462895</v>
      </c>
      <c r="BM40" s="197">
        <f t="shared" si="112"/>
        <v>-287.07034872000668</v>
      </c>
      <c r="BN40" s="199">
        <f t="shared" si="113"/>
        <v>23.986301294132268</v>
      </c>
      <c r="BO40" s="196">
        <f t="shared" ref="BO40:BO53" si="147">BO39+BJ40</f>
        <v>473.06712902056194</v>
      </c>
      <c r="BP40" s="197">
        <f t="shared" si="114"/>
        <v>961.44499952870206</v>
      </c>
      <c r="BQ40" s="197">
        <f t="shared" si="115"/>
        <v>3918.6667368456965</v>
      </c>
      <c r="BR40" s="197">
        <f t="shared" si="116"/>
        <v>-3445.5996078251346</v>
      </c>
      <c r="BS40" s="199">
        <f t="shared" si="117"/>
        <v>-2484.1546082964328</v>
      </c>
      <c r="BV40" s="204">
        <f t="shared" ref="BV40:BV53" si="148">BV39+1</f>
        <v>3</v>
      </c>
      <c r="BW40" s="197">
        <f>'Energy NPV'!$D93*$BX$34</f>
        <v>27.05521472392638</v>
      </c>
      <c r="BX40" s="197">
        <f>'Energy margins'!$Z$12</f>
        <v>43.75</v>
      </c>
      <c r="BY40" s="197">
        <f t="shared" si="84"/>
        <v>1183.6656441717791</v>
      </c>
      <c r="BZ40" s="197">
        <f>'Margins summary'!$W$14</f>
        <v>330</v>
      </c>
      <c r="CA40" s="197">
        <f t="shared" si="85"/>
        <v>1513.6656441717791</v>
      </c>
      <c r="CB40" s="197"/>
      <c r="CC40" s="918">
        <f>'Energy NPV'!U93</f>
        <v>600.46934399999986</v>
      </c>
      <c r="CD40" s="197"/>
      <c r="CE40" s="197">
        <f t="shared" si="86"/>
        <v>600.46934399999986</v>
      </c>
      <c r="CF40" s="197">
        <f t="shared" si="87"/>
        <v>583.19630017177928</v>
      </c>
      <c r="CG40" s="197">
        <f t="shared" si="88"/>
        <v>913.19630017177928</v>
      </c>
      <c r="CH40" s="196">
        <f t="shared" si="118"/>
        <v>1115.7183939784893</v>
      </c>
      <c r="CI40" s="197">
        <f t="shared" si="119"/>
        <v>311.05665001413894</v>
      </c>
      <c r="CJ40" s="197">
        <f t="shared" si="120"/>
        <v>565.99994721462895</v>
      </c>
      <c r="CK40" s="197">
        <f t="shared" si="121"/>
        <v>549.71844676386024</v>
      </c>
      <c r="CL40" s="199">
        <f t="shared" si="122"/>
        <v>860.77509677799912</v>
      </c>
      <c r="CM40" s="196">
        <f t="shared" si="123"/>
        <v>1892.2685160822477</v>
      </c>
      <c r="CN40" s="197">
        <f t="shared" si="124"/>
        <v>961.44499952870206</v>
      </c>
      <c r="CO40" s="197">
        <f t="shared" si="125"/>
        <v>3918.6667368456965</v>
      </c>
      <c r="CP40" s="197">
        <f t="shared" si="126"/>
        <v>-2026.398220763449</v>
      </c>
      <c r="CQ40" s="199">
        <f t="shared" si="127"/>
        <v>-1064.9532212347472</v>
      </c>
      <c r="CT40" s="204">
        <f t="shared" ref="CT40:CT53" si="149">CT39+1</f>
        <v>3</v>
      </c>
      <c r="CU40" s="197">
        <f>'Energy NPV'!$D93*$CV$34</f>
        <v>0</v>
      </c>
      <c r="CV40" s="197">
        <f>'Energy margins'!$Z$12</f>
        <v>43.75</v>
      </c>
      <c r="CW40" s="197">
        <f t="shared" ref="CW40:CW53" si="150">CU40*CV40</f>
        <v>0</v>
      </c>
      <c r="CX40" s="197">
        <f>'Margins summary'!$W$14</f>
        <v>330</v>
      </c>
      <c r="CY40" s="197">
        <f t="shared" si="128"/>
        <v>330</v>
      </c>
      <c r="CZ40" s="197"/>
      <c r="DA40" s="918">
        <f>'Energy NPV'!U93</f>
        <v>600.46934399999986</v>
      </c>
      <c r="DB40" s="197"/>
      <c r="DC40" s="197">
        <f t="shared" si="129"/>
        <v>600.46934399999986</v>
      </c>
      <c r="DD40" s="197">
        <f t="shared" si="89"/>
        <v>-600.46934399999986</v>
      </c>
      <c r="DE40" s="197">
        <f t="shared" si="90"/>
        <v>-270.46934399999986</v>
      </c>
      <c r="DF40" s="196">
        <f t="shared" si="130"/>
        <v>0</v>
      </c>
      <c r="DG40" s="197">
        <f t="shared" si="131"/>
        <v>311.05665001413894</v>
      </c>
      <c r="DH40" s="197">
        <f t="shared" si="132"/>
        <v>565.99994721462895</v>
      </c>
      <c r="DI40" s="197">
        <f t="shared" si="133"/>
        <v>-565.99994721462895</v>
      </c>
      <c r="DJ40" s="199">
        <f t="shared" si="134"/>
        <v>-254.94329720049004</v>
      </c>
      <c r="DK40" s="196">
        <f t="shared" ref="DK40:DK53" si="151">DK39+DF40</f>
        <v>0</v>
      </c>
      <c r="DL40" s="197">
        <f t="shared" si="135"/>
        <v>961.44499952870206</v>
      </c>
      <c r="DM40" s="197">
        <f t="shared" si="136"/>
        <v>3918.6667368456965</v>
      </c>
      <c r="DN40" s="197">
        <f t="shared" si="137"/>
        <v>-3918.6667368456965</v>
      </c>
      <c r="DO40" s="199">
        <f t="shared" si="138"/>
        <v>-2957.2217373169947</v>
      </c>
    </row>
    <row r="41" spans="2:119" x14ac:dyDescent="0.3">
      <c r="B41" s="204">
        <f t="shared" si="139"/>
        <v>4</v>
      </c>
      <c r="C41" s="225">
        <f>'Energy NPV'!$D94*$E$34</f>
        <v>14.478527607361965</v>
      </c>
      <c r="D41" s="197">
        <f>'Energy margins'!$Z$12</f>
        <v>43.75</v>
      </c>
      <c r="E41" s="197">
        <f t="shared" si="140"/>
        <v>633.43558282208596</v>
      </c>
      <c r="F41" s="197">
        <f>'Margins summary'!$W$14</f>
        <v>330</v>
      </c>
      <c r="G41" s="197">
        <f t="shared" si="91"/>
        <v>963.43558282208596</v>
      </c>
      <c r="H41" s="197"/>
      <c r="I41" s="918">
        <f>'Energy NPV'!U94</f>
        <v>418.53934399999991</v>
      </c>
      <c r="J41" s="197"/>
      <c r="K41" s="197">
        <f t="shared" si="92"/>
        <v>418.53934399999991</v>
      </c>
      <c r="L41" s="197">
        <f t="shared" si="78"/>
        <v>214.89623882208605</v>
      </c>
      <c r="M41" s="197">
        <f t="shared" si="79"/>
        <v>544.89623882208605</v>
      </c>
      <c r="N41" s="196">
        <f t="shared" si="93"/>
        <v>579.68329035713953</v>
      </c>
      <c r="O41" s="197">
        <f t="shared" si="94"/>
        <v>301.99674758654265</v>
      </c>
      <c r="P41" s="197">
        <f t="shared" si="95"/>
        <v>383.02278977274278</v>
      </c>
      <c r="Q41" s="197">
        <f t="shared" si="96"/>
        <v>196.66050058439669</v>
      </c>
      <c r="R41" s="199">
        <f t="shared" si="97"/>
        <v>498.65724817093934</v>
      </c>
      <c r="S41" s="196">
        <f t="shared" si="141"/>
        <v>1525.8175483982634</v>
      </c>
      <c r="T41" s="197">
        <f t="shared" si="98"/>
        <v>1263.4417471152447</v>
      </c>
      <c r="U41" s="197">
        <f t="shared" si="98"/>
        <v>4301.6895266184392</v>
      </c>
      <c r="V41" s="197">
        <f t="shared" si="98"/>
        <v>-2775.8719782201761</v>
      </c>
      <c r="W41" s="199">
        <f t="shared" si="98"/>
        <v>-1512.4302311049314</v>
      </c>
      <c r="Z41" s="204">
        <f t="shared" si="142"/>
        <v>4</v>
      </c>
      <c r="AA41" s="197">
        <f>'Energy NPV'!$D94*$AB$34</f>
        <v>21.717791411042946</v>
      </c>
      <c r="AB41" s="197">
        <f>'Energy margins'!$Z$12</f>
        <v>43.75</v>
      </c>
      <c r="AC41" s="197">
        <f t="shared" si="143"/>
        <v>950.15337423312883</v>
      </c>
      <c r="AD41" s="197">
        <f>'Margins summary'!$W$14</f>
        <v>330</v>
      </c>
      <c r="AE41" s="197">
        <f t="shared" si="99"/>
        <v>1280.1533742331289</v>
      </c>
      <c r="AF41" s="197"/>
      <c r="AG41" s="918">
        <f>'Energy NPV'!U94</f>
        <v>418.53934399999991</v>
      </c>
      <c r="AH41" s="197"/>
      <c r="AI41" s="197">
        <f t="shared" si="100"/>
        <v>418.53934399999991</v>
      </c>
      <c r="AJ41" s="197">
        <f t="shared" si="80"/>
        <v>531.61403023312891</v>
      </c>
      <c r="AK41" s="197">
        <f t="shared" si="81"/>
        <v>861.61403023312903</v>
      </c>
      <c r="AL41" s="196">
        <f t="shared" si="101"/>
        <v>869.52493553570912</v>
      </c>
      <c r="AM41" s="197">
        <f t="shared" si="102"/>
        <v>301.99674758654265</v>
      </c>
      <c r="AN41" s="197">
        <f t="shared" si="103"/>
        <v>383.02278977274278</v>
      </c>
      <c r="AO41" s="197">
        <f t="shared" si="104"/>
        <v>486.50214576296634</v>
      </c>
      <c r="AP41" s="199">
        <f t="shared" si="105"/>
        <v>788.4988933495091</v>
      </c>
      <c r="AQ41" s="196">
        <f t="shared" si="144"/>
        <v>2288.7263225973948</v>
      </c>
      <c r="AR41" s="197">
        <f t="shared" si="106"/>
        <v>1263.4417471152447</v>
      </c>
      <c r="AS41" s="197">
        <f t="shared" si="106"/>
        <v>4301.6895266184392</v>
      </c>
      <c r="AT41" s="197">
        <f t="shared" si="106"/>
        <v>-2012.9632040210445</v>
      </c>
      <c r="AU41" s="199">
        <f t="shared" si="106"/>
        <v>-749.52145690579994</v>
      </c>
      <c r="AX41" s="204">
        <f t="shared" si="145"/>
        <v>4</v>
      </c>
      <c r="AY41" s="197">
        <f>'Energy NPV'!$D94*$AZ$34</f>
        <v>7.2392638036809824</v>
      </c>
      <c r="AZ41" s="197">
        <f>'Energy margins'!$Z$12</f>
        <v>43.75</v>
      </c>
      <c r="BA41" s="197">
        <f t="shared" si="146"/>
        <v>316.71779141104298</v>
      </c>
      <c r="BB41" s="197">
        <f>'Margins summary'!$W$14</f>
        <v>330</v>
      </c>
      <c r="BC41" s="197">
        <f t="shared" si="107"/>
        <v>646.71779141104298</v>
      </c>
      <c r="BD41" s="197"/>
      <c r="BE41" s="918">
        <f>'Energy NPV'!U94</f>
        <v>418.53934399999991</v>
      </c>
      <c r="BF41" s="197"/>
      <c r="BG41" s="197">
        <f t="shared" si="108"/>
        <v>418.53934399999991</v>
      </c>
      <c r="BH41" s="197">
        <f t="shared" si="82"/>
        <v>-101.82155258895693</v>
      </c>
      <c r="BI41" s="197">
        <f t="shared" si="83"/>
        <v>228.17844741104307</v>
      </c>
      <c r="BJ41" s="196">
        <f t="shared" si="109"/>
        <v>289.84164517856976</v>
      </c>
      <c r="BK41" s="197">
        <f t="shared" si="110"/>
        <v>301.99674758654265</v>
      </c>
      <c r="BL41" s="197">
        <f t="shared" si="111"/>
        <v>383.02278977274278</v>
      </c>
      <c r="BM41" s="197">
        <f t="shared" si="112"/>
        <v>-93.181144594173048</v>
      </c>
      <c r="BN41" s="199">
        <f t="shared" si="113"/>
        <v>208.81560299236961</v>
      </c>
      <c r="BO41" s="196">
        <f t="shared" si="147"/>
        <v>762.9087741991317</v>
      </c>
      <c r="BP41" s="197">
        <f t="shared" si="114"/>
        <v>1263.4417471152447</v>
      </c>
      <c r="BQ41" s="197">
        <f t="shared" si="115"/>
        <v>4301.6895266184392</v>
      </c>
      <c r="BR41" s="197">
        <f t="shared" si="116"/>
        <v>-3538.7807524193076</v>
      </c>
      <c r="BS41" s="199">
        <f t="shared" si="117"/>
        <v>-2275.339005304063</v>
      </c>
      <c r="BV41" s="204">
        <f t="shared" si="148"/>
        <v>4</v>
      </c>
      <c r="BW41" s="197">
        <f>'Energy NPV'!$D94*$BX$34</f>
        <v>28.95705521472393</v>
      </c>
      <c r="BX41" s="197">
        <f>'Energy margins'!$Z$12</f>
        <v>43.75</v>
      </c>
      <c r="BY41" s="197">
        <f t="shared" si="84"/>
        <v>1266.8711656441719</v>
      </c>
      <c r="BZ41" s="197">
        <f>'Margins summary'!$W$14</f>
        <v>330</v>
      </c>
      <c r="CA41" s="197">
        <f t="shared" si="85"/>
        <v>1596.8711656441719</v>
      </c>
      <c r="CB41" s="197"/>
      <c r="CC41" s="918">
        <f>'Energy NPV'!U94</f>
        <v>418.53934399999991</v>
      </c>
      <c r="CD41" s="197"/>
      <c r="CE41" s="197">
        <f t="shared" si="86"/>
        <v>418.53934399999991</v>
      </c>
      <c r="CF41" s="197">
        <f t="shared" si="87"/>
        <v>848.33182164417201</v>
      </c>
      <c r="CG41" s="197">
        <f t="shared" si="88"/>
        <v>1178.3318216441721</v>
      </c>
      <c r="CH41" s="196">
        <f t="shared" si="118"/>
        <v>1159.3665807142791</v>
      </c>
      <c r="CI41" s="197">
        <f t="shared" si="119"/>
        <v>301.99674758654265</v>
      </c>
      <c r="CJ41" s="197">
        <f t="shared" si="120"/>
        <v>383.02278977274278</v>
      </c>
      <c r="CK41" s="197">
        <f t="shared" si="121"/>
        <v>776.34379094153621</v>
      </c>
      <c r="CL41" s="199">
        <f t="shared" si="122"/>
        <v>1078.3405385280789</v>
      </c>
      <c r="CM41" s="196">
        <f t="shared" si="123"/>
        <v>3051.6350967965268</v>
      </c>
      <c r="CN41" s="197">
        <f t="shared" si="124"/>
        <v>1263.4417471152447</v>
      </c>
      <c r="CO41" s="197">
        <f t="shared" si="125"/>
        <v>4301.6895266184392</v>
      </c>
      <c r="CP41" s="197">
        <f t="shared" si="126"/>
        <v>-1250.0544298219129</v>
      </c>
      <c r="CQ41" s="199">
        <f t="shared" si="127"/>
        <v>13.387317293331762</v>
      </c>
      <c r="CT41" s="204">
        <f t="shared" si="149"/>
        <v>4</v>
      </c>
      <c r="CU41" s="197">
        <f>'Energy NPV'!$D94*$CV$34</f>
        <v>0</v>
      </c>
      <c r="CV41" s="197">
        <f>'Energy margins'!$Z$12</f>
        <v>43.75</v>
      </c>
      <c r="CW41" s="197">
        <f t="shared" si="150"/>
        <v>0</v>
      </c>
      <c r="CX41" s="197">
        <f>'Margins summary'!$W$14</f>
        <v>330</v>
      </c>
      <c r="CY41" s="197">
        <f t="shared" si="128"/>
        <v>330</v>
      </c>
      <c r="CZ41" s="197"/>
      <c r="DA41" s="918">
        <f>'Energy NPV'!U94</f>
        <v>418.53934399999991</v>
      </c>
      <c r="DB41" s="197"/>
      <c r="DC41" s="197">
        <f t="shared" si="129"/>
        <v>418.53934399999991</v>
      </c>
      <c r="DD41" s="197">
        <f t="shared" si="89"/>
        <v>-418.53934399999991</v>
      </c>
      <c r="DE41" s="197">
        <f t="shared" si="90"/>
        <v>-88.539343999999915</v>
      </c>
      <c r="DF41" s="196">
        <f t="shared" si="130"/>
        <v>0</v>
      </c>
      <c r="DG41" s="197">
        <f t="shared" si="131"/>
        <v>301.99674758654265</v>
      </c>
      <c r="DH41" s="197">
        <f t="shared" si="132"/>
        <v>383.02278977274278</v>
      </c>
      <c r="DI41" s="197">
        <f t="shared" si="133"/>
        <v>-383.02278977274278</v>
      </c>
      <c r="DJ41" s="199">
        <f t="shared" si="134"/>
        <v>-81.026042186200129</v>
      </c>
      <c r="DK41" s="196">
        <f t="shared" si="151"/>
        <v>0</v>
      </c>
      <c r="DL41" s="197">
        <f t="shared" si="135"/>
        <v>1263.4417471152447</v>
      </c>
      <c r="DM41" s="197">
        <f t="shared" si="136"/>
        <v>4301.6895266184392</v>
      </c>
      <c r="DN41" s="197">
        <f t="shared" si="137"/>
        <v>-4301.6895266184392</v>
      </c>
      <c r="DO41" s="199">
        <f t="shared" si="138"/>
        <v>-3038.2477795031946</v>
      </c>
    </row>
    <row r="42" spans="2:119" x14ac:dyDescent="0.3">
      <c r="B42" s="204">
        <f t="shared" si="139"/>
        <v>5</v>
      </c>
      <c r="C42" s="225">
        <f>'Energy NPV'!$D95*$E$34</f>
        <v>15</v>
      </c>
      <c r="D42" s="197">
        <f>'Energy margins'!$Z$12</f>
        <v>43.75</v>
      </c>
      <c r="E42" s="197">
        <f t="shared" si="140"/>
        <v>656.25</v>
      </c>
      <c r="F42" s="197">
        <f>'Margins summary'!$W$14</f>
        <v>330</v>
      </c>
      <c r="G42" s="197">
        <f t="shared" si="91"/>
        <v>986.25</v>
      </c>
      <c r="H42" s="197"/>
      <c r="I42" s="918">
        <f>'Energy NPV'!U95</f>
        <v>418.53934399999991</v>
      </c>
      <c r="J42" s="197"/>
      <c r="K42" s="197">
        <f t="shared" si="92"/>
        <v>418.53934399999991</v>
      </c>
      <c r="L42" s="197">
        <f t="shared" si="78"/>
        <v>237.71065600000009</v>
      </c>
      <c r="M42" s="197">
        <f t="shared" si="79"/>
        <v>567.71065600000009</v>
      </c>
      <c r="N42" s="196">
        <f t="shared" si="93"/>
        <v>583.06962519467083</v>
      </c>
      <c r="O42" s="197">
        <f t="shared" si="94"/>
        <v>293.20072581217738</v>
      </c>
      <c r="P42" s="197">
        <f t="shared" si="95"/>
        <v>371.86678618712898</v>
      </c>
      <c r="Q42" s="197">
        <f t="shared" si="96"/>
        <v>211.20283900754194</v>
      </c>
      <c r="R42" s="199">
        <f t="shared" si="97"/>
        <v>504.40356481971929</v>
      </c>
      <c r="S42" s="196">
        <f t="shared" si="141"/>
        <v>2108.8871735929342</v>
      </c>
      <c r="T42" s="197">
        <f t="shared" si="98"/>
        <v>1556.642472927422</v>
      </c>
      <c r="U42" s="197">
        <f t="shared" si="98"/>
        <v>4673.5563128055683</v>
      </c>
      <c r="V42" s="197">
        <f t="shared" si="98"/>
        <v>-2564.669139212634</v>
      </c>
      <c r="W42" s="199">
        <f t="shared" si="98"/>
        <v>-1008.0266662852121</v>
      </c>
      <c r="Z42" s="204">
        <f t="shared" si="142"/>
        <v>5</v>
      </c>
      <c r="AA42" s="197">
        <f>'Energy NPV'!$D95*$AB$34</f>
        <v>22.5</v>
      </c>
      <c r="AB42" s="197">
        <f>'Energy margins'!$Z$12</f>
        <v>43.75</v>
      </c>
      <c r="AC42" s="197">
        <f t="shared" si="143"/>
        <v>984.375</v>
      </c>
      <c r="AD42" s="197">
        <f>'Margins summary'!$W$14</f>
        <v>330</v>
      </c>
      <c r="AE42" s="197">
        <f t="shared" si="99"/>
        <v>1314.375</v>
      </c>
      <c r="AF42" s="197"/>
      <c r="AG42" s="918">
        <f>'Energy NPV'!U95</f>
        <v>418.53934399999991</v>
      </c>
      <c r="AH42" s="197"/>
      <c r="AI42" s="197">
        <f t="shared" si="100"/>
        <v>418.53934399999991</v>
      </c>
      <c r="AJ42" s="197">
        <f t="shared" si="80"/>
        <v>565.83565600000009</v>
      </c>
      <c r="AK42" s="197">
        <f t="shared" si="81"/>
        <v>895.83565600000009</v>
      </c>
      <c r="AL42" s="196">
        <f t="shared" si="101"/>
        <v>874.60443779200637</v>
      </c>
      <c r="AM42" s="197">
        <f t="shared" si="102"/>
        <v>293.20072581217738</v>
      </c>
      <c r="AN42" s="197">
        <f t="shared" si="103"/>
        <v>371.86678618712898</v>
      </c>
      <c r="AO42" s="197">
        <f t="shared" si="104"/>
        <v>502.73765160487739</v>
      </c>
      <c r="AP42" s="199">
        <f t="shared" si="105"/>
        <v>795.93837741705477</v>
      </c>
      <c r="AQ42" s="196">
        <f t="shared" si="144"/>
        <v>3163.3307603894009</v>
      </c>
      <c r="AR42" s="197">
        <f t="shared" si="106"/>
        <v>1556.642472927422</v>
      </c>
      <c r="AS42" s="197">
        <f t="shared" si="106"/>
        <v>4673.5563128055683</v>
      </c>
      <c r="AT42" s="197">
        <f t="shared" si="106"/>
        <v>-1510.2255524161671</v>
      </c>
      <c r="AU42" s="199">
        <f t="shared" si="106"/>
        <v>46.41692051125483</v>
      </c>
      <c r="AX42" s="204">
        <f t="shared" si="145"/>
        <v>5</v>
      </c>
      <c r="AY42" s="197">
        <f>'Energy NPV'!$D95*$AZ$34</f>
        <v>7.5</v>
      </c>
      <c r="AZ42" s="197">
        <f>'Energy margins'!$Z$12</f>
        <v>43.75</v>
      </c>
      <c r="BA42" s="197">
        <f t="shared" si="146"/>
        <v>328.125</v>
      </c>
      <c r="BB42" s="197">
        <f>'Margins summary'!$W$14</f>
        <v>330</v>
      </c>
      <c r="BC42" s="197">
        <f t="shared" si="107"/>
        <v>658.125</v>
      </c>
      <c r="BD42" s="197"/>
      <c r="BE42" s="918">
        <f>'Energy NPV'!U95</f>
        <v>418.53934399999991</v>
      </c>
      <c r="BF42" s="197"/>
      <c r="BG42" s="197">
        <f t="shared" si="108"/>
        <v>418.53934399999991</v>
      </c>
      <c r="BH42" s="197">
        <f t="shared" si="82"/>
        <v>-90.414343999999915</v>
      </c>
      <c r="BI42" s="197">
        <f t="shared" si="83"/>
        <v>239.58565600000009</v>
      </c>
      <c r="BJ42" s="196">
        <f t="shared" si="109"/>
        <v>291.53481259733542</v>
      </c>
      <c r="BK42" s="197">
        <f t="shared" si="110"/>
        <v>293.20072581217738</v>
      </c>
      <c r="BL42" s="197">
        <f t="shared" si="111"/>
        <v>371.86678618712898</v>
      </c>
      <c r="BM42" s="197">
        <f t="shared" si="112"/>
        <v>-80.331973589793506</v>
      </c>
      <c r="BN42" s="199">
        <f t="shared" si="113"/>
        <v>212.86875222238385</v>
      </c>
      <c r="BO42" s="196">
        <f t="shared" si="147"/>
        <v>1054.4435867964671</v>
      </c>
      <c r="BP42" s="197">
        <f t="shared" si="114"/>
        <v>1556.642472927422</v>
      </c>
      <c r="BQ42" s="197">
        <f t="shared" si="115"/>
        <v>4673.5563128055683</v>
      </c>
      <c r="BR42" s="197">
        <f t="shared" si="116"/>
        <v>-3619.1127260091012</v>
      </c>
      <c r="BS42" s="199">
        <f t="shared" si="117"/>
        <v>-2062.4702530816789</v>
      </c>
      <c r="BV42" s="204">
        <f t="shared" si="148"/>
        <v>5</v>
      </c>
      <c r="BW42" s="197">
        <f>'Energy NPV'!$D95*$BX$34</f>
        <v>30</v>
      </c>
      <c r="BX42" s="197">
        <f>'Energy margins'!$Z$12</f>
        <v>43.75</v>
      </c>
      <c r="BY42" s="197">
        <f t="shared" si="84"/>
        <v>1312.5</v>
      </c>
      <c r="BZ42" s="197">
        <f>'Margins summary'!$W$14</f>
        <v>330</v>
      </c>
      <c r="CA42" s="197">
        <f t="shared" si="85"/>
        <v>1642.5</v>
      </c>
      <c r="CB42" s="197"/>
      <c r="CC42" s="918">
        <f>'Energy NPV'!U95</f>
        <v>418.53934399999991</v>
      </c>
      <c r="CD42" s="197"/>
      <c r="CE42" s="197">
        <f t="shared" si="86"/>
        <v>418.53934399999991</v>
      </c>
      <c r="CF42" s="197">
        <f t="shared" si="87"/>
        <v>893.96065600000009</v>
      </c>
      <c r="CG42" s="197">
        <f t="shared" si="88"/>
        <v>1223.9606560000002</v>
      </c>
      <c r="CH42" s="196">
        <f t="shared" si="118"/>
        <v>1166.1392503893417</v>
      </c>
      <c r="CI42" s="197">
        <f t="shared" si="119"/>
        <v>293.20072581217738</v>
      </c>
      <c r="CJ42" s="197">
        <f t="shared" si="120"/>
        <v>371.86678618712898</v>
      </c>
      <c r="CK42" s="197">
        <f t="shared" si="121"/>
        <v>794.27246420221286</v>
      </c>
      <c r="CL42" s="199">
        <f t="shared" si="122"/>
        <v>1087.4731900143902</v>
      </c>
      <c r="CM42" s="196">
        <f t="shared" si="123"/>
        <v>4217.7743471858685</v>
      </c>
      <c r="CN42" s="197">
        <f t="shared" si="124"/>
        <v>1556.642472927422</v>
      </c>
      <c r="CO42" s="197">
        <f t="shared" si="125"/>
        <v>4673.5563128055683</v>
      </c>
      <c r="CP42" s="197">
        <f t="shared" si="126"/>
        <v>-455.78196561970003</v>
      </c>
      <c r="CQ42" s="199">
        <f t="shared" si="127"/>
        <v>1100.8605073077219</v>
      </c>
      <c r="CT42" s="204">
        <f t="shared" si="149"/>
        <v>5</v>
      </c>
      <c r="CU42" s="197">
        <f>'Energy NPV'!$D95*$CV$34</f>
        <v>0</v>
      </c>
      <c r="CV42" s="197">
        <f>'Energy margins'!$Z$12</f>
        <v>43.75</v>
      </c>
      <c r="CW42" s="197">
        <f t="shared" si="150"/>
        <v>0</v>
      </c>
      <c r="CX42" s="197">
        <f>'Margins summary'!$W$14</f>
        <v>330</v>
      </c>
      <c r="CY42" s="197">
        <f t="shared" si="128"/>
        <v>330</v>
      </c>
      <c r="CZ42" s="197"/>
      <c r="DA42" s="918">
        <f>'Energy NPV'!U95</f>
        <v>418.53934399999991</v>
      </c>
      <c r="DB42" s="197"/>
      <c r="DC42" s="197">
        <f t="shared" si="129"/>
        <v>418.53934399999991</v>
      </c>
      <c r="DD42" s="197">
        <f t="shared" si="89"/>
        <v>-418.53934399999991</v>
      </c>
      <c r="DE42" s="197">
        <f t="shared" si="90"/>
        <v>-88.539343999999915</v>
      </c>
      <c r="DF42" s="196">
        <f t="shared" si="130"/>
        <v>0</v>
      </c>
      <c r="DG42" s="197">
        <f t="shared" si="131"/>
        <v>293.20072581217738</v>
      </c>
      <c r="DH42" s="197">
        <f t="shared" si="132"/>
        <v>371.86678618712898</v>
      </c>
      <c r="DI42" s="197">
        <f t="shared" si="133"/>
        <v>-371.86678618712898</v>
      </c>
      <c r="DJ42" s="199">
        <f t="shared" si="134"/>
        <v>-78.666060374951599</v>
      </c>
      <c r="DK42" s="196">
        <f t="shared" si="151"/>
        <v>0</v>
      </c>
      <c r="DL42" s="197">
        <f t="shared" si="135"/>
        <v>1556.642472927422</v>
      </c>
      <c r="DM42" s="197">
        <f t="shared" si="136"/>
        <v>4673.5563128055683</v>
      </c>
      <c r="DN42" s="197">
        <f t="shared" si="137"/>
        <v>-4673.5563128055683</v>
      </c>
      <c r="DO42" s="199">
        <f t="shared" si="138"/>
        <v>-3116.9138398781461</v>
      </c>
    </row>
    <row r="43" spans="2:119" x14ac:dyDescent="0.3">
      <c r="B43" s="204">
        <f t="shared" si="139"/>
        <v>6</v>
      </c>
      <c r="C43" s="225">
        <f>'Energy NPV'!$D96*$E$34</f>
        <v>15</v>
      </c>
      <c r="D43" s="197">
        <f>'Energy margins'!$Z$12</f>
        <v>43.75</v>
      </c>
      <c r="E43" s="197">
        <f t="shared" si="140"/>
        <v>656.25</v>
      </c>
      <c r="F43" s="197">
        <f>'Margins summary'!$W$14</f>
        <v>330</v>
      </c>
      <c r="G43" s="197">
        <f t="shared" si="91"/>
        <v>986.25</v>
      </c>
      <c r="H43" s="197"/>
      <c r="I43" s="918">
        <f>'Energy NPV'!U96</f>
        <v>418.53934399999991</v>
      </c>
      <c r="J43" s="197"/>
      <c r="K43" s="197">
        <f t="shared" si="92"/>
        <v>418.53934399999991</v>
      </c>
      <c r="L43" s="197">
        <f t="shared" si="78"/>
        <v>237.71065600000009</v>
      </c>
      <c r="M43" s="197">
        <f t="shared" si="79"/>
        <v>567.71065600000009</v>
      </c>
      <c r="N43" s="196">
        <f t="shared" si="93"/>
        <v>566.08701475210773</v>
      </c>
      <c r="O43" s="197">
        <f t="shared" si="94"/>
        <v>284.66089884677416</v>
      </c>
      <c r="P43" s="197">
        <f t="shared" si="95"/>
        <v>361.03571474478542</v>
      </c>
      <c r="Q43" s="197">
        <f t="shared" si="96"/>
        <v>205.05130000732228</v>
      </c>
      <c r="R43" s="199">
        <f t="shared" si="97"/>
        <v>489.71219885409641</v>
      </c>
      <c r="S43" s="196">
        <f t="shared" si="141"/>
        <v>2674.974188345042</v>
      </c>
      <c r="T43" s="197">
        <f t="shared" si="98"/>
        <v>1841.3033717741962</v>
      </c>
      <c r="U43" s="197">
        <f t="shared" si="98"/>
        <v>5034.592027550354</v>
      </c>
      <c r="V43" s="197">
        <f t="shared" si="98"/>
        <v>-2359.6178392053116</v>
      </c>
      <c r="W43" s="199">
        <f t="shared" si="98"/>
        <v>-518.31446743111565</v>
      </c>
      <c r="Z43" s="204">
        <f t="shared" si="142"/>
        <v>6</v>
      </c>
      <c r="AA43" s="197">
        <f>'Energy NPV'!$D96*$AB$34</f>
        <v>22.5</v>
      </c>
      <c r="AB43" s="197">
        <f>'Energy margins'!$Z$12</f>
        <v>43.75</v>
      </c>
      <c r="AC43" s="197">
        <f t="shared" si="143"/>
        <v>984.375</v>
      </c>
      <c r="AD43" s="197">
        <f>'Margins summary'!$W$14</f>
        <v>330</v>
      </c>
      <c r="AE43" s="197">
        <f t="shared" si="99"/>
        <v>1314.375</v>
      </c>
      <c r="AF43" s="197"/>
      <c r="AG43" s="918">
        <f>'Energy NPV'!U96</f>
        <v>418.53934399999991</v>
      </c>
      <c r="AH43" s="197"/>
      <c r="AI43" s="197">
        <f t="shared" si="100"/>
        <v>418.53934399999991</v>
      </c>
      <c r="AJ43" s="197">
        <f t="shared" si="80"/>
        <v>565.83565600000009</v>
      </c>
      <c r="AK43" s="197">
        <f t="shared" si="81"/>
        <v>895.83565600000009</v>
      </c>
      <c r="AL43" s="196">
        <f t="shared" si="101"/>
        <v>849.13052212816149</v>
      </c>
      <c r="AM43" s="197">
        <f t="shared" si="102"/>
        <v>284.66089884677416</v>
      </c>
      <c r="AN43" s="197">
        <f t="shared" si="103"/>
        <v>361.03571474478542</v>
      </c>
      <c r="AO43" s="197">
        <f t="shared" si="104"/>
        <v>488.09480738337612</v>
      </c>
      <c r="AP43" s="199">
        <f t="shared" si="105"/>
        <v>772.75570623015028</v>
      </c>
      <c r="AQ43" s="196">
        <f t="shared" si="144"/>
        <v>4012.4612825175623</v>
      </c>
      <c r="AR43" s="197">
        <f t="shared" si="106"/>
        <v>1841.3033717741962</v>
      </c>
      <c r="AS43" s="197">
        <f t="shared" si="106"/>
        <v>5034.592027550354</v>
      </c>
      <c r="AT43" s="197">
        <f t="shared" si="106"/>
        <v>-1022.1307450327911</v>
      </c>
      <c r="AU43" s="199">
        <f t="shared" si="106"/>
        <v>819.17262674140511</v>
      </c>
      <c r="AX43" s="204">
        <f t="shared" si="145"/>
        <v>6</v>
      </c>
      <c r="AY43" s="197">
        <f>'Energy NPV'!$D96*$AZ$34</f>
        <v>7.5</v>
      </c>
      <c r="AZ43" s="197">
        <f>'Energy margins'!$Z$12</f>
        <v>43.75</v>
      </c>
      <c r="BA43" s="197">
        <f t="shared" si="146"/>
        <v>328.125</v>
      </c>
      <c r="BB43" s="197">
        <f>'Margins summary'!$W$14</f>
        <v>330</v>
      </c>
      <c r="BC43" s="197">
        <f t="shared" si="107"/>
        <v>658.125</v>
      </c>
      <c r="BD43" s="197"/>
      <c r="BE43" s="918">
        <f>'Energy NPV'!U96</f>
        <v>418.53934399999991</v>
      </c>
      <c r="BF43" s="197"/>
      <c r="BG43" s="197">
        <f t="shared" si="108"/>
        <v>418.53934399999991</v>
      </c>
      <c r="BH43" s="197">
        <f t="shared" si="82"/>
        <v>-90.414343999999915</v>
      </c>
      <c r="BI43" s="197">
        <f t="shared" si="83"/>
        <v>239.58565600000009</v>
      </c>
      <c r="BJ43" s="196">
        <f t="shared" si="109"/>
        <v>283.04350737605387</v>
      </c>
      <c r="BK43" s="197">
        <f t="shared" si="110"/>
        <v>284.66089884677416</v>
      </c>
      <c r="BL43" s="197">
        <f t="shared" si="111"/>
        <v>361.03571474478542</v>
      </c>
      <c r="BM43" s="197">
        <f t="shared" si="112"/>
        <v>-77.99220736873157</v>
      </c>
      <c r="BN43" s="199">
        <f t="shared" si="113"/>
        <v>206.66869147804258</v>
      </c>
      <c r="BO43" s="196">
        <f t="shared" si="147"/>
        <v>1337.487094172521</v>
      </c>
      <c r="BP43" s="197">
        <f t="shared" si="114"/>
        <v>1841.3033717741962</v>
      </c>
      <c r="BQ43" s="197">
        <f t="shared" si="115"/>
        <v>5034.592027550354</v>
      </c>
      <c r="BR43" s="197">
        <f t="shared" si="116"/>
        <v>-3697.1049333778328</v>
      </c>
      <c r="BS43" s="199">
        <f t="shared" si="117"/>
        <v>-1855.8015616036364</v>
      </c>
      <c r="BV43" s="204">
        <f t="shared" si="148"/>
        <v>6</v>
      </c>
      <c r="BW43" s="197">
        <f>'Energy NPV'!$D96*$BX$34</f>
        <v>30</v>
      </c>
      <c r="BX43" s="197">
        <f>'Energy margins'!$Z$12</f>
        <v>43.75</v>
      </c>
      <c r="BY43" s="197">
        <f t="shared" si="84"/>
        <v>1312.5</v>
      </c>
      <c r="BZ43" s="197">
        <f>'Margins summary'!$W$14</f>
        <v>330</v>
      </c>
      <c r="CA43" s="197">
        <f t="shared" si="85"/>
        <v>1642.5</v>
      </c>
      <c r="CB43" s="197"/>
      <c r="CC43" s="918">
        <f>'Energy NPV'!U96</f>
        <v>418.53934399999991</v>
      </c>
      <c r="CD43" s="197"/>
      <c r="CE43" s="197">
        <f t="shared" si="86"/>
        <v>418.53934399999991</v>
      </c>
      <c r="CF43" s="197">
        <f t="shared" si="87"/>
        <v>893.96065600000009</v>
      </c>
      <c r="CG43" s="197">
        <f t="shared" si="88"/>
        <v>1223.9606560000002</v>
      </c>
      <c r="CH43" s="196">
        <f t="shared" si="118"/>
        <v>1132.1740295042155</v>
      </c>
      <c r="CI43" s="197">
        <f t="shared" si="119"/>
        <v>284.66089884677416</v>
      </c>
      <c r="CJ43" s="197">
        <f t="shared" si="120"/>
        <v>361.03571474478542</v>
      </c>
      <c r="CK43" s="197">
        <f t="shared" si="121"/>
        <v>771.13831475942993</v>
      </c>
      <c r="CL43" s="199">
        <f t="shared" si="122"/>
        <v>1055.7992136062041</v>
      </c>
      <c r="CM43" s="196">
        <f t="shared" si="123"/>
        <v>5349.9483766900839</v>
      </c>
      <c r="CN43" s="197">
        <f t="shared" si="124"/>
        <v>1841.3033717741962</v>
      </c>
      <c r="CO43" s="197">
        <f t="shared" si="125"/>
        <v>5034.592027550354</v>
      </c>
      <c r="CP43" s="197">
        <f t="shared" si="126"/>
        <v>315.3563491397299</v>
      </c>
      <c r="CQ43" s="199">
        <f t="shared" si="127"/>
        <v>2156.6597209139263</v>
      </c>
      <c r="CT43" s="204">
        <f t="shared" si="149"/>
        <v>6</v>
      </c>
      <c r="CU43" s="197">
        <f>'Energy NPV'!$D96*$CV$34</f>
        <v>0</v>
      </c>
      <c r="CV43" s="197">
        <f>'Energy margins'!$Z$12</f>
        <v>43.75</v>
      </c>
      <c r="CW43" s="197">
        <f t="shared" si="150"/>
        <v>0</v>
      </c>
      <c r="CX43" s="197">
        <f>'Margins summary'!$W$14</f>
        <v>330</v>
      </c>
      <c r="CY43" s="197">
        <f t="shared" si="128"/>
        <v>330</v>
      </c>
      <c r="CZ43" s="197"/>
      <c r="DA43" s="918">
        <f>'Energy NPV'!U96</f>
        <v>418.53934399999991</v>
      </c>
      <c r="DB43" s="197"/>
      <c r="DC43" s="197">
        <f t="shared" si="129"/>
        <v>418.53934399999991</v>
      </c>
      <c r="DD43" s="197">
        <f t="shared" si="89"/>
        <v>-418.53934399999991</v>
      </c>
      <c r="DE43" s="197">
        <f t="shared" si="90"/>
        <v>-88.539343999999915</v>
      </c>
      <c r="DF43" s="196">
        <f t="shared" si="130"/>
        <v>0</v>
      </c>
      <c r="DG43" s="197">
        <f t="shared" si="131"/>
        <v>284.66089884677416</v>
      </c>
      <c r="DH43" s="197">
        <f t="shared" si="132"/>
        <v>361.03571474478542</v>
      </c>
      <c r="DI43" s="197">
        <f t="shared" si="133"/>
        <v>-361.03571474478542</v>
      </c>
      <c r="DJ43" s="199">
        <f t="shared" si="134"/>
        <v>-76.374815898011263</v>
      </c>
      <c r="DK43" s="196">
        <f t="shared" si="151"/>
        <v>0</v>
      </c>
      <c r="DL43" s="197">
        <f t="shared" si="135"/>
        <v>1841.3033717741962</v>
      </c>
      <c r="DM43" s="197">
        <f t="shared" si="136"/>
        <v>5034.592027550354</v>
      </c>
      <c r="DN43" s="197">
        <f t="shared" si="137"/>
        <v>-5034.592027550354</v>
      </c>
      <c r="DO43" s="199">
        <f t="shared" si="138"/>
        <v>-3193.2886557761572</v>
      </c>
    </row>
    <row r="44" spans="2:119" x14ac:dyDescent="0.3">
      <c r="B44" s="204">
        <f t="shared" si="139"/>
        <v>7</v>
      </c>
      <c r="C44" s="225">
        <f>'Energy NPV'!$D97*$E$34</f>
        <v>15</v>
      </c>
      <c r="D44" s="197">
        <f>'Energy margins'!$Z$12</f>
        <v>43.75</v>
      </c>
      <c r="E44" s="197">
        <f t="shared" si="140"/>
        <v>656.25</v>
      </c>
      <c r="F44" s="197">
        <f>'Margins summary'!$W$14</f>
        <v>330</v>
      </c>
      <c r="G44" s="197">
        <f t="shared" si="91"/>
        <v>986.25</v>
      </c>
      <c r="H44" s="197"/>
      <c r="I44" s="918">
        <f>'Energy NPV'!U97</f>
        <v>418.53934399999991</v>
      </c>
      <c r="J44" s="197"/>
      <c r="K44" s="197">
        <f t="shared" si="92"/>
        <v>418.53934399999991</v>
      </c>
      <c r="L44" s="197">
        <f t="shared" si="78"/>
        <v>237.71065600000009</v>
      </c>
      <c r="M44" s="197">
        <f t="shared" si="79"/>
        <v>567.71065600000009</v>
      </c>
      <c r="N44" s="196">
        <f t="shared" si="93"/>
        <v>549.59904344864822</v>
      </c>
      <c r="O44" s="197">
        <f t="shared" si="94"/>
        <v>276.36980470560593</v>
      </c>
      <c r="P44" s="197">
        <f t="shared" si="95"/>
        <v>350.52011140270429</v>
      </c>
      <c r="Q44" s="197">
        <f t="shared" si="96"/>
        <v>199.07893204594396</v>
      </c>
      <c r="R44" s="199">
        <f t="shared" si="97"/>
        <v>475.44873675154992</v>
      </c>
      <c r="S44" s="196">
        <f t="shared" si="141"/>
        <v>3224.57323179369</v>
      </c>
      <c r="T44" s="197">
        <f t="shared" si="98"/>
        <v>2117.6731764798024</v>
      </c>
      <c r="U44" s="197">
        <f t="shared" si="98"/>
        <v>5385.1121389530581</v>
      </c>
      <c r="V44" s="197">
        <f t="shared" si="98"/>
        <v>-2160.5389071593677</v>
      </c>
      <c r="W44" s="199">
        <f t="shared" si="98"/>
        <v>-42.865730679565729</v>
      </c>
      <c r="Z44" s="204">
        <f t="shared" si="142"/>
        <v>7</v>
      </c>
      <c r="AA44" s="197">
        <f>'Energy NPV'!$D97*$AB$34</f>
        <v>22.5</v>
      </c>
      <c r="AB44" s="197">
        <f>'Energy margins'!$Z$12</f>
        <v>43.75</v>
      </c>
      <c r="AC44" s="197">
        <f t="shared" si="143"/>
        <v>984.375</v>
      </c>
      <c r="AD44" s="197">
        <f>'Margins summary'!$W$14</f>
        <v>330</v>
      </c>
      <c r="AE44" s="197">
        <f t="shared" si="99"/>
        <v>1314.375</v>
      </c>
      <c r="AF44" s="197"/>
      <c r="AG44" s="918">
        <f>'Energy NPV'!U97</f>
        <v>418.53934399999991</v>
      </c>
      <c r="AH44" s="197"/>
      <c r="AI44" s="197">
        <f t="shared" si="100"/>
        <v>418.53934399999991</v>
      </c>
      <c r="AJ44" s="197">
        <f t="shared" si="80"/>
        <v>565.83565600000009</v>
      </c>
      <c r="AK44" s="197">
        <f t="shared" si="81"/>
        <v>895.83565600000009</v>
      </c>
      <c r="AL44" s="196">
        <f t="shared" si="101"/>
        <v>824.39856517297233</v>
      </c>
      <c r="AM44" s="197">
        <f t="shared" si="102"/>
        <v>276.36980470560593</v>
      </c>
      <c r="AN44" s="197">
        <f t="shared" si="103"/>
        <v>350.52011140270429</v>
      </c>
      <c r="AO44" s="197">
        <f t="shared" si="104"/>
        <v>473.87845377026804</v>
      </c>
      <c r="AP44" s="199">
        <f t="shared" si="105"/>
        <v>750.24825847587397</v>
      </c>
      <c r="AQ44" s="196">
        <f t="shared" si="144"/>
        <v>4836.8598476905345</v>
      </c>
      <c r="AR44" s="197">
        <f t="shared" si="106"/>
        <v>2117.6731764798024</v>
      </c>
      <c r="AS44" s="197">
        <f t="shared" si="106"/>
        <v>5385.1121389530581</v>
      </c>
      <c r="AT44" s="197">
        <f t="shared" si="106"/>
        <v>-548.25229126252304</v>
      </c>
      <c r="AU44" s="199">
        <f t="shared" si="106"/>
        <v>1569.4208852172792</v>
      </c>
      <c r="AX44" s="204">
        <f t="shared" si="145"/>
        <v>7</v>
      </c>
      <c r="AY44" s="197">
        <f>'Energy NPV'!$D97*$AZ$34</f>
        <v>7.5</v>
      </c>
      <c r="AZ44" s="197">
        <f>'Energy margins'!$Z$12</f>
        <v>43.75</v>
      </c>
      <c r="BA44" s="197">
        <f t="shared" si="146"/>
        <v>328.125</v>
      </c>
      <c r="BB44" s="197">
        <f>'Margins summary'!$W$14</f>
        <v>330</v>
      </c>
      <c r="BC44" s="197">
        <f t="shared" si="107"/>
        <v>658.125</v>
      </c>
      <c r="BD44" s="197"/>
      <c r="BE44" s="918">
        <f>'Energy NPV'!U97</f>
        <v>418.53934399999991</v>
      </c>
      <c r="BF44" s="197"/>
      <c r="BG44" s="197">
        <f t="shared" si="108"/>
        <v>418.53934399999991</v>
      </c>
      <c r="BH44" s="197">
        <f t="shared" si="82"/>
        <v>-90.414343999999915</v>
      </c>
      <c r="BI44" s="197">
        <f t="shared" si="83"/>
        <v>239.58565600000009</v>
      </c>
      <c r="BJ44" s="196">
        <f t="shared" si="109"/>
        <v>274.79952172432411</v>
      </c>
      <c r="BK44" s="197">
        <f t="shared" si="110"/>
        <v>276.36980470560593</v>
      </c>
      <c r="BL44" s="197">
        <f t="shared" si="111"/>
        <v>350.52011140270429</v>
      </c>
      <c r="BM44" s="197">
        <f t="shared" si="112"/>
        <v>-75.720589678380165</v>
      </c>
      <c r="BN44" s="199">
        <f t="shared" si="113"/>
        <v>200.64921502722581</v>
      </c>
      <c r="BO44" s="196">
        <f t="shared" si="147"/>
        <v>1612.286615896845</v>
      </c>
      <c r="BP44" s="197">
        <f t="shared" si="114"/>
        <v>2117.6731764798024</v>
      </c>
      <c r="BQ44" s="197">
        <f t="shared" si="115"/>
        <v>5385.1121389530581</v>
      </c>
      <c r="BR44" s="197">
        <f t="shared" si="116"/>
        <v>-3772.8255230562131</v>
      </c>
      <c r="BS44" s="199">
        <f t="shared" si="117"/>
        <v>-1655.1523465764105</v>
      </c>
      <c r="BV44" s="204">
        <f t="shared" si="148"/>
        <v>7</v>
      </c>
      <c r="BW44" s="197">
        <f>'Energy NPV'!$D97*$BX$34</f>
        <v>30</v>
      </c>
      <c r="BX44" s="197">
        <f>'Energy margins'!$Z$12</f>
        <v>43.75</v>
      </c>
      <c r="BY44" s="197">
        <f t="shared" si="84"/>
        <v>1312.5</v>
      </c>
      <c r="BZ44" s="197">
        <f>'Margins summary'!$W$14</f>
        <v>330</v>
      </c>
      <c r="CA44" s="197">
        <f t="shared" si="85"/>
        <v>1642.5</v>
      </c>
      <c r="CB44" s="197"/>
      <c r="CC44" s="918">
        <f>'Energy NPV'!U97</f>
        <v>418.53934399999991</v>
      </c>
      <c r="CD44" s="197"/>
      <c r="CE44" s="197">
        <f t="shared" si="86"/>
        <v>418.53934399999991</v>
      </c>
      <c r="CF44" s="197">
        <f t="shared" si="87"/>
        <v>893.96065600000009</v>
      </c>
      <c r="CG44" s="197">
        <f t="shared" si="88"/>
        <v>1223.9606560000002</v>
      </c>
      <c r="CH44" s="196">
        <f t="shared" si="118"/>
        <v>1099.1980868972964</v>
      </c>
      <c r="CI44" s="197">
        <f t="shared" si="119"/>
        <v>276.36980470560593</v>
      </c>
      <c r="CJ44" s="197">
        <f t="shared" si="120"/>
        <v>350.52011140270429</v>
      </c>
      <c r="CK44" s="197">
        <f t="shared" si="121"/>
        <v>748.67797549459215</v>
      </c>
      <c r="CL44" s="199">
        <f t="shared" si="122"/>
        <v>1025.0477802001983</v>
      </c>
      <c r="CM44" s="196">
        <f t="shared" si="123"/>
        <v>6449.1464635873799</v>
      </c>
      <c r="CN44" s="197">
        <f t="shared" si="124"/>
        <v>2117.6731764798024</v>
      </c>
      <c r="CO44" s="197">
        <f t="shared" si="125"/>
        <v>5385.1121389530581</v>
      </c>
      <c r="CP44" s="197">
        <f t="shared" si="126"/>
        <v>1064.034324634322</v>
      </c>
      <c r="CQ44" s="199">
        <f t="shared" si="127"/>
        <v>3181.7075011141246</v>
      </c>
      <c r="CT44" s="204">
        <f t="shared" si="149"/>
        <v>7</v>
      </c>
      <c r="CU44" s="197">
        <f>'Energy NPV'!$D97*$CV$34</f>
        <v>0</v>
      </c>
      <c r="CV44" s="197">
        <f>'Energy margins'!$Z$12</f>
        <v>43.75</v>
      </c>
      <c r="CW44" s="197">
        <f t="shared" si="150"/>
        <v>0</v>
      </c>
      <c r="CX44" s="197">
        <f>'Margins summary'!$W$14</f>
        <v>330</v>
      </c>
      <c r="CY44" s="197">
        <f t="shared" si="128"/>
        <v>330</v>
      </c>
      <c r="CZ44" s="197"/>
      <c r="DA44" s="918">
        <f>'Energy NPV'!U97</f>
        <v>418.53934399999991</v>
      </c>
      <c r="DB44" s="197"/>
      <c r="DC44" s="197">
        <f t="shared" si="129"/>
        <v>418.53934399999991</v>
      </c>
      <c r="DD44" s="197">
        <f t="shared" si="89"/>
        <v>-418.53934399999991</v>
      </c>
      <c r="DE44" s="197">
        <f t="shared" si="90"/>
        <v>-88.539343999999915</v>
      </c>
      <c r="DF44" s="196">
        <f t="shared" si="130"/>
        <v>0</v>
      </c>
      <c r="DG44" s="197">
        <f t="shared" si="131"/>
        <v>276.36980470560593</v>
      </c>
      <c r="DH44" s="197">
        <f t="shared" si="132"/>
        <v>350.52011140270429</v>
      </c>
      <c r="DI44" s="197">
        <f t="shared" si="133"/>
        <v>-350.52011140270429</v>
      </c>
      <c r="DJ44" s="199">
        <f t="shared" si="134"/>
        <v>-74.150306697098301</v>
      </c>
      <c r="DK44" s="196">
        <f t="shared" si="151"/>
        <v>0</v>
      </c>
      <c r="DL44" s="197">
        <f t="shared" si="135"/>
        <v>2117.6731764798024</v>
      </c>
      <c r="DM44" s="197">
        <f t="shared" si="136"/>
        <v>5385.1121389530581</v>
      </c>
      <c r="DN44" s="197">
        <f t="shared" si="137"/>
        <v>-5385.1121389530581</v>
      </c>
      <c r="DO44" s="199">
        <f t="shared" si="138"/>
        <v>-3267.4389624732553</v>
      </c>
    </row>
    <row r="45" spans="2:119" x14ac:dyDescent="0.3">
      <c r="B45" s="204">
        <f t="shared" si="139"/>
        <v>8</v>
      </c>
      <c r="C45" s="225">
        <f>'Energy NPV'!$D98*$E$34</f>
        <v>15</v>
      </c>
      <c r="D45" s="197">
        <f>'Energy margins'!$Z$12</f>
        <v>43.75</v>
      </c>
      <c r="E45" s="197">
        <f t="shared" si="140"/>
        <v>656.25</v>
      </c>
      <c r="F45" s="197">
        <f>'Margins summary'!$W$14</f>
        <v>330</v>
      </c>
      <c r="G45" s="197">
        <f t="shared" si="91"/>
        <v>986.25</v>
      </c>
      <c r="H45" s="197"/>
      <c r="I45" s="918">
        <f>'Energy NPV'!U98</f>
        <v>418.53934399999991</v>
      </c>
      <c r="J45" s="197"/>
      <c r="K45" s="197">
        <f t="shared" si="92"/>
        <v>418.53934399999991</v>
      </c>
      <c r="L45" s="197">
        <f t="shared" si="78"/>
        <v>237.71065600000009</v>
      </c>
      <c r="M45" s="197">
        <f t="shared" si="79"/>
        <v>567.71065600000009</v>
      </c>
      <c r="N45" s="196">
        <f t="shared" si="93"/>
        <v>533.5913043190759</v>
      </c>
      <c r="O45" s="197">
        <f t="shared" si="94"/>
        <v>268.32019874330672</v>
      </c>
      <c r="P45" s="197">
        <f t="shared" si="95"/>
        <v>340.31078776961579</v>
      </c>
      <c r="Q45" s="197">
        <f t="shared" si="96"/>
        <v>193.28051654946015</v>
      </c>
      <c r="R45" s="199">
        <f t="shared" si="97"/>
        <v>461.60071529276689</v>
      </c>
      <c r="S45" s="196">
        <f t="shared" si="141"/>
        <v>3758.1645361127657</v>
      </c>
      <c r="T45" s="197">
        <f t="shared" si="98"/>
        <v>2385.9933752231091</v>
      </c>
      <c r="U45" s="197">
        <f t="shared" si="98"/>
        <v>5725.4229267226738</v>
      </c>
      <c r="V45" s="197">
        <f t="shared" si="98"/>
        <v>-1967.2583906099076</v>
      </c>
      <c r="W45" s="199">
        <f t="shared" si="98"/>
        <v>418.73498461320116</v>
      </c>
      <c r="Z45" s="204">
        <f t="shared" si="142"/>
        <v>8</v>
      </c>
      <c r="AA45" s="197">
        <f>'Energy NPV'!$D98*$AB$34</f>
        <v>22.5</v>
      </c>
      <c r="AB45" s="197">
        <f>'Energy margins'!$Z$12</f>
        <v>43.75</v>
      </c>
      <c r="AC45" s="197">
        <f t="shared" si="143"/>
        <v>984.375</v>
      </c>
      <c r="AD45" s="197">
        <f>'Margins summary'!$W$14</f>
        <v>330</v>
      </c>
      <c r="AE45" s="197">
        <f t="shared" si="99"/>
        <v>1314.375</v>
      </c>
      <c r="AF45" s="197"/>
      <c r="AG45" s="918">
        <f>'Energy NPV'!U98</f>
        <v>418.53934399999991</v>
      </c>
      <c r="AH45" s="197"/>
      <c r="AI45" s="197">
        <f t="shared" si="100"/>
        <v>418.53934399999991</v>
      </c>
      <c r="AJ45" s="197">
        <f t="shared" si="80"/>
        <v>565.83565600000009</v>
      </c>
      <c r="AK45" s="197">
        <f t="shared" si="81"/>
        <v>895.83565600000009</v>
      </c>
      <c r="AL45" s="196">
        <f t="shared" si="101"/>
        <v>800.3869564786138</v>
      </c>
      <c r="AM45" s="197">
        <f t="shared" si="102"/>
        <v>268.32019874330672</v>
      </c>
      <c r="AN45" s="197">
        <f t="shared" si="103"/>
        <v>340.31078776961579</v>
      </c>
      <c r="AO45" s="197">
        <f t="shared" si="104"/>
        <v>460.07616870899807</v>
      </c>
      <c r="AP45" s="199">
        <f t="shared" si="105"/>
        <v>728.39636745230484</v>
      </c>
      <c r="AQ45" s="196">
        <f t="shared" si="144"/>
        <v>5637.2468041691482</v>
      </c>
      <c r="AR45" s="197">
        <f t="shared" si="106"/>
        <v>2385.9933752231091</v>
      </c>
      <c r="AS45" s="197">
        <f t="shared" si="106"/>
        <v>5725.4229267226738</v>
      </c>
      <c r="AT45" s="197">
        <f t="shared" si="106"/>
        <v>-88.176122553524976</v>
      </c>
      <c r="AU45" s="199">
        <f t="shared" si="106"/>
        <v>2297.8172526695839</v>
      </c>
      <c r="AX45" s="204">
        <f t="shared" si="145"/>
        <v>8</v>
      </c>
      <c r="AY45" s="197">
        <f>'Energy NPV'!$D98*$AZ$34</f>
        <v>7.5</v>
      </c>
      <c r="AZ45" s="197">
        <f>'Energy margins'!$Z$12</f>
        <v>43.75</v>
      </c>
      <c r="BA45" s="197">
        <f t="shared" si="146"/>
        <v>328.125</v>
      </c>
      <c r="BB45" s="197">
        <f>'Margins summary'!$W$14</f>
        <v>330</v>
      </c>
      <c r="BC45" s="197">
        <f t="shared" si="107"/>
        <v>658.125</v>
      </c>
      <c r="BD45" s="197"/>
      <c r="BE45" s="918">
        <f>'Energy NPV'!U98</f>
        <v>418.53934399999991</v>
      </c>
      <c r="BF45" s="197"/>
      <c r="BG45" s="197">
        <f t="shared" si="108"/>
        <v>418.53934399999991</v>
      </c>
      <c r="BH45" s="197">
        <f t="shared" si="82"/>
        <v>-90.414343999999915</v>
      </c>
      <c r="BI45" s="197">
        <f t="shared" si="83"/>
        <v>239.58565600000009</v>
      </c>
      <c r="BJ45" s="196">
        <f t="shared" si="109"/>
        <v>266.79565215953795</v>
      </c>
      <c r="BK45" s="197">
        <f t="shared" si="110"/>
        <v>268.32019874330672</v>
      </c>
      <c r="BL45" s="197">
        <f t="shared" si="111"/>
        <v>340.31078776961579</v>
      </c>
      <c r="BM45" s="197">
        <f t="shared" si="112"/>
        <v>-73.51513561007782</v>
      </c>
      <c r="BN45" s="199">
        <f t="shared" si="113"/>
        <v>194.80506313322891</v>
      </c>
      <c r="BO45" s="196">
        <f t="shared" si="147"/>
        <v>1879.0822680563829</v>
      </c>
      <c r="BP45" s="197">
        <f t="shared" si="114"/>
        <v>2385.9933752231091</v>
      </c>
      <c r="BQ45" s="197">
        <f t="shared" si="115"/>
        <v>5725.4229267226738</v>
      </c>
      <c r="BR45" s="197">
        <f t="shared" si="116"/>
        <v>-3846.3406586662909</v>
      </c>
      <c r="BS45" s="199">
        <f t="shared" si="117"/>
        <v>-1460.3472834431816</v>
      </c>
      <c r="BV45" s="204">
        <f t="shared" si="148"/>
        <v>8</v>
      </c>
      <c r="BW45" s="197">
        <f>'Energy NPV'!$D98*$BX$34</f>
        <v>30</v>
      </c>
      <c r="BX45" s="197">
        <f>'Energy margins'!$Z$12</f>
        <v>43.75</v>
      </c>
      <c r="BY45" s="197">
        <f t="shared" si="84"/>
        <v>1312.5</v>
      </c>
      <c r="BZ45" s="197">
        <f>'Margins summary'!$W$14</f>
        <v>330</v>
      </c>
      <c r="CA45" s="197">
        <f t="shared" si="85"/>
        <v>1642.5</v>
      </c>
      <c r="CB45" s="197"/>
      <c r="CC45" s="918">
        <f>'Energy NPV'!U98</f>
        <v>418.53934399999991</v>
      </c>
      <c r="CD45" s="197"/>
      <c r="CE45" s="197">
        <f t="shared" si="86"/>
        <v>418.53934399999991</v>
      </c>
      <c r="CF45" s="197">
        <f t="shared" si="87"/>
        <v>893.96065600000009</v>
      </c>
      <c r="CG45" s="197">
        <f t="shared" si="88"/>
        <v>1223.9606560000002</v>
      </c>
      <c r="CH45" s="196">
        <f t="shared" si="118"/>
        <v>1067.1826086381518</v>
      </c>
      <c r="CI45" s="197">
        <f t="shared" si="119"/>
        <v>268.32019874330672</v>
      </c>
      <c r="CJ45" s="197">
        <f t="shared" si="120"/>
        <v>340.31078776961579</v>
      </c>
      <c r="CK45" s="197">
        <f t="shared" si="121"/>
        <v>726.87182086853602</v>
      </c>
      <c r="CL45" s="199">
        <f t="shared" si="122"/>
        <v>995.19201961184285</v>
      </c>
      <c r="CM45" s="196">
        <f t="shared" si="123"/>
        <v>7516.3290722255315</v>
      </c>
      <c r="CN45" s="197">
        <f t="shared" si="124"/>
        <v>2385.9933752231091</v>
      </c>
      <c r="CO45" s="197">
        <f t="shared" si="125"/>
        <v>5725.4229267226738</v>
      </c>
      <c r="CP45" s="197">
        <f t="shared" si="126"/>
        <v>1790.9061455028582</v>
      </c>
      <c r="CQ45" s="199">
        <f t="shared" si="127"/>
        <v>4176.8995207259677</v>
      </c>
      <c r="CT45" s="204">
        <f t="shared" si="149"/>
        <v>8</v>
      </c>
      <c r="CU45" s="197">
        <f>'Energy NPV'!$D98*$CV$34</f>
        <v>0</v>
      </c>
      <c r="CV45" s="197">
        <f>'Energy margins'!$Z$12</f>
        <v>43.75</v>
      </c>
      <c r="CW45" s="197">
        <f t="shared" si="150"/>
        <v>0</v>
      </c>
      <c r="CX45" s="197">
        <f>'Margins summary'!$W$14</f>
        <v>330</v>
      </c>
      <c r="CY45" s="197">
        <f t="shared" si="128"/>
        <v>330</v>
      </c>
      <c r="CZ45" s="197"/>
      <c r="DA45" s="918">
        <f>'Energy NPV'!U98</f>
        <v>418.53934399999991</v>
      </c>
      <c r="DB45" s="197"/>
      <c r="DC45" s="197">
        <f t="shared" si="129"/>
        <v>418.53934399999991</v>
      </c>
      <c r="DD45" s="197">
        <f t="shared" si="89"/>
        <v>-418.53934399999991</v>
      </c>
      <c r="DE45" s="197">
        <f t="shared" si="90"/>
        <v>-88.539343999999915</v>
      </c>
      <c r="DF45" s="196">
        <f t="shared" si="130"/>
        <v>0</v>
      </c>
      <c r="DG45" s="197">
        <f t="shared" si="131"/>
        <v>268.32019874330672</v>
      </c>
      <c r="DH45" s="197">
        <f t="shared" si="132"/>
        <v>340.31078776961579</v>
      </c>
      <c r="DI45" s="197">
        <f t="shared" si="133"/>
        <v>-340.31078776961579</v>
      </c>
      <c r="DJ45" s="199">
        <f t="shared" si="134"/>
        <v>-71.990589026309024</v>
      </c>
      <c r="DK45" s="196">
        <f t="shared" si="151"/>
        <v>0</v>
      </c>
      <c r="DL45" s="197">
        <f t="shared" si="135"/>
        <v>2385.9933752231091</v>
      </c>
      <c r="DM45" s="197">
        <f t="shared" si="136"/>
        <v>5725.4229267226738</v>
      </c>
      <c r="DN45" s="197">
        <f t="shared" si="137"/>
        <v>-5725.4229267226738</v>
      </c>
      <c r="DO45" s="199">
        <f t="shared" si="138"/>
        <v>-3339.4295514995642</v>
      </c>
    </row>
    <row r="46" spans="2:119" x14ac:dyDescent="0.3">
      <c r="B46" s="204">
        <f t="shared" si="139"/>
        <v>9</v>
      </c>
      <c r="C46" s="225">
        <f>'Energy NPV'!$D99*$E$34</f>
        <v>15</v>
      </c>
      <c r="D46" s="197">
        <f>'Energy margins'!$Z$12</f>
        <v>43.75</v>
      </c>
      <c r="E46" s="197">
        <f t="shared" si="140"/>
        <v>656.25</v>
      </c>
      <c r="F46" s="197">
        <f>'Margins summary'!$W$14</f>
        <v>330</v>
      </c>
      <c r="G46" s="197">
        <f t="shared" si="91"/>
        <v>986.25</v>
      </c>
      <c r="H46" s="197"/>
      <c r="I46" s="918">
        <f>'Energy NPV'!U99</f>
        <v>418.53934399999991</v>
      </c>
      <c r="J46" s="197"/>
      <c r="K46" s="197">
        <f t="shared" si="92"/>
        <v>418.53934399999991</v>
      </c>
      <c r="L46" s="197">
        <f t="shared" si="78"/>
        <v>237.71065600000009</v>
      </c>
      <c r="M46" s="197">
        <f t="shared" si="79"/>
        <v>567.71065600000009</v>
      </c>
      <c r="N46" s="196">
        <f t="shared" si="93"/>
        <v>518.04981001852036</v>
      </c>
      <c r="O46" s="197">
        <f t="shared" si="94"/>
        <v>260.50504732359883</v>
      </c>
      <c r="P46" s="197">
        <f t="shared" si="95"/>
        <v>330.39882307729692</v>
      </c>
      <c r="Q46" s="197">
        <f t="shared" si="96"/>
        <v>187.65098694122347</v>
      </c>
      <c r="R46" s="199">
        <f t="shared" si="97"/>
        <v>448.15603426482227</v>
      </c>
      <c r="S46" s="196">
        <f t="shared" si="141"/>
        <v>4276.2143461312862</v>
      </c>
      <c r="T46" s="197">
        <f t="shared" si="98"/>
        <v>2646.4984225467078</v>
      </c>
      <c r="U46" s="197">
        <f t="shared" si="98"/>
        <v>6055.8217497999703</v>
      </c>
      <c r="V46" s="197">
        <f t="shared" si="98"/>
        <v>-1779.6074036686841</v>
      </c>
      <c r="W46" s="199">
        <f t="shared" si="98"/>
        <v>866.89101887802349</v>
      </c>
      <c r="Z46" s="204">
        <f t="shared" si="142"/>
        <v>9</v>
      </c>
      <c r="AA46" s="197">
        <f>'Energy NPV'!$D99*$AB$34</f>
        <v>22.5</v>
      </c>
      <c r="AB46" s="197">
        <f>'Energy margins'!$Z$12</f>
        <v>43.75</v>
      </c>
      <c r="AC46" s="197">
        <f t="shared" si="143"/>
        <v>984.375</v>
      </c>
      <c r="AD46" s="197">
        <f>'Margins summary'!$W$14</f>
        <v>330</v>
      </c>
      <c r="AE46" s="197">
        <f t="shared" si="99"/>
        <v>1314.375</v>
      </c>
      <c r="AF46" s="197"/>
      <c r="AG46" s="918">
        <f>'Energy NPV'!U99</f>
        <v>418.53934399999991</v>
      </c>
      <c r="AH46" s="197"/>
      <c r="AI46" s="197">
        <f t="shared" si="100"/>
        <v>418.53934399999991</v>
      </c>
      <c r="AJ46" s="197">
        <f t="shared" si="80"/>
        <v>565.83565600000009</v>
      </c>
      <c r="AK46" s="197">
        <f t="shared" si="81"/>
        <v>895.83565600000009</v>
      </c>
      <c r="AL46" s="196">
        <f t="shared" si="101"/>
        <v>777.07471502778048</v>
      </c>
      <c r="AM46" s="197">
        <f t="shared" si="102"/>
        <v>260.50504732359883</v>
      </c>
      <c r="AN46" s="197">
        <f t="shared" si="103"/>
        <v>330.39882307729692</v>
      </c>
      <c r="AO46" s="197">
        <f t="shared" si="104"/>
        <v>446.67589195048362</v>
      </c>
      <c r="AP46" s="199">
        <f t="shared" si="105"/>
        <v>707.18093927408245</v>
      </c>
      <c r="AQ46" s="196">
        <f t="shared" si="144"/>
        <v>6414.3215191969284</v>
      </c>
      <c r="AR46" s="197">
        <f t="shared" si="106"/>
        <v>2646.4984225467078</v>
      </c>
      <c r="AS46" s="197">
        <f t="shared" si="106"/>
        <v>6055.8217497999703</v>
      </c>
      <c r="AT46" s="197">
        <f t="shared" si="106"/>
        <v>358.49976939695864</v>
      </c>
      <c r="AU46" s="199">
        <f t="shared" si="106"/>
        <v>3004.9981919436664</v>
      </c>
      <c r="AX46" s="204">
        <f t="shared" si="145"/>
        <v>9</v>
      </c>
      <c r="AY46" s="197">
        <f>'Energy NPV'!$D99*$AZ$34</f>
        <v>7.5</v>
      </c>
      <c r="AZ46" s="197">
        <f>'Energy margins'!$Z$12</f>
        <v>43.75</v>
      </c>
      <c r="BA46" s="197">
        <f t="shared" si="146"/>
        <v>328.125</v>
      </c>
      <c r="BB46" s="197">
        <f>'Margins summary'!$W$14</f>
        <v>330</v>
      </c>
      <c r="BC46" s="197">
        <f t="shared" si="107"/>
        <v>658.125</v>
      </c>
      <c r="BD46" s="197"/>
      <c r="BE46" s="918">
        <f>'Energy NPV'!U99</f>
        <v>418.53934399999991</v>
      </c>
      <c r="BF46" s="197"/>
      <c r="BG46" s="197">
        <f t="shared" si="108"/>
        <v>418.53934399999991</v>
      </c>
      <c r="BH46" s="197">
        <f t="shared" si="82"/>
        <v>-90.414343999999915</v>
      </c>
      <c r="BI46" s="197">
        <f t="shared" si="83"/>
        <v>239.58565600000009</v>
      </c>
      <c r="BJ46" s="196">
        <f t="shared" si="109"/>
        <v>259.02490500926018</v>
      </c>
      <c r="BK46" s="197">
        <f t="shared" si="110"/>
        <v>260.50504732359883</v>
      </c>
      <c r="BL46" s="197">
        <f t="shared" si="111"/>
        <v>330.39882307729692</v>
      </c>
      <c r="BM46" s="197">
        <f t="shared" si="112"/>
        <v>-71.37391806803673</v>
      </c>
      <c r="BN46" s="199">
        <f t="shared" si="113"/>
        <v>189.13112925556209</v>
      </c>
      <c r="BO46" s="196">
        <f t="shared" si="147"/>
        <v>2138.1071730656431</v>
      </c>
      <c r="BP46" s="197">
        <f t="shared" si="114"/>
        <v>2646.4984225467078</v>
      </c>
      <c r="BQ46" s="197">
        <f t="shared" si="115"/>
        <v>6055.8217497999703</v>
      </c>
      <c r="BR46" s="197">
        <f t="shared" si="116"/>
        <v>-3917.7145767343277</v>
      </c>
      <c r="BS46" s="199">
        <f t="shared" si="117"/>
        <v>-1271.2161541876194</v>
      </c>
      <c r="BV46" s="204">
        <f t="shared" si="148"/>
        <v>9</v>
      </c>
      <c r="BW46" s="197">
        <f>'Energy NPV'!$D99*$BX$34</f>
        <v>30</v>
      </c>
      <c r="BX46" s="197">
        <f>'Energy margins'!$Z$12</f>
        <v>43.75</v>
      </c>
      <c r="BY46" s="197">
        <f t="shared" si="84"/>
        <v>1312.5</v>
      </c>
      <c r="BZ46" s="197">
        <f>'Margins summary'!$W$14</f>
        <v>330</v>
      </c>
      <c r="CA46" s="197">
        <f t="shared" si="85"/>
        <v>1642.5</v>
      </c>
      <c r="CB46" s="197"/>
      <c r="CC46" s="918">
        <f>'Energy NPV'!U99</f>
        <v>418.53934399999991</v>
      </c>
      <c r="CD46" s="197"/>
      <c r="CE46" s="197">
        <f t="shared" si="86"/>
        <v>418.53934399999991</v>
      </c>
      <c r="CF46" s="197">
        <f t="shared" si="87"/>
        <v>893.96065600000009</v>
      </c>
      <c r="CG46" s="197">
        <f t="shared" si="88"/>
        <v>1223.9606560000002</v>
      </c>
      <c r="CH46" s="196">
        <f t="shared" si="118"/>
        <v>1036.0996200370407</v>
      </c>
      <c r="CI46" s="197">
        <f t="shared" si="119"/>
        <v>260.50504732359883</v>
      </c>
      <c r="CJ46" s="197">
        <f t="shared" si="120"/>
        <v>330.39882307729692</v>
      </c>
      <c r="CK46" s="197">
        <f t="shared" si="121"/>
        <v>705.7007969597438</v>
      </c>
      <c r="CL46" s="199">
        <f t="shared" si="122"/>
        <v>966.20584428334269</v>
      </c>
      <c r="CM46" s="196">
        <f t="shared" si="123"/>
        <v>8552.4286922625724</v>
      </c>
      <c r="CN46" s="197">
        <f t="shared" si="124"/>
        <v>2646.4984225467078</v>
      </c>
      <c r="CO46" s="197">
        <f t="shared" si="125"/>
        <v>6055.8217497999703</v>
      </c>
      <c r="CP46" s="197">
        <f t="shared" si="126"/>
        <v>2496.6069424626021</v>
      </c>
      <c r="CQ46" s="199">
        <f t="shared" si="127"/>
        <v>5143.1053650093108</v>
      </c>
      <c r="CT46" s="204">
        <f t="shared" si="149"/>
        <v>9</v>
      </c>
      <c r="CU46" s="197">
        <f>'Energy NPV'!$D99*$CV$34</f>
        <v>0</v>
      </c>
      <c r="CV46" s="197">
        <f>'Energy margins'!$Z$12</f>
        <v>43.75</v>
      </c>
      <c r="CW46" s="197">
        <f t="shared" si="150"/>
        <v>0</v>
      </c>
      <c r="CX46" s="197">
        <f>'Margins summary'!$W$14</f>
        <v>330</v>
      </c>
      <c r="CY46" s="197">
        <f t="shared" si="128"/>
        <v>330</v>
      </c>
      <c r="CZ46" s="197"/>
      <c r="DA46" s="918">
        <f>'Energy NPV'!U99</f>
        <v>418.53934399999991</v>
      </c>
      <c r="DB46" s="197"/>
      <c r="DC46" s="197">
        <f t="shared" si="129"/>
        <v>418.53934399999991</v>
      </c>
      <c r="DD46" s="197">
        <f t="shared" si="89"/>
        <v>-418.53934399999991</v>
      </c>
      <c r="DE46" s="197">
        <f t="shared" si="90"/>
        <v>-88.539343999999915</v>
      </c>
      <c r="DF46" s="196">
        <f t="shared" si="130"/>
        <v>0</v>
      </c>
      <c r="DG46" s="197">
        <f t="shared" si="131"/>
        <v>260.50504732359883</v>
      </c>
      <c r="DH46" s="197">
        <f t="shared" si="132"/>
        <v>330.39882307729692</v>
      </c>
      <c r="DI46" s="197">
        <f t="shared" si="133"/>
        <v>-330.39882307729692</v>
      </c>
      <c r="DJ46" s="199">
        <f t="shared" si="134"/>
        <v>-69.893775753698094</v>
      </c>
      <c r="DK46" s="196">
        <f t="shared" si="151"/>
        <v>0</v>
      </c>
      <c r="DL46" s="197">
        <f t="shared" si="135"/>
        <v>2646.4984225467078</v>
      </c>
      <c r="DM46" s="197">
        <f t="shared" si="136"/>
        <v>6055.8217497999703</v>
      </c>
      <c r="DN46" s="197">
        <f t="shared" si="137"/>
        <v>-6055.8217497999703</v>
      </c>
      <c r="DO46" s="199">
        <f t="shared" si="138"/>
        <v>-3409.3233272532625</v>
      </c>
    </row>
    <row r="47" spans="2:119" x14ac:dyDescent="0.3">
      <c r="B47" s="204">
        <f t="shared" si="139"/>
        <v>10</v>
      </c>
      <c r="C47" s="225">
        <f>'Energy NPV'!$D100*$E$34</f>
        <v>15</v>
      </c>
      <c r="D47" s="197">
        <f>'Energy margins'!$Z$12</f>
        <v>43.75</v>
      </c>
      <c r="E47" s="197">
        <f t="shared" si="140"/>
        <v>656.25</v>
      </c>
      <c r="F47" s="197">
        <f>'Margins summary'!$W$14</f>
        <v>330</v>
      </c>
      <c r="G47" s="197">
        <f t="shared" si="91"/>
        <v>986.25</v>
      </c>
      <c r="H47" s="197"/>
      <c r="I47" s="918">
        <f>'Energy NPV'!U100</f>
        <v>418.53934399999991</v>
      </c>
      <c r="J47" s="197"/>
      <c r="K47" s="197">
        <f t="shared" si="92"/>
        <v>418.53934399999991</v>
      </c>
      <c r="L47" s="197">
        <f t="shared" si="78"/>
        <v>237.71065600000009</v>
      </c>
      <c r="M47" s="197">
        <f t="shared" si="79"/>
        <v>567.71065600000009</v>
      </c>
      <c r="N47" s="196">
        <f t="shared" si="93"/>
        <v>502.9609806005052</v>
      </c>
      <c r="O47" s="197">
        <f t="shared" si="94"/>
        <v>252.91752167339689</v>
      </c>
      <c r="P47" s="197">
        <f t="shared" si="95"/>
        <v>320.77555638572511</v>
      </c>
      <c r="Q47" s="197">
        <f t="shared" si="96"/>
        <v>182.18542421478006</v>
      </c>
      <c r="R47" s="199">
        <f t="shared" si="97"/>
        <v>435.10294588817692</v>
      </c>
      <c r="S47" s="196">
        <f t="shared" si="141"/>
        <v>4779.1753267317918</v>
      </c>
      <c r="T47" s="197">
        <f t="shared" si="98"/>
        <v>2899.4159442201048</v>
      </c>
      <c r="U47" s="197">
        <f t="shared" si="98"/>
        <v>6376.5973061856957</v>
      </c>
      <c r="V47" s="197">
        <f t="shared" si="98"/>
        <v>-1597.421979453904</v>
      </c>
      <c r="W47" s="199">
        <f t="shared" si="98"/>
        <v>1301.9939647662004</v>
      </c>
      <c r="Z47" s="204">
        <f t="shared" si="142"/>
        <v>10</v>
      </c>
      <c r="AA47" s="197">
        <f>'Energy NPV'!$D100*$AB$34</f>
        <v>22.5</v>
      </c>
      <c r="AB47" s="197">
        <f>'Energy margins'!$Z$12</f>
        <v>43.75</v>
      </c>
      <c r="AC47" s="197">
        <f t="shared" si="143"/>
        <v>984.375</v>
      </c>
      <c r="AD47" s="197">
        <f>'Margins summary'!$W$14</f>
        <v>330</v>
      </c>
      <c r="AE47" s="197">
        <f t="shared" si="99"/>
        <v>1314.375</v>
      </c>
      <c r="AF47" s="197"/>
      <c r="AG47" s="918">
        <f>'Energy NPV'!U100</f>
        <v>418.53934399999991</v>
      </c>
      <c r="AH47" s="197"/>
      <c r="AI47" s="197">
        <f t="shared" si="100"/>
        <v>418.53934399999991</v>
      </c>
      <c r="AJ47" s="197">
        <f t="shared" si="80"/>
        <v>565.83565600000009</v>
      </c>
      <c r="AK47" s="197">
        <f t="shared" si="81"/>
        <v>895.83565600000009</v>
      </c>
      <c r="AL47" s="196">
        <f t="shared" si="101"/>
        <v>754.44147090075774</v>
      </c>
      <c r="AM47" s="197">
        <f t="shared" si="102"/>
        <v>252.91752167339689</v>
      </c>
      <c r="AN47" s="197">
        <f t="shared" si="103"/>
        <v>320.77555638572511</v>
      </c>
      <c r="AO47" s="197">
        <f t="shared" si="104"/>
        <v>433.66591451503263</v>
      </c>
      <c r="AP47" s="199">
        <f t="shared" si="105"/>
        <v>686.58343618842957</v>
      </c>
      <c r="AQ47" s="196">
        <f t="shared" si="144"/>
        <v>7168.7629900976863</v>
      </c>
      <c r="AR47" s="197">
        <f t="shared" si="106"/>
        <v>2899.4159442201048</v>
      </c>
      <c r="AS47" s="197">
        <f t="shared" si="106"/>
        <v>6376.5973061856957</v>
      </c>
      <c r="AT47" s="197">
        <f t="shared" si="106"/>
        <v>792.16568391199121</v>
      </c>
      <c r="AU47" s="199">
        <f t="shared" si="106"/>
        <v>3691.5816281320958</v>
      </c>
      <c r="AX47" s="204">
        <f t="shared" si="145"/>
        <v>10</v>
      </c>
      <c r="AY47" s="197">
        <f>'Energy NPV'!$D100*$AZ$34</f>
        <v>7.5</v>
      </c>
      <c r="AZ47" s="197">
        <f>'Energy margins'!$Z$12</f>
        <v>43.75</v>
      </c>
      <c r="BA47" s="197">
        <f t="shared" si="146"/>
        <v>328.125</v>
      </c>
      <c r="BB47" s="197">
        <f>'Margins summary'!$W$14</f>
        <v>330</v>
      </c>
      <c r="BC47" s="197">
        <f t="shared" si="107"/>
        <v>658.125</v>
      </c>
      <c r="BD47" s="197"/>
      <c r="BE47" s="918">
        <f>'Energy NPV'!U100</f>
        <v>418.53934399999991</v>
      </c>
      <c r="BF47" s="197"/>
      <c r="BG47" s="197">
        <f t="shared" si="108"/>
        <v>418.53934399999991</v>
      </c>
      <c r="BH47" s="197">
        <f t="shared" si="82"/>
        <v>-90.414343999999915</v>
      </c>
      <c r="BI47" s="197">
        <f t="shared" si="83"/>
        <v>239.58565600000009</v>
      </c>
      <c r="BJ47" s="196">
        <f t="shared" si="109"/>
        <v>251.4804903002526</v>
      </c>
      <c r="BK47" s="197">
        <f t="shared" si="110"/>
        <v>252.91752167339689</v>
      </c>
      <c r="BL47" s="197">
        <f t="shared" si="111"/>
        <v>320.77555638572511</v>
      </c>
      <c r="BM47" s="197">
        <f t="shared" si="112"/>
        <v>-69.295066085472541</v>
      </c>
      <c r="BN47" s="199">
        <f t="shared" si="113"/>
        <v>183.62245558792435</v>
      </c>
      <c r="BO47" s="196">
        <f t="shared" si="147"/>
        <v>2389.5876633658959</v>
      </c>
      <c r="BP47" s="197">
        <f t="shared" si="114"/>
        <v>2899.4159442201048</v>
      </c>
      <c r="BQ47" s="197">
        <f t="shared" si="115"/>
        <v>6376.5973061856957</v>
      </c>
      <c r="BR47" s="197">
        <f t="shared" si="116"/>
        <v>-3987.0096428198003</v>
      </c>
      <c r="BS47" s="199">
        <f t="shared" si="117"/>
        <v>-1087.593698599695</v>
      </c>
      <c r="BV47" s="204">
        <f t="shared" si="148"/>
        <v>10</v>
      </c>
      <c r="BW47" s="197">
        <f>'Energy NPV'!$D100*$BX$34</f>
        <v>30</v>
      </c>
      <c r="BX47" s="197">
        <f>'Energy margins'!$Z$12</f>
        <v>43.75</v>
      </c>
      <c r="BY47" s="197">
        <f t="shared" si="84"/>
        <v>1312.5</v>
      </c>
      <c r="BZ47" s="197">
        <f>'Margins summary'!$W$14</f>
        <v>330</v>
      </c>
      <c r="CA47" s="197">
        <f t="shared" si="85"/>
        <v>1642.5</v>
      </c>
      <c r="CB47" s="197"/>
      <c r="CC47" s="918">
        <f>'Energy NPV'!U100</f>
        <v>418.53934399999991</v>
      </c>
      <c r="CD47" s="197"/>
      <c r="CE47" s="197">
        <f t="shared" si="86"/>
        <v>418.53934399999991</v>
      </c>
      <c r="CF47" s="197">
        <f t="shared" si="87"/>
        <v>893.96065600000009</v>
      </c>
      <c r="CG47" s="197">
        <f t="shared" si="88"/>
        <v>1223.9606560000002</v>
      </c>
      <c r="CH47" s="196">
        <f t="shared" si="118"/>
        <v>1005.9219612010104</v>
      </c>
      <c r="CI47" s="197">
        <f t="shared" si="119"/>
        <v>252.91752167339689</v>
      </c>
      <c r="CJ47" s="197">
        <f t="shared" si="120"/>
        <v>320.77555638572511</v>
      </c>
      <c r="CK47" s="197">
        <f t="shared" si="121"/>
        <v>685.14640481528522</v>
      </c>
      <c r="CL47" s="199">
        <f t="shared" si="122"/>
        <v>938.06392648868223</v>
      </c>
      <c r="CM47" s="196">
        <f t="shared" si="123"/>
        <v>9558.3506534635835</v>
      </c>
      <c r="CN47" s="197">
        <f t="shared" si="124"/>
        <v>2899.4159442201048</v>
      </c>
      <c r="CO47" s="197">
        <f t="shared" si="125"/>
        <v>6376.5973061856957</v>
      </c>
      <c r="CP47" s="197">
        <f t="shared" si="126"/>
        <v>3181.7533472778873</v>
      </c>
      <c r="CQ47" s="199">
        <f t="shared" si="127"/>
        <v>6081.1692914979931</v>
      </c>
      <c r="CT47" s="204">
        <f t="shared" si="149"/>
        <v>10</v>
      </c>
      <c r="CU47" s="197">
        <f>'Energy NPV'!$D100*$CV$34</f>
        <v>0</v>
      </c>
      <c r="CV47" s="197">
        <f>'Energy margins'!$Z$12</f>
        <v>43.75</v>
      </c>
      <c r="CW47" s="197">
        <f t="shared" si="150"/>
        <v>0</v>
      </c>
      <c r="CX47" s="197">
        <f>'Margins summary'!$W$14</f>
        <v>330</v>
      </c>
      <c r="CY47" s="197">
        <f t="shared" si="128"/>
        <v>330</v>
      </c>
      <c r="CZ47" s="197"/>
      <c r="DA47" s="918">
        <f>'Energy NPV'!U100</f>
        <v>418.53934399999991</v>
      </c>
      <c r="DB47" s="197"/>
      <c r="DC47" s="197">
        <f t="shared" si="129"/>
        <v>418.53934399999991</v>
      </c>
      <c r="DD47" s="197">
        <f t="shared" si="89"/>
        <v>-418.53934399999991</v>
      </c>
      <c r="DE47" s="197">
        <f t="shared" si="90"/>
        <v>-88.539343999999915</v>
      </c>
      <c r="DF47" s="196">
        <f t="shared" si="130"/>
        <v>0</v>
      </c>
      <c r="DG47" s="197">
        <f t="shared" si="131"/>
        <v>252.91752167339689</v>
      </c>
      <c r="DH47" s="197">
        <f t="shared" si="132"/>
        <v>320.77555638572511</v>
      </c>
      <c r="DI47" s="197">
        <f t="shared" si="133"/>
        <v>-320.77555638572511</v>
      </c>
      <c r="DJ47" s="199">
        <f t="shared" si="134"/>
        <v>-67.858034712328248</v>
      </c>
      <c r="DK47" s="196">
        <f t="shared" si="151"/>
        <v>0</v>
      </c>
      <c r="DL47" s="197">
        <f t="shared" si="135"/>
        <v>2899.4159442201048</v>
      </c>
      <c r="DM47" s="197">
        <f t="shared" si="136"/>
        <v>6376.5973061856957</v>
      </c>
      <c r="DN47" s="197">
        <f t="shared" si="137"/>
        <v>-6376.5973061856957</v>
      </c>
      <c r="DO47" s="199">
        <f t="shared" si="138"/>
        <v>-3477.1813619655909</v>
      </c>
    </row>
    <row r="48" spans="2:119" x14ac:dyDescent="0.3">
      <c r="B48" s="204">
        <f t="shared" si="139"/>
        <v>11</v>
      </c>
      <c r="C48" s="225">
        <f>'Energy NPV'!$D101*$E$34</f>
        <v>15</v>
      </c>
      <c r="D48" s="197">
        <f>'Energy margins'!$Z$12</f>
        <v>43.75</v>
      </c>
      <c r="E48" s="197">
        <f t="shared" si="140"/>
        <v>656.25</v>
      </c>
      <c r="F48" s="197">
        <f>'Margins summary'!$W$14</f>
        <v>330</v>
      </c>
      <c r="G48" s="197">
        <f t="shared" si="91"/>
        <v>986.25</v>
      </c>
      <c r="H48" s="197"/>
      <c r="I48" s="918">
        <f>'Energy NPV'!U101</f>
        <v>418.53934399999991</v>
      </c>
      <c r="J48" s="197"/>
      <c r="K48" s="197">
        <f t="shared" si="92"/>
        <v>418.53934399999991</v>
      </c>
      <c r="L48" s="197">
        <f t="shared" si="78"/>
        <v>237.71065600000009</v>
      </c>
      <c r="M48" s="197">
        <f t="shared" si="79"/>
        <v>567.71065600000009</v>
      </c>
      <c r="N48" s="196">
        <f t="shared" si="93"/>
        <v>488.31163165097593</v>
      </c>
      <c r="O48" s="197">
        <f t="shared" si="94"/>
        <v>245.55099191591933</v>
      </c>
      <c r="P48" s="197">
        <f t="shared" si="95"/>
        <v>311.43257901526715</v>
      </c>
      <c r="Q48" s="197">
        <f t="shared" si="96"/>
        <v>176.87905263570877</v>
      </c>
      <c r="R48" s="199">
        <f t="shared" si="97"/>
        <v>422.4300445516281</v>
      </c>
      <c r="S48" s="196">
        <f t="shared" si="141"/>
        <v>5267.4869583827676</v>
      </c>
      <c r="T48" s="197">
        <f t="shared" si="98"/>
        <v>3144.9669361360243</v>
      </c>
      <c r="U48" s="197">
        <f t="shared" si="98"/>
        <v>6688.0298852009628</v>
      </c>
      <c r="V48" s="197">
        <f t="shared" si="98"/>
        <v>-1420.5429268181952</v>
      </c>
      <c r="W48" s="199">
        <f t="shared" si="98"/>
        <v>1724.4240093178284</v>
      </c>
      <c r="Z48" s="204">
        <f t="shared" si="142"/>
        <v>11</v>
      </c>
      <c r="AA48" s="197">
        <f>'Energy NPV'!$D101*$AB$34</f>
        <v>22.5</v>
      </c>
      <c r="AB48" s="197">
        <f>'Energy margins'!$Z$12</f>
        <v>43.75</v>
      </c>
      <c r="AC48" s="197">
        <f t="shared" si="143"/>
        <v>984.375</v>
      </c>
      <c r="AD48" s="197">
        <f>'Margins summary'!$W$14</f>
        <v>330</v>
      </c>
      <c r="AE48" s="197">
        <f t="shared" si="99"/>
        <v>1314.375</v>
      </c>
      <c r="AF48" s="197"/>
      <c r="AG48" s="918">
        <f>'Energy NPV'!U101</f>
        <v>418.53934399999991</v>
      </c>
      <c r="AH48" s="197"/>
      <c r="AI48" s="197">
        <f t="shared" si="100"/>
        <v>418.53934399999991</v>
      </c>
      <c r="AJ48" s="197">
        <f t="shared" si="80"/>
        <v>565.83565600000009</v>
      </c>
      <c r="AK48" s="197">
        <f t="shared" si="81"/>
        <v>895.83565600000009</v>
      </c>
      <c r="AL48" s="196">
        <f t="shared" si="101"/>
        <v>732.4674474764638</v>
      </c>
      <c r="AM48" s="197">
        <f t="shared" si="102"/>
        <v>245.55099191591933</v>
      </c>
      <c r="AN48" s="197">
        <f t="shared" si="103"/>
        <v>311.43257901526715</v>
      </c>
      <c r="AO48" s="197">
        <f t="shared" si="104"/>
        <v>421.03486846119671</v>
      </c>
      <c r="AP48" s="199">
        <f t="shared" si="105"/>
        <v>666.58586037711609</v>
      </c>
      <c r="AQ48" s="196">
        <f t="shared" si="144"/>
        <v>7901.2304375741496</v>
      </c>
      <c r="AR48" s="197">
        <f t="shared" si="106"/>
        <v>3144.9669361360243</v>
      </c>
      <c r="AS48" s="197">
        <f t="shared" si="106"/>
        <v>6688.0298852009628</v>
      </c>
      <c r="AT48" s="197">
        <f t="shared" si="106"/>
        <v>1213.200552373188</v>
      </c>
      <c r="AU48" s="199">
        <f t="shared" si="106"/>
        <v>4358.1674885092116</v>
      </c>
      <c r="AX48" s="204">
        <f t="shared" si="145"/>
        <v>11</v>
      </c>
      <c r="AY48" s="197">
        <f>'Energy NPV'!$D101*$AZ$34</f>
        <v>7.5</v>
      </c>
      <c r="AZ48" s="197">
        <f>'Energy margins'!$Z$12</f>
        <v>43.75</v>
      </c>
      <c r="BA48" s="197">
        <f t="shared" si="146"/>
        <v>328.125</v>
      </c>
      <c r="BB48" s="197">
        <f>'Margins summary'!$W$14</f>
        <v>330</v>
      </c>
      <c r="BC48" s="197">
        <f t="shared" si="107"/>
        <v>658.125</v>
      </c>
      <c r="BD48" s="197"/>
      <c r="BE48" s="918">
        <f>'Energy NPV'!U101</f>
        <v>418.53934399999991</v>
      </c>
      <c r="BF48" s="197"/>
      <c r="BG48" s="197">
        <f t="shared" si="108"/>
        <v>418.53934399999991</v>
      </c>
      <c r="BH48" s="197">
        <f t="shared" si="82"/>
        <v>-90.414343999999915</v>
      </c>
      <c r="BI48" s="197">
        <f t="shared" si="83"/>
        <v>239.58565600000009</v>
      </c>
      <c r="BJ48" s="196">
        <f t="shared" si="109"/>
        <v>244.15581582548796</v>
      </c>
      <c r="BK48" s="197">
        <f t="shared" si="110"/>
        <v>245.55099191591933</v>
      </c>
      <c r="BL48" s="197">
        <f t="shared" si="111"/>
        <v>311.43257901526715</v>
      </c>
      <c r="BM48" s="197">
        <f t="shared" si="112"/>
        <v>-67.276763189779174</v>
      </c>
      <c r="BN48" s="199">
        <f t="shared" si="113"/>
        <v>178.27422872614014</v>
      </c>
      <c r="BO48" s="196">
        <f t="shared" si="147"/>
        <v>2633.7434791913838</v>
      </c>
      <c r="BP48" s="197">
        <f t="shared" si="114"/>
        <v>3144.9669361360243</v>
      </c>
      <c r="BQ48" s="197">
        <f t="shared" si="115"/>
        <v>6688.0298852009628</v>
      </c>
      <c r="BR48" s="197">
        <f t="shared" si="116"/>
        <v>-4054.2864060095794</v>
      </c>
      <c r="BS48" s="199">
        <f t="shared" si="117"/>
        <v>-909.31946987355491</v>
      </c>
      <c r="BV48" s="204">
        <f t="shared" si="148"/>
        <v>11</v>
      </c>
      <c r="BW48" s="197">
        <f>'Energy NPV'!$D101*$BX$34</f>
        <v>30</v>
      </c>
      <c r="BX48" s="197">
        <f>'Energy margins'!$Z$12</f>
        <v>43.75</v>
      </c>
      <c r="BY48" s="197">
        <f t="shared" si="84"/>
        <v>1312.5</v>
      </c>
      <c r="BZ48" s="197">
        <f>'Margins summary'!$W$14</f>
        <v>330</v>
      </c>
      <c r="CA48" s="197">
        <f t="shared" si="85"/>
        <v>1642.5</v>
      </c>
      <c r="CB48" s="197"/>
      <c r="CC48" s="918">
        <f>'Energy NPV'!U101</f>
        <v>418.53934399999991</v>
      </c>
      <c r="CD48" s="197"/>
      <c r="CE48" s="197">
        <f t="shared" si="86"/>
        <v>418.53934399999991</v>
      </c>
      <c r="CF48" s="197">
        <f t="shared" si="87"/>
        <v>893.96065600000009</v>
      </c>
      <c r="CG48" s="197">
        <f t="shared" si="88"/>
        <v>1223.9606560000002</v>
      </c>
      <c r="CH48" s="196">
        <f t="shared" si="118"/>
        <v>976.62326330195185</v>
      </c>
      <c r="CI48" s="197">
        <f t="shared" si="119"/>
        <v>245.55099191591933</v>
      </c>
      <c r="CJ48" s="197">
        <f t="shared" si="120"/>
        <v>311.43257901526715</v>
      </c>
      <c r="CK48" s="197">
        <f t="shared" si="121"/>
        <v>665.1906842866847</v>
      </c>
      <c r="CL48" s="199">
        <f t="shared" si="122"/>
        <v>910.74167620260414</v>
      </c>
      <c r="CM48" s="196">
        <f t="shared" si="123"/>
        <v>10534.973916765535</v>
      </c>
      <c r="CN48" s="197">
        <f t="shared" si="124"/>
        <v>3144.9669361360243</v>
      </c>
      <c r="CO48" s="197">
        <f t="shared" si="125"/>
        <v>6688.0298852009628</v>
      </c>
      <c r="CP48" s="197">
        <f t="shared" si="126"/>
        <v>3846.944031564572</v>
      </c>
      <c r="CQ48" s="199">
        <f t="shared" si="127"/>
        <v>6991.9109677005972</v>
      </c>
      <c r="CT48" s="204">
        <f t="shared" si="149"/>
        <v>11</v>
      </c>
      <c r="CU48" s="197">
        <f>'Energy NPV'!$D101*$CV$34</f>
        <v>0</v>
      </c>
      <c r="CV48" s="197">
        <f>'Energy margins'!$Z$12</f>
        <v>43.75</v>
      </c>
      <c r="CW48" s="197">
        <f t="shared" si="150"/>
        <v>0</v>
      </c>
      <c r="CX48" s="197">
        <f>'Margins summary'!$W$14</f>
        <v>330</v>
      </c>
      <c r="CY48" s="197">
        <f t="shared" si="128"/>
        <v>330</v>
      </c>
      <c r="CZ48" s="197"/>
      <c r="DA48" s="918">
        <f>'Energy NPV'!U101</f>
        <v>418.53934399999991</v>
      </c>
      <c r="DB48" s="197"/>
      <c r="DC48" s="197">
        <f t="shared" si="129"/>
        <v>418.53934399999991</v>
      </c>
      <c r="DD48" s="197">
        <f t="shared" si="89"/>
        <v>-418.53934399999991</v>
      </c>
      <c r="DE48" s="197">
        <f t="shared" si="90"/>
        <v>-88.539343999999915</v>
      </c>
      <c r="DF48" s="196">
        <f t="shared" si="130"/>
        <v>0</v>
      </c>
      <c r="DG48" s="197">
        <f t="shared" si="131"/>
        <v>245.55099191591933</v>
      </c>
      <c r="DH48" s="197">
        <f t="shared" si="132"/>
        <v>311.43257901526715</v>
      </c>
      <c r="DI48" s="197">
        <f t="shared" si="133"/>
        <v>-311.43257901526715</v>
      </c>
      <c r="DJ48" s="199">
        <f t="shared" si="134"/>
        <v>-65.881587099347811</v>
      </c>
      <c r="DK48" s="196">
        <f t="shared" si="151"/>
        <v>0</v>
      </c>
      <c r="DL48" s="197">
        <f t="shared" si="135"/>
        <v>3144.9669361360243</v>
      </c>
      <c r="DM48" s="197">
        <f t="shared" si="136"/>
        <v>6688.0298852009628</v>
      </c>
      <c r="DN48" s="197">
        <f t="shared" si="137"/>
        <v>-6688.0298852009628</v>
      </c>
      <c r="DO48" s="199">
        <f t="shared" si="138"/>
        <v>-3543.0629490649385</v>
      </c>
    </row>
    <row r="49" spans="2:129" x14ac:dyDescent="0.3">
      <c r="B49" s="204">
        <f t="shared" si="139"/>
        <v>12</v>
      </c>
      <c r="C49" s="225">
        <f>'Energy NPV'!$D102*$E$34</f>
        <v>15</v>
      </c>
      <c r="D49" s="197">
        <f>'Energy margins'!$Z$12</f>
        <v>43.75</v>
      </c>
      <c r="E49" s="197">
        <f t="shared" si="140"/>
        <v>656.25</v>
      </c>
      <c r="F49" s="197">
        <f>'Margins summary'!$W$14</f>
        <v>330</v>
      </c>
      <c r="G49" s="197">
        <f t="shared" si="91"/>
        <v>986.25</v>
      </c>
      <c r="H49" s="197"/>
      <c r="I49" s="918">
        <f>'Energy NPV'!U102</f>
        <v>418.53934399999991</v>
      </c>
      <c r="J49" s="197"/>
      <c r="K49" s="197">
        <f t="shared" si="92"/>
        <v>418.53934399999991</v>
      </c>
      <c r="L49" s="197">
        <f t="shared" si="78"/>
        <v>237.71065600000009</v>
      </c>
      <c r="M49" s="197">
        <f t="shared" si="79"/>
        <v>567.71065600000009</v>
      </c>
      <c r="N49" s="196">
        <f t="shared" si="93"/>
        <v>474.08896276793774</v>
      </c>
      <c r="O49" s="197">
        <f t="shared" si="94"/>
        <v>238.39902127759154</v>
      </c>
      <c r="P49" s="197">
        <f t="shared" si="95"/>
        <v>302.36172719928845</v>
      </c>
      <c r="Q49" s="197">
        <f t="shared" si="96"/>
        <v>171.72723556864929</v>
      </c>
      <c r="R49" s="199">
        <f t="shared" si="97"/>
        <v>410.12625684624084</v>
      </c>
      <c r="S49" s="196">
        <f t="shared" si="141"/>
        <v>5741.5759211507057</v>
      </c>
      <c r="T49" s="197">
        <f t="shared" si="98"/>
        <v>3383.3659574136159</v>
      </c>
      <c r="U49" s="197">
        <f t="shared" si="98"/>
        <v>6990.3916124002517</v>
      </c>
      <c r="V49" s="197">
        <f t="shared" si="98"/>
        <v>-1248.8156912495458</v>
      </c>
      <c r="W49" s="199">
        <f t="shared" si="98"/>
        <v>2134.5502661640694</v>
      </c>
      <c r="Z49" s="204">
        <f t="shared" si="142"/>
        <v>12</v>
      </c>
      <c r="AA49" s="197">
        <f>'Energy NPV'!$D102*$AB$34</f>
        <v>22.5</v>
      </c>
      <c r="AB49" s="197">
        <f>'Energy margins'!$Z$12</f>
        <v>43.75</v>
      </c>
      <c r="AC49" s="197">
        <f t="shared" si="143"/>
        <v>984.375</v>
      </c>
      <c r="AD49" s="197">
        <f>'Margins summary'!$W$14</f>
        <v>330</v>
      </c>
      <c r="AE49" s="197">
        <f t="shared" si="99"/>
        <v>1314.375</v>
      </c>
      <c r="AF49" s="197"/>
      <c r="AG49" s="918">
        <f>'Energy NPV'!U102</f>
        <v>418.53934399999991</v>
      </c>
      <c r="AH49" s="197"/>
      <c r="AI49" s="197">
        <f t="shared" si="100"/>
        <v>418.53934399999991</v>
      </c>
      <c r="AJ49" s="197">
        <f t="shared" si="80"/>
        <v>565.83565600000009</v>
      </c>
      <c r="AK49" s="197">
        <f t="shared" si="81"/>
        <v>895.83565600000009</v>
      </c>
      <c r="AL49" s="196">
        <f t="shared" si="101"/>
        <v>711.13344415190659</v>
      </c>
      <c r="AM49" s="197">
        <f t="shared" si="102"/>
        <v>238.39902127759154</v>
      </c>
      <c r="AN49" s="197">
        <f t="shared" si="103"/>
        <v>302.36172719928845</v>
      </c>
      <c r="AO49" s="197">
        <f t="shared" si="104"/>
        <v>408.77171695261819</v>
      </c>
      <c r="AP49" s="199">
        <f t="shared" si="105"/>
        <v>647.17073823020974</v>
      </c>
      <c r="AQ49" s="196">
        <f t="shared" si="144"/>
        <v>8612.3638817260562</v>
      </c>
      <c r="AR49" s="197">
        <f t="shared" si="106"/>
        <v>3383.3659574136159</v>
      </c>
      <c r="AS49" s="197">
        <f t="shared" si="106"/>
        <v>6990.3916124002517</v>
      </c>
      <c r="AT49" s="197">
        <f t="shared" si="106"/>
        <v>1621.9722693258061</v>
      </c>
      <c r="AU49" s="199">
        <f t="shared" si="106"/>
        <v>5005.3382267394209</v>
      </c>
      <c r="AX49" s="204">
        <f t="shared" si="145"/>
        <v>12</v>
      </c>
      <c r="AY49" s="197">
        <f>'Energy NPV'!$D102*$AZ$34</f>
        <v>7.5</v>
      </c>
      <c r="AZ49" s="197">
        <f>'Energy margins'!$Z$12</f>
        <v>43.75</v>
      </c>
      <c r="BA49" s="197">
        <f t="shared" si="146"/>
        <v>328.125</v>
      </c>
      <c r="BB49" s="197">
        <f>'Margins summary'!$W$14</f>
        <v>330</v>
      </c>
      <c r="BC49" s="197">
        <f t="shared" si="107"/>
        <v>658.125</v>
      </c>
      <c r="BD49" s="197"/>
      <c r="BE49" s="918">
        <f>'Energy NPV'!U102</f>
        <v>418.53934399999991</v>
      </c>
      <c r="BF49" s="197"/>
      <c r="BG49" s="197">
        <f t="shared" si="108"/>
        <v>418.53934399999991</v>
      </c>
      <c r="BH49" s="197">
        <f t="shared" si="82"/>
        <v>-90.414343999999915</v>
      </c>
      <c r="BI49" s="197">
        <f t="shared" si="83"/>
        <v>239.58565600000009</v>
      </c>
      <c r="BJ49" s="196">
        <f t="shared" si="109"/>
        <v>237.04448138396887</v>
      </c>
      <c r="BK49" s="197">
        <f t="shared" si="110"/>
        <v>238.39902127759154</v>
      </c>
      <c r="BL49" s="197">
        <f t="shared" si="111"/>
        <v>302.36172719928845</v>
      </c>
      <c r="BM49" s="197">
        <f t="shared" si="112"/>
        <v>-65.317245815319581</v>
      </c>
      <c r="BN49" s="199">
        <f t="shared" si="113"/>
        <v>173.08177546227196</v>
      </c>
      <c r="BO49" s="196">
        <f t="shared" si="147"/>
        <v>2870.7879605753528</v>
      </c>
      <c r="BP49" s="197">
        <f t="shared" si="114"/>
        <v>3383.3659574136159</v>
      </c>
      <c r="BQ49" s="197">
        <f t="shared" si="115"/>
        <v>6990.3916124002517</v>
      </c>
      <c r="BR49" s="197">
        <f t="shared" si="116"/>
        <v>-4119.6036518248993</v>
      </c>
      <c r="BS49" s="199">
        <f t="shared" si="117"/>
        <v>-736.23769441128297</v>
      </c>
      <c r="BV49" s="204">
        <f t="shared" si="148"/>
        <v>12</v>
      </c>
      <c r="BW49" s="197">
        <f>'Energy NPV'!$D102*$BX$34</f>
        <v>30</v>
      </c>
      <c r="BX49" s="197">
        <f>'Energy margins'!$Z$12</f>
        <v>43.75</v>
      </c>
      <c r="BY49" s="197">
        <f t="shared" si="84"/>
        <v>1312.5</v>
      </c>
      <c r="BZ49" s="197">
        <f>'Margins summary'!$W$14</f>
        <v>330</v>
      </c>
      <c r="CA49" s="197">
        <f t="shared" si="85"/>
        <v>1642.5</v>
      </c>
      <c r="CB49" s="197"/>
      <c r="CC49" s="918">
        <f>'Energy NPV'!U102</f>
        <v>418.53934399999991</v>
      </c>
      <c r="CD49" s="197"/>
      <c r="CE49" s="197">
        <f t="shared" si="86"/>
        <v>418.53934399999991</v>
      </c>
      <c r="CF49" s="197">
        <f t="shared" si="87"/>
        <v>893.96065600000009</v>
      </c>
      <c r="CG49" s="197">
        <f t="shared" si="88"/>
        <v>1223.9606560000002</v>
      </c>
      <c r="CH49" s="196">
        <f t="shared" si="118"/>
        <v>948.17792553587549</v>
      </c>
      <c r="CI49" s="197">
        <f t="shared" si="119"/>
        <v>238.39902127759154</v>
      </c>
      <c r="CJ49" s="197">
        <f t="shared" si="120"/>
        <v>302.36172719928845</v>
      </c>
      <c r="CK49" s="197">
        <f t="shared" si="121"/>
        <v>645.81619833658704</v>
      </c>
      <c r="CL49" s="199">
        <f t="shared" si="122"/>
        <v>884.21521961417864</v>
      </c>
      <c r="CM49" s="196">
        <f t="shared" si="123"/>
        <v>11483.151842301411</v>
      </c>
      <c r="CN49" s="197">
        <f t="shared" si="124"/>
        <v>3383.3659574136159</v>
      </c>
      <c r="CO49" s="197">
        <f t="shared" si="125"/>
        <v>6990.3916124002517</v>
      </c>
      <c r="CP49" s="197">
        <f t="shared" si="126"/>
        <v>4492.7602299011587</v>
      </c>
      <c r="CQ49" s="199">
        <f t="shared" si="127"/>
        <v>7876.126187314776</v>
      </c>
      <c r="CT49" s="204">
        <f t="shared" si="149"/>
        <v>12</v>
      </c>
      <c r="CU49" s="197">
        <f>'Energy NPV'!$D102*$CV$34</f>
        <v>0</v>
      </c>
      <c r="CV49" s="197">
        <f>'Energy margins'!$Z$12</f>
        <v>43.75</v>
      </c>
      <c r="CW49" s="197">
        <f t="shared" si="150"/>
        <v>0</v>
      </c>
      <c r="CX49" s="197">
        <f>'Margins summary'!$W$14</f>
        <v>330</v>
      </c>
      <c r="CY49" s="197">
        <f t="shared" si="128"/>
        <v>330</v>
      </c>
      <c r="CZ49" s="197"/>
      <c r="DA49" s="918">
        <f>'Energy NPV'!U102</f>
        <v>418.53934399999991</v>
      </c>
      <c r="DB49" s="197"/>
      <c r="DC49" s="197">
        <f t="shared" si="129"/>
        <v>418.53934399999991</v>
      </c>
      <c r="DD49" s="197">
        <f t="shared" si="89"/>
        <v>-418.53934399999991</v>
      </c>
      <c r="DE49" s="197">
        <f t="shared" si="90"/>
        <v>-88.539343999999915</v>
      </c>
      <c r="DF49" s="196">
        <f t="shared" si="130"/>
        <v>0</v>
      </c>
      <c r="DG49" s="197">
        <f t="shared" si="131"/>
        <v>238.39902127759154</v>
      </c>
      <c r="DH49" s="197">
        <f t="shared" si="132"/>
        <v>302.36172719928845</v>
      </c>
      <c r="DI49" s="197">
        <f t="shared" si="133"/>
        <v>-302.36172719928845</v>
      </c>
      <c r="DJ49" s="199">
        <f t="shared" si="134"/>
        <v>-63.962705921696902</v>
      </c>
      <c r="DK49" s="196">
        <f t="shared" si="151"/>
        <v>0</v>
      </c>
      <c r="DL49" s="197">
        <f t="shared" si="135"/>
        <v>3383.3659574136159</v>
      </c>
      <c r="DM49" s="197">
        <f t="shared" si="136"/>
        <v>6990.3916124002517</v>
      </c>
      <c r="DN49" s="197">
        <f t="shared" si="137"/>
        <v>-6990.3916124002517</v>
      </c>
      <c r="DO49" s="199">
        <f t="shared" si="138"/>
        <v>-3607.0256549866353</v>
      </c>
    </row>
    <row r="50" spans="2:129" x14ac:dyDescent="0.3">
      <c r="B50" s="204">
        <f t="shared" si="139"/>
        <v>13</v>
      </c>
      <c r="C50" s="225">
        <f>'Energy NPV'!$D103*$E$34</f>
        <v>15</v>
      </c>
      <c r="D50" s="197">
        <f>'Energy margins'!$Z$12</f>
        <v>43.75</v>
      </c>
      <c r="E50" s="197">
        <f t="shared" si="140"/>
        <v>656.25</v>
      </c>
      <c r="F50" s="197">
        <f>'Margins summary'!$W$14</f>
        <v>330</v>
      </c>
      <c r="G50" s="197">
        <f t="shared" si="91"/>
        <v>986.25</v>
      </c>
      <c r="H50" s="197"/>
      <c r="I50" s="918">
        <f>'Energy NPV'!U103</f>
        <v>418.53934399999991</v>
      </c>
      <c r="J50" s="197"/>
      <c r="K50" s="197">
        <f t="shared" si="92"/>
        <v>418.53934399999991</v>
      </c>
      <c r="L50" s="197">
        <f t="shared" si="78"/>
        <v>237.71065600000009</v>
      </c>
      <c r="M50" s="197">
        <f t="shared" si="79"/>
        <v>567.71065600000009</v>
      </c>
      <c r="N50" s="196">
        <f t="shared" si="93"/>
        <v>460.28054637663865</v>
      </c>
      <c r="O50" s="197">
        <f t="shared" si="94"/>
        <v>231.45536046368116</v>
      </c>
      <c r="P50" s="197">
        <f t="shared" si="95"/>
        <v>293.55507495076552</v>
      </c>
      <c r="Q50" s="197">
        <f t="shared" si="96"/>
        <v>166.72547142587314</v>
      </c>
      <c r="R50" s="199">
        <f t="shared" si="97"/>
        <v>398.18083188955427</v>
      </c>
      <c r="S50" s="196">
        <f t="shared" si="141"/>
        <v>6201.8564675273446</v>
      </c>
      <c r="T50" s="197">
        <f t="shared" si="98"/>
        <v>3614.8213178772971</v>
      </c>
      <c r="U50" s="197">
        <f t="shared" si="98"/>
        <v>7283.9466873510173</v>
      </c>
      <c r="V50" s="197">
        <f t="shared" si="98"/>
        <v>-1082.0902198236727</v>
      </c>
      <c r="W50" s="199">
        <f t="shared" si="98"/>
        <v>2532.7310980536236</v>
      </c>
      <c r="Z50" s="204">
        <f t="shared" si="142"/>
        <v>13</v>
      </c>
      <c r="AA50" s="197">
        <f>'Energy NPV'!$D103*$AB$34</f>
        <v>22.5</v>
      </c>
      <c r="AB50" s="197">
        <f>'Energy margins'!$Z$12</f>
        <v>43.75</v>
      </c>
      <c r="AC50" s="197">
        <f t="shared" si="143"/>
        <v>984.375</v>
      </c>
      <c r="AD50" s="197">
        <f>'Margins summary'!$W$14</f>
        <v>330</v>
      </c>
      <c r="AE50" s="197">
        <f t="shared" si="99"/>
        <v>1314.375</v>
      </c>
      <c r="AF50" s="197"/>
      <c r="AG50" s="918">
        <f>'Energy NPV'!U103</f>
        <v>418.53934399999991</v>
      </c>
      <c r="AH50" s="197"/>
      <c r="AI50" s="197">
        <f t="shared" si="100"/>
        <v>418.53934399999991</v>
      </c>
      <c r="AJ50" s="197">
        <f t="shared" si="80"/>
        <v>565.83565600000009</v>
      </c>
      <c r="AK50" s="197">
        <f t="shared" si="81"/>
        <v>895.83565600000009</v>
      </c>
      <c r="AL50" s="196">
        <f t="shared" si="101"/>
        <v>690.42081956495804</v>
      </c>
      <c r="AM50" s="197">
        <f t="shared" si="102"/>
        <v>231.45536046368116</v>
      </c>
      <c r="AN50" s="197">
        <f t="shared" si="103"/>
        <v>293.55507495076552</v>
      </c>
      <c r="AO50" s="197">
        <f t="shared" si="104"/>
        <v>396.86574461419247</v>
      </c>
      <c r="AP50" s="199">
        <f t="shared" si="105"/>
        <v>628.32110507787365</v>
      </c>
      <c r="AQ50" s="196">
        <f t="shared" si="144"/>
        <v>9302.7847012910133</v>
      </c>
      <c r="AR50" s="197">
        <f t="shared" si="106"/>
        <v>3614.8213178772971</v>
      </c>
      <c r="AS50" s="197">
        <f t="shared" si="106"/>
        <v>7283.9466873510173</v>
      </c>
      <c r="AT50" s="197">
        <f t="shared" si="106"/>
        <v>2018.8380139399985</v>
      </c>
      <c r="AU50" s="199">
        <f t="shared" si="106"/>
        <v>5633.6593318172945</v>
      </c>
      <c r="AX50" s="204">
        <f t="shared" si="145"/>
        <v>13</v>
      </c>
      <c r="AY50" s="197">
        <f>'Energy NPV'!$D103*$AZ$34</f>
        <v>7.5</v>
      </c>
      <c r="AZ50" s="197">
        <f>'Energy margins'!$Z$12</f>
        <v>43.75</v>
      </c>
      <c r="BA50" s="197">
        <f t="shared" si="146"/>
        <v>328.125</v>
      </c>
      <c r="BB50" s="197">
        <f>'Margins summary'!$W$14</f>
        <v>330</v>
      </c>
      <c r="BC50" s="197">
        <f t="shared" si="107"/>
        <v>658.125</v>
      </c>
      <c r="BD50" s="197"/>
      <c r="BE50" s="918">
        <f>'Energy NPV'!U103</f>
        <v>418.53934399999991</v>
      </c>
      <c r="BF50" s="197"/>
      <c r="BG50" s="197">
        <f t="shared" si="108"/>
        <v>418.53934399999991</v>
      </c>
      <c r="BH50" s="197">
        <f t="shared" si="82"/>
        <v>-90.414343999999915</v>
      </c>
      <c r="BI50" s="197">
        <f t="shared" si="83"/>
        <v>239.58565600000009</v>
      </c>
      <c r="BJ50" s="196">
        <f t="shared" si="109"/>
        <v>230.14027318831933</v>
      </c>
      <c r="BK50" s="197">
        <f t="shared" si="110"/>
        <v>231.45536046368116</v>
      </c>
      <c r="BL50" s="197">
        <f t="shared" si="111"/>
        <v>293.55507495076552</v>
      </c>
      <c r="BM50" s="197">
        <f t="shared" si="112"/>
        <v>-63.414801762446203</v>
      </c>
      <c r="BN50" s="199">
        <f t="shared" si="113"/>
        <v>168.04055870123494</v>
      </c>
      <c r="BO50" s="196">
        <f t="shared" si="147"/>
        <v>3100.9282337636723</v>
      </c>
      <c r="BP50" s="197">
        <f t="shared" si="114"/>
        <v>3614.8213178772971</v>
      </c>
      <c r="BQ50" s="197">
        <f t="shared" si="115"/>
        <v>7283.9466873510173</v>
      </c>
      <c r="BR50" s="197">
        <f t="shared" si="116"/>
        <v>-4183.0184535873459</v>
      </c>
      <c r="BS50" s="199">
        <f t="shared" si="117"/>
        <v>-568.19713571004809</v>
      </c>
      <c r="BV50" s="204">
        <f t="shared" si="148"/>
        <v>13</v>
      </c>
      <c r="BW50" s="197">
        <f>'Energy NPV'!$D103*$BX$34</f>
        <v>30</v>
      </c>
      <c r="BX50" s="197">
        <f>'Energy margins'!$Z$12</f>
        <v>43.75</v>
      </c>
      <c r="BY50" s="197">
        <f t="shared" si="84"/>
        <v>1312.5</v>
      </c>
      <c r="BZ50" s="197">
        <f>'Margins summary'!$W$14</f>
        <v>330</v>
      </c>
      <c r="CA50" s="197">
        <f t="shared" si="85"/>
        <v>1642.5</v>
      </c>
      <c r="CB50" s="197"/>
      <c r="CC50" s="918">
        <f>'Energy NPV'!U103</f>
        <v>418.53934399999991</v>
      </c>
      <c r="CD50" s="197"/>
      <c r="CE50" s="197">
        <f t="shared" si="86"/>
        <v>418.53934399999991</v>
      </c>
      <c r="CF50" s="197">
        <f t="shared" si="87"/>
        <v>893.96065600000009</v>
      </c>
      <c r="CG50" s="197">
        <f t="shared" si="88"/>
        <v>1223.9606560000002</v>
      </c>
      <c r="CH50" s="196">
        <f t="shared" si="118"/>
        <v>920.56109275327731</v>
      </c>
      <c r="CI50" s="197">
        <f t="shared" si="119"/>
        <v>231.45536046368116</v>
      </c>
      <c r="CJ50" s="197">
        <f t="shared" si="120"/>
        <v>293.55507495076552</v>
      </c>
      <c r="CK50" s="197">
        <f t="shared" si="121"/>
        <v>627.00601780251179</v>
      </c>
      <c r="CL50" s="199">
        <f t="shared" si="122"/>
        <v>858.46137826619304</v>
      </c>
      <c r="CM50" s="196">
        <f t="shared" si="123"/>
        <v>12403.712935054689</v>
      </c>
      <c r="CN50" s="197">
        <f t="shared" si="124"/>
        <v>3614.8213178772971</v>
      </c>
      <c r="CO50" s="197">
        <f t="shared" si="125"/>
        <v>7283.9466873510173</v>
      </c>
      <c r="CP50" s="197">
        <f t="shared" si="126"/>
        <v>5119.7662477036702</v>
      </c>
      <c r="CQ50" s="199">
        <f t="shared" si="127"/>
        <v>8734.5875655809687</v>
      </c>
      <c r="CT50" s="204">
        <f t="shared" si="149"/>
        <v>13</v>
      </c>
      <c r="CU50" s="197">
        <f>'Energy NPV'!$D103*$CV$34</f>
        <v>0</v>
      </c>
      <c r="CV50" s="197">
        <f>'Energy margins'!$Z$12</f>
        <v>43.75</v>
      </c>
      <c r="CW50" s="197">
        <f t="shared" si="150"/>
        <v>0</v>
      </c>
      <c r="CX50" s="197">
        <f>'Margins summary'!$W$14</f>
        <v>330</v>
      </c>
      <c r="CY50" s="197">
        <f t="shared" si="128"/>
        <v>330</v>
      </c>
      <c r="CZ50" s="197"/>
      <c r="DA50" s="918">
        <f>'Energy NPV'!U103</f>
        <v>418.53934399999991</v>
      </c>
      <c r="DB50" s="197"/>
      <c r="DC50" s="197">
        <f t="shared" si="129"/>
        <v>418.53934399999991</v>
      </c>
      <c r="DD50" s="197">
        <f t="shared" si="89"/>
        <v>-418.53934399999991</v>
      </c>
      <c r="DE50" s="197">
        <f t="shared" si="90"/>
        <v>-88.539343999999915</v>
      </c>
      <c r="DF50" s="196">
        <f t="shared" si="130"/>
        <v>0</v>
      </c>
      <c r="DG50" s="197">
        <f t="shared" si="131"/>
        <v>231.45536046368116</v>
      </c>
      <c r="DH50" s="197">
        <f t="shared" si="132"/>
        <v>293.55507495076552</v>
      </c>
      <c r="DI50" s="197">
        <f t="shared" si="133"/>
        <v>-293.55507495076552</v>
      </c>
      <c r="DJ50" s="199">
        <f t="shared" si="134"/>
        <v>-62.099714487084384</v>
      </c>
      <c r="DK50" s="196">
        <f t="shared" si="151"/>
        <v>0</v>
      </c>
      <c r="DL50" s="197">
        <f t="shared" si="135"/>
        <v>3614.8213178772971</v>
      </c>
      <c r="DM50" s="197">
        <f t="shared" si="136"/>
        <v>7283.9466873510173</v>
      </c>
      <c r="DN50" s="197">
        <f t="shared" si="137"/>
        <v>-7283.9466873510173</v>
      </c>
      <c r="DO50" s="199">
        <f t="shared" si="138"/>
        <v>-3669.1253694737197</v>
      </c>
    </row>
    <row r="51" spans="2:129" x14ac:dyDescent="0.3">
      <c r="B51" s="204">
        <f t="shared" si="139"/>
        <v>14</v>
      </c>
      <c r="C51" s="225">
        <f>'Energy NPV'!$D104*$E$34</f>
        <v>15</v>
      </c>
      <c r="D51" s="197">
        <f>'Energy margins'!$Z$12</f>
        <v>43.75</v>
      </c>
      <c r="E51" s="197">
        <f t="shared" si="140"/>
        <v>656.25</v>
      </c>
      <c r="F51" s="197">
        <f>'Margins summary'!$W$14</f>
        <v>330</v>
      </c>
      <c r="G51" s="197">
        <f t="shared" si="91"/>
        <v>986.25</v>
      </c>
      <c r="H51" s="197"/>
      <c r="I51" s="918">
        <f>'Energy NPV'!U104</f>
        <v>418.53934399999991</v>
      </c>
      <c r="J51" s="197"/>
      <c r="K51" s="197">
        <f t="shared" si="92"/>
        <v>418.53934399999991</v>
      </c>
      <c r="L51" s="197">
        <f t="shared" si="78"/>
        <v>237.71065600000009</v>
      </c>
      <c r="M51" s="197">
        <f t="shared" si="79"/>
        <v>567.71065600000009</v>
      </c>
      <c r="N51" s="196">
        <f t="shared" si="93"/>
        <v>446.87431687052299</v>
      </c>
      <c r="O51" s="197">
        <f t="shared" si="94"/>
        <v>224.71394219774871</v>
      </c>
      <c r="P51" s="197">
        <f t="shared" si="95"/>
        <v>285.00492713666557</v>
      </c>
      <c r="Q51" s="197">
        <f t="shared" si="96"/>
        <v>161.86938973385742</v>
      </c>
      <c r="R51" s="199">
        <f t="shared" si="97"/>
        <v>386.5833319316061</v>
      </c>
      <c r="S51" s="196">
        <f t="shared" si="141"/>
        <v>6648.7307843978679</v>
      </c>
      <c r="T51" s="197">
        <f t="shared" si="98"/>
        <v>3839.5352600750457</v>
      </c>
      <c r="U51" s="197">
        <f t="shared" si="98"/>
        <v>7568.9516144876825</v>
      </c>
      <c r="V51" s="197">
        <f t="shared" si="98"/>
        <v>-920.22083008981531</v>
      </c>
      <c r="W51" s="199">
        <f t="shared" si="98"/>
        <v>2919.3144299852297</v>
      </c>
      <c r="Z51" s="204">
        <f t="shared" si="142"/>
        <v>14</v>
      </c>
      <c r="AA51" s="197">
        <f>'Energy NPV'!$D104*$AB$34</f>
        <v>22.5</v>
      </c>
      <c r="AB51" s="197">
        <f>'Energy margins'!$Z$12</f>
        <v>43.75</v>
      </c>
      <c r="AC51" s="197">
        <f t="shared" si="143"/>
        <v>984.375</v>
      </c>
      <c r="AD51" s="197">
        <f>'Margins summary'!$W$14</f>
        <v>330</v>
      </c>
      <c r="AE51" s="197">
        <f t="shared" si="99"/>
        <v>1314.375</v>
      </c>
      <c r="AF51" s="197"/>
      <c r="AG51" s="918">
        <f>'Energy NPV'!U104</f>
        <v>418.53934399999991</v>
      </c>
      <c r="AH51" s="197"/>
      <c r="AI51" s="197">
        <f t="shared" si="100"/>
        <v>418.53934399999991</v>
      </c>
      <c r="AJ51" s="197">
        <f t="shared" si="80"/>
        <v>565.83565600000009</v>
      </c>
      <c r="AK51" s="197">
        <f t="shared" si="81"/>
        <v>895.83565600000009</v>
      </c>
      <c r="AL51" s="196">
        <f t="shared" si="101"/>
        <v>670.31147530578448</v>
      </c>
      <c r="AM51" s="197">
        <f t="shared" si="102"/>
        <v>224.71394219774871</v>
      </c>
      <c r="AN51" s="197">
        <f t="shared" si="103"/>
        <v>285.00492713666557</v>
      </c>
      <c r="AO51" s="197">
        <f t="shared" si="104"/>
        <v>385.30654816911891</v>
      </c>
      <c r="AP51" s="199">
        <f t="shared" si="105"/>
        <v>610.02049036686765</v>
      </c>
      <c r="AQ51" s="196">
        <f t="shared" si="144"/>
        <v>9973.0961765967986</v>
      </c>
      <c r="AR51" s="197">
        <f t="shared" si="106"/>
        <v>3839.5352600750457</v>
      </c>
      <c r="AS51" s="197">
        <f t="shared" si="106"/>
        <v>7568.9516144876825</v>
      </c>
      <c r="AT51" s="197">
        <f t="shared" si="106"/>
        <v>2404.1445621091175</v>
      </c>
      <c r="AU51" s="199">
        <f t="shared" si="106"/>
        <v>6243.6798221841618</v>
      </c>
      <c r="AX51" s="204">
        <f t="shared" si="145"/>
        <v>14</v>
      </c>
      <c r="AY51" s="197">
        <f>'Energy NPV'!$D104*$AZ$34</f>
        <v>7.5</v>
      </c>
      <c r="AZ51" s="197">
        <f>'Energy margins'!$Z$12</f>
        <v>43.75</v>
      </c>
      <c r="BA51" s="197">
        <f t="shared" si="146"/>
        <v>328.125</v>
      </c>
      <c r="BB51" s="197">
        <f>'Margins summary'!$W$14</f>
        <v>330</v>
      </c>
      <c r="BC51" s="197">
        <f t="shared" si="107"/>
        <v>658.125</v>
      </c>
      <c r="BD51" s="197"/>
      <c r="BE51" s="918">
        <f>'Energy NPV'!U104</f>
        <v>418.53934399999991</v>
      </c>
      <c r="BF51" s="197"/>
      <c r="BG51" s="197">
        <f t="shared" si="108"/>
        <v>418.53934399999991</v>
      </c>
      <c r="BH51" s="197">
        <f t="shared" si="82"/>
        <v>-90.414343999999915</v>
      </c>
      <c r="BI51" s="197">
        <f t="shared" si="83"/>
        <v>239.58565600000009</v>
      </c>
      <c r="BJ51" s="196">
        <f t="shared" si="109"/>
        <v>223.43715843526149</v>
      </c>
      <c r="BK51" s="197">
        <f t="shared" si="110"/>
        <v>224.71394219774871</v>
      </c>
      <c r="BL51" s="197">
        <f t="shared" si="111"/>
        <v>285.00492713666557</v>
      </c>
      <c r="BM51" s="197">
        <f t="shared" si="112"/>
        <v>-61.567768701404084</v>
      </c>
      <c r="BN51" s="199">
        <f t="shared" si="113"/>
        <v>163.14617349634463</v>
      </c>
      <c r="BO51" s="196">
        <f t="shared" si="147"/>
        <v>3324.3653921989339</v>
      </c>
      <c r="BP51" s="197">
        <f t="shared" si="114"/>
        <v>3839.5352600750457</v>
      </c>
      <c r="BQ51" s="197">
        <f t="shared" si="115"/>
        <v>7568.9516144876825</v>
      </c>
      <c r="BR51" s="197">
        <f t="shared" si="116"/>
        <v>-4244.5862222887499</v>
      </c>
      <c r="BS51" s="199">
        <f t="shared" si="117"/>
        <v>-405.05096221370343</v>
      </c>
      <c r="BV51" s="204">
        <f t="shared" si="148"/>
        <v>14</v>
      </c>
      <c r="BW51" s="197">
        <f>'Energy NPV'!$D104*$BX$34</f>
        <v>30</v>
      </c>
      <c r="BX51" s="197">
        <f>'Energy margins'!$Z$12</f>
        <v>43.75</v>
      </c>
      <c r="BY51" s="197">
        <f t="shared" si="84"/>
        <v>1312.5</v>
      </c>
      <c r="BZ51" s="197">
        <f>'Margins summary'!$W$14</f>
        <v>330</v>
      </c>
      <c r="CA51" s="197">
        <f t="shared" si="85"/>
        <v>1642.5</v>
      </c>
      <c r="CB51" s="197"/>
      <c r="CC51" s="918">
        <f>'Energy NPV'!U104</f>
        <v>418.53934399999991</v>
      </c>
      <c r="CD51" s="197"/>
      <c r="CE51" s="197">
        <f t="shared" si="86"/>
        <v>418.53934399999991</v>
      </c>
      <c r="CF51" s="197">
        <f t="shared" si="87"/>
        <v>893.96065600000009</v>
      </c>
      <c r="CG51" s="197">
        <f t="shared" si="88"/>
        <v>1223.9606560000002</v>
      </c>
      <c r="CH51" s="196">
        <f t="shared" si="118"/>
        <v>893.74863374104598</v>
      </c>
      <c r="CI51" s="197">
        <f t="shared" si="119"/>
        <v>224.71394219774871</v>
      </c>
      <c r="CJ51" s="197">
        <f t="shared" si="120"/>
        <v>285.00492713666557</v>
      </c>
      <c r="CK51" s="197">
        <f t="shared" si="121"/>
        <v>608.74370660438046</v>
      </c>
      <c r="CL51" s="199">
        <f t="shared" si="122"/>
        <v>833.45764880212926</v>
      </c>
      <c r="CM51" s="196">
        <f t="shared" si="123"/>
        <v>13297.461568795736</v>
      </c>
      <c r="CN51" s="197">
        <f t="shared" si="124"/>
        <v>3839.5352600750457</v>
      </c>
      <c r="CO51" s="197">
        <f t="shared" si="125"/>
        <v>7568.9516144876825</v>
      </c>
      <c r="CP51" s="197">
        <f t="shared" si="126"/>
        <v>5728.5099543080505</v>
      </c>
      <c r="CQ51" s="199">
        <f t="shared" si="127"/>
        <v>9568.0452143830971</v>
      </c>
      <c r="CT51" s="204">
        <f t="shared" si="149"/>
        <v>14</v>
      </c>
      <c r="CU51" s="197">
        <f>'Energy NPV'!$D104*$CV$34</f>
        <v>0</v>
      </c>
      <c r="CV51" s="197">
        <f>'Energy margins'!$Z$12</f>
        <v>43.75</v>
      </c>
      <c r="CW51" s="197">
        <f t="shared" si="150"/>
        <v>0</v>
      </c>
      <c r="CX51" s="197">
        <f>'Margins summary'!$W$14</f>
        <v>330</v>
      </c>
      <c r="CY51" s="197">
        <f t="shared" si="128"/>
        <v>330</v>
      </c>
      <c r="CZ51" s="197"/>
      <c r="DA51" s="918">
        <f>'Energy NPV'!U104</f>
        <v>418.53934399999991</v>
      </c>
      <c r="DB51" s="197"/>
      <c r="DC51" s="197">
        <f t="shared" si="129"/>
        <v>418.53934399999991</v>
      </c>
      <c r="DD51" s="197">
        <f t="shared" si="89"/>
        <v>-418.53934399999991</v>
      </c>
      <c r="DE51" s="197">
        <f t="shared" si="90"/>
        <v>-88.539343999999915</v>
      </c>
      <c r="DF51" s="196">
        <f t="shared" si="130"/>
        <v>0</v>
      </c>
      <c r="DG51" s="197">
        <f t="shared" si="131"/>
        <v>224.71394219774871</v>
      </c>
      <c r="DH51" s="197">
        <f t="shared" si="132"/>
        <v>285.00492713666557</v>
      </c>
      <c r="DI51" s="197">
        <f t="shared" si="133"/>
        <v>-285.00492713666557</v>
      </c>
      <c r="DJ51" s="199">
        <f t="shared" si="134"/>
        <v>-60.290984938916878</v>
      </c>
      <c r="DK51" s="196">
        <f t="shared" si="151"/>
        <v>0</v>
      </c>
      <c r="DL51" s="197">
        <f t="shared" si="135"/>
        <v>3839.5352600750457</v>
      </c>
      <c r="DM51" s="197">
        <f t="shared" si="136"/>
        <v>7568.9516144876825</v>
      </c>
      <c r="DN51" s="197">
        <f t="shared" si="137"/>
        <v>-7568.9516144876825</v>
      </c>
      <c r="DO51" s="199">
        <f t="shared" si="138"/>
        <v>-3729.4163544126368</v>
      </c>
    </row>
    <row r="52" spans="2:129" x14ac:dyDescent="0.3">
      <c r="B52" s="204">
        <f t="shared" si="139"/>
        <v>15</v>
      </c>
      <c r="C52" s="225">
        <f>'Energy NPV'!$D105*$E$34</f>
        <v>15</v>
      </c>
      <c r="D52" s="197">
        <f>'Energy margins'!$Z$12</f>
        <v>43.75</v>
      </c>
      <c r="E52" s="197">
        <f t="shared" si="140"/>
        <v>656.25</v>
      </c>
      <c r="F52" s="197">
        <f>'Margins summary'!$W$14</f>
        <v>330</v>
      </c>
      <c r="G52" s="197">
        <f t="shared" si="91"/>
        <v>986.25</v>
      </c>
      <c r="H52" s="197"/>
      <c r="I52" s="918">
        <f>'Energy NPV'!U105</f>
        <v>418.53934399999991</v>
      </c>
      <c r="J52" s="197"/>
      <c r="K52" s="197">
        <f t="shared" si="92"/>
        <v>418.53934399999991</v>
      </c>
      <c r="L52" s="197">
        <f t="shared" si="78"/>
        <v>237.71065600000009</v>
      </c>
      <c r="M52" s="197">
        <f t="shared" si="79"/>
        <v>567.71065600000009</v>
      </c>
      <c r="N52" s="196">
        <f t="shared" si="93"/>
        <v>433.85856006846888</v>
      </c>
      <c r="O52" s="197">
        <f t="shared" si="94"/>
        <v>218.16887592014436</v>
      </c>
      <c r="P52" s="197">
        <f t="shared" si="95"/>
        <v>276.70381275404424</v>
      </c>
      <c r="Q52" s="197">
        <f t="shared" si="96"/>
        <v>157.15474731442467</v>
      </c>
      <c r="R52" s="199">
        <f t="shared" si="97"/>
        <v>375.32362323456903</v>
      </c>
      <c r="S52" s="196">
        <f t="shared" si="141"/>
        <v>7082.589344466337</v>
      </c>
      <c r="T52" s="197">
        <f t="shared" si="98"/>
        <v>4057.70413599519</v>
      </c>
      <c r="U52" s="197">
        <f t="shared" si="98"/>
        <v>7845.655427241727</v>
      </c>
      <c r="V52" s="197">
        <f t="shared" si="98"/>
        <v>-763.06608277539067</v>
      </c>
      <c r="W52" s="199">
        <f t="shared" si="98"/>
        <v>3294.6380532197986</v>
      </c>
      <c r="Z52" s="204">
        <f t="shared" si="142"/>
        <v>15</v>
      </c>
      <c r="AA52" s="197">
        <f>'Energy NPV'!$D105*$AB$34</f>
        <v>22.5</v>
      </c>
      <c r="AB52" s="197">
        <f>'Energy margins'!$Z$12</f>
        <v>43.75</v>
      </c>
      <c r="AC52" s="197">
        <f t="shared" si="143"/>
        <v>984.375</v>
      </c>
      <c r="AD52" s="197">
        <f>'Margins summary'!$W$14</f>
        <v>330</v>
      </c>
      <c r="AE52" s="197">
        <f t="shared" si="99"/>
        <v>1314.375</v>
      </c>
      <c r="AF52" s="197"/>
      <c r="AG52" s="918">
        <f>'Energy NPV'!U105</f>
        <v>418.53934399999991</v>
      </c>
      <c r="AH52" s="197"/>
      <c r="AI52" s="197">
        <f t="shared" si="100"/>
        <v>418.53934399999991</v>
      </c>
      <c r="AJ52" s="197">
        <f t="shared" si="80"/>
        <v>565.83565600000009</v>
      </c>
      <c r="AK52" s="197">
        <f t="shared" si="81"/>
        <v>895.83565600000009</v>
      </c>
      <c r="AL52" s="196">
        <f t="shared" si="101"/>
        <v>650.78784010270329</v>
      </c>
      <c r="AM52" s="197">
        <f t="shared" si="102"/>
        <v>218.16887592014436</v>
      </c>
      <c r="AN52" s="197">
        <f t="shared" si="103"/>
        <v>276.70381275404424</v>
      </c>
      <c r="AO52" s="197">
        <f t="shared" si="104"/>
        <v>374.08402734865911</v>
      </c>
      <c r="AP52" s="199">
        <f t="shared" si="105"/>
        <v>592.25290326880349</v>
      </c>
      <c r="AQ52" s="196">
        <f t="shared" si="144"/>
        <v>10623.884016699501</v>
      </c>
      <c r="AR52" s="197">
        <f t="shared" si="106"/>
        <v>4057.70413599519</v>
      </c>
      <c r="AS52" s="197">
        <f t="shared" si="106"/>
        <v>7845.655427241727</v>
      </c>
      <c r="AT52" s="197">
        <f t="shared" si="106"/>
        <v>2778.2285894577767</v>
      </c>
      <c r="AU52" s="199">
        <f t="shared" si="106"/>
        <v>6835.9327254529653</v>
      </c>
      <c r="AX52" s="204">
        <f t="shared" si="145"/>
        <v>15</v>
      </c>
      <c r="AY52" s="197">
        <f>'Energy NPV'!$D105*$AZ$34</f>
        <v>7.5</v>
      </c>
      <c r="AZ52" s="197">
        <f>'Energy margins'!$Z$12</f>
        <v>43.75</v>
      </c>
      <c r="BA52" s="197">
        <f t="shared" si="146"/>
        <v>328.125</v>
      </c>
      <c r="BB52" s="197">
        <f>'Margins summary'!$W$14</f>
        <v>330</v>
      </c>
      <c r="BC52" s="197">
        <f t="shared" si="107"/>
        <v>658.125</v>
      </c>
      <c r="BD52" s="197"/>
      <c r="BE52" s="918">
        <f>'Energy NPV'!U105</f>
        <v>418.53934399999991</v>
      </c>
      <c r="BF52" s="197"/>
      <c r="BG52" s="197">
        <f t="shared" si="108"/>
        <v>418.53934399999991</v>
      </c>
      <c r="BH52" s="197">
        <f t="shared" si="82"/>
        <v>-90.414343999999915</v>
      </c>
      <c r="BI52" s="197">
        <f t="shared" si="83"/>
        <v>239.58565600000009</v>
      </c>
      <c r="BJ52" s="196">
        <f t="shared" si="109"/>
        <v>216.92928003423444</v>
      </c>
      <c r="BK52" s="197">
        <f t="shared" si="110"/>
        <v>218.16887592014436</v>
      </c>
      <c r="BL52" s="197">
        <f t="shared" si="111"/>
        <v>276.70381275404424</v>
      </c>
      <c r="BM52" s="197">
        <f t="shared" si="112"/>
        <v>-59.774532719809784</v>
      </c>
      <c r="BN52" s="199">
        <f t="shared" si="113"/>
        <v>158.39434320033456</v>
      </c>
      <c r="BO52" s="196">
        <f t="shared" si="147"/>
        <v>3541.2946722331685</v>
      </c>
      <c r="BP52" s="197">
        <f t="shared" si="114"/>
        <v>4057.70413599519</v>
      </c>
      <c r="BQ52" s="197">
        <f t="shared" si="115"/>
        <v>7845.655427241727</v>
      </c>
      <c r="BR52" s="197">
        <f t="shared" si="116"/>
        <v>-4304.3607550085599</v>
      </c>
      <c r="BS52" s="199">
        <f t="shared" si="117"/>
        <v>-246.65661901336887</v>
      </c>
      <c r="BV52" s="204">
        <f t="shared" si="148"/>
        <v>15</v>
      </c>
      <c r="BW52" s="197">
        <f>'Energy NPV'!$D105*$BX$34</f>
        <v>30</v>
      </c>
      <c r="BX52" s="197">
        <f>'Energy margins'!$Z$12</f>
        <v>43.75</v>
      </c>
      <c r="BY52" s="197">
        <f t="shared" si="84"/>
        <v>1312.5</v>
      </c>
      <c r="BZ52" s="197">
        <f>'Margins summary'!$W$14</f>
        <v>330</v>
      </c>
      <c r="CA52" s="197">
        <f t="shared" si="85"/>
        <v>1642.5</v>
      </c>
      <c r="CB52" s="197"/>
      <c r="CC52" s="918">
        <f>'Energy NPV'!U105</f>
        <v>418.53934399999991</v>
      </c>
      <c r="CD52" s="197"/>
      <c r="CE52" s="197">
        <f t="shared" si="86"/>
        <v>418.53934399999991</v>
      </c>
      <c r="CF52" s="197">
        <f t="shared" si="87"/>
        <v>893.96065600000009</v>
      </c>
      <c r="CG52" s="197">
        <f t="shared" si="88"/>
        <v>1223.9606560000002</v>
      </c>
      <c r="CH52" s="196">
        <f t="shared" si="118"/>
        <v>867.71712013693775</v>
      </c>
      <c r="CI52" s="197">
        <f t="shared" si="119"/>
        <v>218.16887592014436</v>
      </c>
      <c r="CJ52" s="197">
        <f t="shared" si="120"/>
        <v>276.70381275404424</v>
      </c>
      <c r="CK52" s="197">
        <f t="shared" si="121"/>
        <v>591.01330738289357</v>
      </c>
      <c r="CL52" s="199">
        <f t="shared" si="122"/>
        <v>809.18218330303796</v>
      </c>
      <c r="CM52" s="196">
        <f t="shared" si="123"/>
        <v>14165.178688932674</v>
      </c>
      <c r="CN52" s="197">
        <f t="shared" si="124"/>
        <v>4057.70413599519</v>
      </c>
      <c r="CO52" s="197">
        <f t="shared" si="125"/>
        <v>7845.655427241727</v>
      </c>
      <c r="CP52" s="197">
        <f t="shared" si="126"/>
        <v>6319.5232616909443</v>
      </c>
      <c r="CQ52" s="199">
        <f t="shared" si="127"/>
        <v>10377.227397686134</v>
      </c>
      <c r="CT52" s="204">
        <f t="shared" si="149"/>
        <v>15</v>
      </c>
      <c r="CU52" s="197">
        <f>'Energy NPV'!$D105*$CV$34</f>
        <v>0</v>
      </c>
      <c r="CV52" s="197">
        <f>'Energy margins'!$Z$12</f>
        <v>43.75</v>
      </c>
      <c r="CW52" s="197">
        <f t="shared" si="150"/>
        <v>0</v>
      </c>
      <c r="CX52" s="197">
        <f>'Margins summary'!$W$14</f>
        <v>330</v>
      </c>
      <c r="CY52" s="197">
        <f t="shared" si="128"/>
        <v>330</v>
      </c>
      <c r="CZ52" s="197"/>
      <c r="DA52" s="918">
        <f>'Energy NPV'!U105</f>
        <v>418.53934399999991</v>
      </c>
      <c r="DB52" s="197"/>
      <c r="DC52" s="197">
        <f t="shared" si="129"/>
        <v>418.53934399999991</v>
      </c>
      <c r="DD52" s="197">
        <f t="shared" si="89"/>
        <v>-418.53934399999991</v>
      </c>
      <c r="DE52" s="197">
        <f t="shared" si="90"/>
        <v>-88.539343999999915</v>
      </c>
      <c r="DF52" s="196">
        <f t="shared" si="130"/>
        <v>0</v>
      </c>
      <c r="DG52" s="197">
        <f t="shared" si="131"/>
        <v>218.16887592014436</v>
      </c>
      <c r="DH52" s="197">
        <f t="shared" si="132"/>
        <v>276.70381275404424</v>
      </c>
      <c r="DI52" s="197">
        <f t="shared" si="133"/>
        <v>-276.70381275404424</v>
      </c>
      <c r="DJ52" s="199">
        <f t="shared" si="134"/>
        <v>-58.534936833899877</v>
      </c>
      <c r="DK52" s="196">
        <f t="shared" si="151"/>
        <v>0</v>
      </c>
      <c r="DL52" s="197">
        <f t="shared" si="135"/>
        <v>4057.70413599519</v>
      </c>
      <c r="DM52" s="197">
        <f t="shared" si="136"/>
        <v>7845.655427241727</v>
      </c>
      <c r="DN52" s="197">
        <f t="shared" si="137"/>
        <v>-7845.655427241727</v>
      </c>
      <c r="DO52" s="199">
        <f t="shared" si="138"/>
        <v>-3787.9512912465366</v>
      </c>
    </row>
    <row r="53" spans="2:129" x14ac:dyDescent="0.3">
      <c r="B53" s="206">
        <f t="shared" si="139"/>
        <v>16</v>
      </c>
      <c r="C53" s="226">
        <f>'Energy NPV'!$D106*$E$34</f>
        <v>15</v>
      </c>
      <c r="D53" s="207">
        <f>'Energy margins'!$Z$12</f>
        <v>43.75</v>
      </c>
      <c r="E53" s="207">
        <f t="shared" si="140"/>
        <v>656.25</v>
      </c>
      <c r="F53" s="207">
        <f>'Margins summary'!$W$14</f>
        <v>330</v>
      </c>
      <c r="G53" s="207">
        <f t="shared" si="91"/>
        <v>986.25</v>
      </c>
      <c r="H53" s="207"/>
      <c r="I53" s="919">
        <f>'Energy NPV'!U106</f>
        <v>418.53934399999991</v>
      </c>
      <c r="J53" s="207">
        <f>'Energy margins'!$AE$67</f>
        <v>192.1</v>
      </c>
      <c r="K53" s="207">
        <f t="shared" si="92"/>
        <v>610.63934399999994</v>
      </c>
      <c r="L53" s="207">
        <f t="shared" si="78"/>
        <v>45.610656000000063</v>
      </c>
      <c r="M53" s="207">
        <f t="shared" si="79"/>
        <v>375.61065600000006</v>
      </c>
      <c r="N53" s="208">
        <f>E53/(1+$B$4)^(B53-1)</f>
        <v>421.221902979096</v>
      </c>
      <c r="O53" s="207">
        <f>F53/(1+$B$4)^(B53-1)</f>
        <v>211.81444264091684</v>
      </c>
      <c r="P53" s="207">
        <f>K53/(1+$B$4)^(B53-1)</f>
        <v>391.94615849689416</v>
      </c>
      <c r="Q53" s="207">
        <f>L53/(1+$B$4)^(B53-1)</f>
        <v>29.275744482201826</v>
      </c>
      <c r="R53" s="209">
        <f>M53/(1+$B$4)^(B53-1)</f>
        <v>241.09018712311865</v>
      </c>
      <c r="S53" s="208">
        <f t="shared" si="141"/>
        <v>7503.8112474454329</v>
      </c>
      <c r="T53" s="207">
        <f t="shared" si="98"/>
        <v>4269.5185786361071</v>
      </c>
      <c r="U53" s="207">
        <f t="shared" si="98"/>
        <v>8237.601585738621</v>
      </c>
      <c r="V53" s="207">
        <f t="shared" si="98"/>
        <v>-733.79033829318882</v>
      </c>
      <c r="W53" s="209">
        <f t="shared" si="98"/>
        <v>3535.7282403429172</v>
      </c>
      <c r="Z53" s="206">
        <f t="shared" si="142"/>
        <v>16</v>
      </c>
      <c r="AA53" s="207">
        <f>'Energy NPV'!$D106*$AB$34</f>
        <v>22.5</v>
      </c>
      <c r="AB53" s="207">
        <f>'Energy margins'!$Z$12</f>
        <v>43.75</v>
      </c>
      <c r="AC53" s="207">
        <f t="shared" si="143"/>
        <v>984.375</v>
      </c>
      <c r="AD53" s="207">
        <f>'Margins summary'!$W$14</f>
        <v>330</v>
      </c>
      <c r="AE53" s="207">
        <f t="shared" si="99"/>
        <v>1314.375</v>
      </c>
      <c r="AF53" s="207"/>
      <c r="AG53" s="919">
        <f>'Energy NPV'!U106</f>
        <v>418.53934399999991</v>
      </c>
      <c r="AH53" s="207">
        <f>'Energy margins'!$AE$67</f>
        <v>192.1</v>
      </c>
      <c r="AI53" s="207">
        <f t="shared" si="100"/>
        <v>610.63934399999994</v>
      </c>
      <c r="AJ53" s="207">
        <f t="shared" si="80"/>
        <v>373.73565600000006</v>
      </c>
      <c r="AK53" s="207">
        <f t="shared" si="81"/>
        <v>703.73565600000006</v>
      </c>
      <c r="AL53" s="208">
        <f>AC53/(1+$B$4)^(Z53-1)</f>
        <v>631.83285446864397</v>
      </c>
      <c r="AM53" s="207">
        <f>AD53/(1+$B$4)^(Z53-1)</f>
        <v>211.81444264091684</v>
      </c>
      <c r="AN53" s="207">
        <f>AI53/(1+$B$4)^(Z53-1)</f>
        <v>391.94615849689416</v>
      </c>
      <c r="AO53" s="207">
        <f>AJ53/(1+$B$4)^(Z53-1)</f>
        <v>239.88669597174982</v>
      </c>
      <c r="AP53" s="209">
        <f>AK53/(1+$B$4)^(Z53-1)</f>
        <v>451.70113861266663</v>
      </c>
      <c r="AQ53" s="208">
        <f t="shared" si="144"/>
        <v>11255.716871168146</v>
      </c>
      <c r="AR53" s="207">
        <f t="shared" si="106"/>
        <v>4269.5185786361071</v>
      </c>
      <c r="AS53" s="207">
        <f t="shared" si="106"/>
        <v>8237.601585738621</v>
      </c>
      <c r="AT53" s="207">
        <f t="shared" si="106"/>
        <v>3018.1152854295265</v>
      </c>
      <c r="AU53" s="209">
        <f t="shared" si="106"/>
        <v>7287.6338640656322</v>
      </c>
      <c r="AX53" s="206">
        <f t="shared" si="145"/>
        <v>16</v>
      </c>
      <c r="AY53" s="207">
        <f>'Energy NPV'!$D106*$AZ$34</f>
        <v>7.5</v>
      </c>
      <c r="AZ53" s="207">
        <f>'Energy margins'!$Z$12</f>
        <v>43.75</v>
      </c>
      <c r="BA53" s="207">
        <f t="shared" si="146"/>
        <v>328.125</v>
      </c>
      <c r="BB53" s="207">
        <f>'Margins summary'!$W$14</f>
        <v>330</v>
      </c>
      <c r="BC53" s="207">
        <f t="shared" si="107"/>
        <v>658.125</v>
      </c>
      <c r="BD53" s="207"/>
      <c r="BE53" s="919">
        <f>'Energy NPV'!U106</f>
        <v>418.53934399999991</v>
      </c>
      <c r="BF53" s="207">
        <f>'Energy margins'!$AE$67</f>
        <v>192.1</v>
      </c>
      <c r="BG53" s="207">
        <f t="shared" si="108"/>
        <v>610.63934399999994</v>
      </c>
      <c r="BH53" s="207">
        <f t="shared" si="82"/>
        <v>-282.51434399999994</v>
      </c>
      <c r="BI53" s="207">
        <f t="shared" si="83"/>
        <v>47.485656000000063</v>
      </c>
      <c r="BJ53" s="208">
        <f>BA53/(1+$B$4)^(AX53-1)</f>
        <v>210.610951489548</v>
      </c>
      <c r="BK53" s="207">
        <f>BB53/(1+$B$4)^(AX53-1)</f>
        <v>211.81444264091684</v>
      </c>
      <c r="BL53" s="207">
        <f>BG53/(1+$B$4)^(AX53-1)</f>
        <v>391.94615849689416</v>
      </c>
      <c r="BM53" s="207">
        <f>BH53/(1+$B$4)^(AX53-1)</f>
        <v>-181.33520700734616</v>
      </c>
      <c r="BN53" s="209">
        <f>BI53/(1+$B$4)^(AX53-1)</f>
        <v>30.479235633570671</v>
      </c>
      <c r="BO53" s="208">
        <f t="shared" si="147"/>
        <v>3751.9056237227164</v>
      </c>
      <c r="BP53" s="207">
        <f t="shared" si="114"/>
        <v>4269.5185786361071</v>
      </c>
      <c r="BQ53" s="207">
        <f t="shared" si="115"/>
        <v>8237.601585738621</v>
      </c>
      <c r="BR53" s="207">
        <f t="shared" si="116"/>
        <v>-4485.6959620159059</v>
      </c>
      <c r="BS53" s="209">
        <f t="shared" si="117"/>
        <v>-216.17738337979819</v>
      </c>
      <c r="BV53" s="206">
        <f t="shared" si="148"/>
        <v>16</v>
      </c>
      <c r="BW53" s="207">
        <f>'Energy NPV'!$D106*$BX$34</f>
        <v>30</v>
      </c>
      <c r="BX53" s="207">
        <f>'Energy margins'!$Z$12</f>
        <v>43.75</v>
      </c>
      <c r="BY53" s="207">
        <f t="shared" si="84"/>
        <v>1312.5</v>
      </c>
      <c r="BZ53" s="207">
        <f>'Margins summary'!$W$14</f>
        <v>330</v>
      </c>
      <c r="CA53" s="207">
        <f t="shared" si="85"/>
        <v>1642.5</v>
      </c>
      <c r="CB53" s="207"/>
      <c r="CC53" s="919">
        <f>'Energy NPV'!U106</f>
        <v>418.53934399999991</v>
      </c>
      <c r="CD53" s="207">
        <f>'Energy margins'!$AE$67</f>
        <v>192.1</v>
      </c>
      <c r="CE53" s="207">
        <f t="shared" si="86"/>
        <v>610.63934399999994</v>
      </c>
      <c r="CF53" s="207">
        <f t="shared" si="87"/>
        <v>701.86065600000006</v>
      </c>
      <c r="CG53" s="207">
        <f t="shared" si="88"/>
        <v>1031.8606560000001</v>
      </c>
      <c r="CH53" s="208">
        <f>BY53/(1+$B$4)^(BV53-1)</f>
        <v>842.443805958192</v>
      </c>
      <c r="CI53" s="207">
        <f>BZ53/(1+$B$4)^(BV53-1)</f>
        <v>211.81444264091684</v>
      </c>
      <c r="CJ53" s="207">
        <f>CE53/(1+$B$4)^(BV53-1)</f>
        <v>391.94615849689416</v>
      </c>
      <c r="CK53" s="207">
        <f>CF53/(1+$B$4)^(BV53-1)</f>
        <v>450.49764746129779</v>
      </c>
      <c r="CL53" s="209">
        <f>CG53/(1+$B$4)^(BV53-1)</f>
        <v>662.3120901022146</v>
      </c>
      <c r="CM53" s="208">
        <f t="shared" si="123"/>
        <v>15007.622494890866</v>
      </c>
      <c r="CN53" s="207">
        <f t="shared" si="124"/>
        <v>4269.5185786361071</v>
      </c>
      <c r="CO53" s="207">
        <f t="shared" si="125"/>
        <v>8237.601585738621</v>
      </c>
      <c r="CP53" s="207">
        <f t="shared" si="126"/>
        <v>6770.020909152242</v>
      </c>
      <c r="CQ53" s="209">
        <f t="shared" si="127"/>
        <v>11039.539487788348</v>
      </c>
      <c r="CT53" s="206">
        <f t="shared" si="149"/>
        <v>16</v>
      </c>
      <c r="CU53" s="207">
        <f>'Energy NPV'!$D106*$CV$34</f>
        <v>0</v>
      </c>
      <c r="CV53" s="207">
        <f>'Energy margins'!$Z$12</f>
        <v>43.75</v>
      </c>
      <c r="CW53" s="207">
        <f t="shared" si="150"/>
        <v>0</v>
      </c>
      <c r="CX53" s="207">
        <f>'Margins summary'!$W$14</f>
        <v>330</v>
      </c>
      <c r="CY53" s="207">
        <f t="shared" si="128"/>
        <v>330</v>
      </c>
      <c r="CZ53" s="207"/>
      <c r="DA53" s="919">
        <f>'Energy NPV'!U106</f>
        <v>418.53934399999991</v>
      </c>
      <c r="DB53" s="207">
        <f>'Energy margins'!$AE$67</f>
        <v>192.1</v>
      </c>
      <c r="DC53" s="207">
        <f t="shared" si="129"/>
        <v>610.63934399999994</v>
      </c>
      <c r="DD53" s="207">
        <f t="shared" si="89"/>
        <v>-610.63934399999994</v>
      </c>
      <c r="DE53" s="207">
        <f t="shared" si="90"/>
        <v>-280.63934399999994</v>
      </c>
      <c r="DF53" s="208">
        <f>CW53/(1+$B$4)^(CT53-1)</f>
        <v>0</v>
      </c>
      <c r="DG53" s="207">
        <f>CX53/(1+$B$4)^(CT53-1)</f>
        <v>211.81444264091684</v>
      </c>
      <c r="DH53" s="207">
        <f>DC53/(1+$B$4)^(CT53-1)</f>
        <v>391.94615849689416</v>
      </c>
      <c r="DI53" s="207">
        <f>DD53/(1+$B$4)^(CT53-1)</f>
        <v>-391.94615849689416</v>
      </c>
      <c r="DJ53" s="209">
        <f>DE53/(1+$B$4)^(CT53-1)</f>
        <v>-180.13171585597732</v>
      </c>
      <c r="DK53" s="208">
        <f t="shared" si="151"/>
        <v>0</v>
      </c>
      <c r="DL53" s="207">
        <f t="shared" si="135"/>
        <v>4269.5185786361071</v>
      </c>
      <c r="DM53" s="207">
        <f t="shared" si="136"/>
        <v>8237.601585738621</v>
      </c>
      <c r="DN53" s="207">
        <f t="shared" si="137"/>
        <v>-8237.601585738621</v>
      </c>
      <c r="DO53" s="209">
        <f t="shared" si="138"/>
        <v>-3968.0830071025139</v>
      </c>
    </row>
    <row r="59" spans="2:129" x14ac:dyDescent="0.3">
      <c r="B59" s="212" t="s">
        <v>285</v>
      </c>
      <c r="C59" s="763" t="s">
        <v>408</v>
      </c>
      <c r="D59" s="269" t="s">
        <v>395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285</v>
      </c>
      <c r="AC59" s="763" t="s">
        <v>400</v>
      </c>
      <c r="AD59" s="267" t="s">
        <v>302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285</v>
      </c>
      <c r="BC59" s="763" t="s">
        <v>401</v>
      </c>
      <c r="BD59" s="267" t="s">
        <v>302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285</v>
      </c>
      <c r="CC59" s="763" t="s">
        <v>402</v>
      </c>
      <c r="CD59" s="267" t="s">
        <v>302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DB59" s="212" t="s">
        <v>285</v>
      </c>
      <c r="DC59" s="763" t="s">
        <v>403</v>
      </c>
      <c r="DD59" s="267" t="s">
        <v>302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4"/>
      <c r="E60" s="158"/>
      <c r="F60" s="158"/>
      <c r="G60" s="158"/>
      <c r="H60" s="758"/>
      <c r="I60" s="758"/>
      <c r="J60" s="758"/>
      <c r="K60" s="148"/>
      <c r="L60" s="148"/>
      <c r="M60" s="758"/>
      <c r="N60" s="148"/>
      <c r="O60" s="148"/>
      <c r="P60" s="1029" t="s">
        <v>270</v>
      </c>
      <c r="Q60" s="1030"/>
      <c r="R60" s="1030"/>
      <c r="S60" s="1030"/>
      <c r="T60" s="1031"/>
      <c r="U60" s="1029" t="s">
        <v>271</v>
      </c>
      <c r="V60" s="1030"/>
      <c r="W60" s="1030"/>
      <c r="X60" s="1030"/>
      <c r="Y60" s="1031"/>
      <c r="AB60" s="203"/>
      <c r="AC60" s="64"/>
      <c r="AE60" s="158"/>
      <c r="AF60" s="158"/>
      <c r="AG60" s="158"/>
      <c r="AH60" s="758"/>
      <c r="AI60" s="758"/>
      <c r="AJ60" s="758"/>
      <c r="AK60" s="148"/>
      <c r="AL60" s="148"/>
      <c r="AM60" s="758"/>
      <c r="AN60" s="148"/>
      <c r="AO60" s="148"/>
      <c r="AP60" s="1029" t="s">
        <v>270</v>
      </c>
      <c r="AQ60" s="1030"/>
      <c r="AR60" s="1030"/>
      <c r="AS60" s="1030"/>
      <c r="AT60" s="1031"/>
      <c r="AU60" s="1029" t="s">
        <v>271</v>
      </c>
      <c r="AV60" s="1030"/>
      <c r="AW60" s="1030"/>
      <c r="AX60" s="1030"/>
      <c r="AY60" s="1031"/>
      <c r="BB60" s="203"/>
      <c r="BC60" s="64"/>
      <c r="BE60" s="158"/>
      <c r="BF60" s="158"/>
      <c r="BG60" s="158"/>
      <c r="BH60" s="758"/>
      <c r="BI60" s="758"/>
      <c r="BJ60" s="758"/>
      <c r="BK60" s="148"/>
      <c r="BL60" s="148"/>
      <c r="BM60" s="758"/>
      <c r="BN60" s="148"/>
      <c r="BO60" s="148"/>
      <c r="BP60" s="1029" t="s">
        <v>270</v>
      </c>
      <c r="BQ60" s="1030"/>
      <c r="BR60" s="1030"/>
      <c r="BS60" s="1030"/>
      <c r="BT60" s="1031"/>
      <c r="BU60" s="1029" t="s">
        <v>271</v>
      </c>
      <c r="BV60" s="1030"/>
      <c r="BW60" s="1030"/>
      <c r="BX60" s="1030"/>
      <c r="BY60" s="1031"/>
      <c r="BZ60" s="1001"/>
      <c r="CB60" s="203"/>
      <c r="CC60" s="64"/>
      <c r="CE60" s="158"/>
      <c r="CF60" s="158"/>
      <c r="CG60" s="158"/>
      <c r="CH60" s="758"/>
      <c r="CI60" s="758"/>
      <c r="CJ60" s="758"/>
      <c r="CK60" s="148"/>
      <c r="CL60" s="148"/>
      <c r="CM60" s="758"/>
      <c r="CN60" s="148"/>
      <c r="CO60" s="148"/>
      <c r="CP60" s="1029" t="s">
        <v>270</v>
      </c>
      <c r="CQ60" s="1030"/>
      <c r="CR60" s="1030"/>
      <c r="CS60" s="1030"/>
      <c r="CT60" s="1031"/>
      <c r="CU60" s="1029" t="s">
        <v>271</v>
      </c>
      <c r="CV60" s="1030"/>
      <c r="CW60" s="1030"/>
      <c r="CX60" s="1030"/>
      <c r="CY60" s="1031"/>
      <c r="DB60" s="203"/>
      <c r="DC60" s="64"/>
      <c r="DE60" s="158"/>
      <c r="DF60" s="158"/>
      <c r="DG60" s="158"/>
      <c r="DH60" s="758"/>
      <c r="DI60" s="758"/>
      <c r="DJ60" s="758"/>
      <c r="DK60" s="148"/>
      <c r="DL60" s="148"/>
      <c r="DM60" s="758"/>
      <c r="DN60" s="148"/>
      <c r="DO60" s="148"/>
      <c r="DP60" s="1029" t="s">
        <v>270</v>
      </c>
      <c r="DQ60" s="1030"/>
      <c r="DR60" s="1030"/>
      <c r="DS60" s="1030"/>
      <c r="DT60" s="1031"/>
      <c r="DU60" s="1029" t="s">
        <v>271</v>
      </c>
      <c r="DV60" s="1030"/>
      <c r="DW60" s="1030"/>
      <c r="DX60" s="1030"/>
      <c r="DY60" s="1031"/>
    </row>
    <row r="61" spans="2:129" ht="51" x14ac:dyDescent="0.3">
      <c r="B61" s="204" t="s">
        <v>272</v>
      </c>
      <c r="C61" s="204" t="s">
        <v>273</v>
      </c>
      <c r="D61" s="205" t="s">
        <v>289</v>
      </c>
      <c r="E61" s="205" t="s">
        <v>290</v>
      </c>
      <c r="F61" s="205" t="s">
        <v>669</v>
      </c>
      <c r="G61" s="205" t="s">
        <v>670</v>
      </c>
      <c r="H61" s="171" t="s">
        <v>676</v>
      </c>
      <c r="I61" s="171" t="s">
        <v>672</v>
      </c>
      <c r="J61" s="171" t="s">
        <v>677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276</v>
      </c>
      <c r="N61" s="171" t="s">
        <v>678</v>
      </c>
      <c r="O61" s="171" t="s">
        <v>679</v>
      </c>
      <c r="P61" s="195" t="s">
        <v>277</v>
      </c>
      <c r="Q61" s="171" t="s">
        <v>680</v>
      </c>
      <c r="R61" s="171" t="s">
        <v>278</v>
      </c>
      <c r="S61" s="171" t="s">
        <v>681</v>
      </c>
      <c r="T61" s="198" t="s">
        <v>279</v>
      </c>
      <c r="U61" s="195" t="s">
        <v>280</v>
      </c>
      <c r="V61" s="171" t="s">
        <v>682</v>
      </c>
      <c r="W61" s="171" t="s">
        <v>281</v>
      </c>
      <c r="X61" s="171" t="s">
        <v>683</v>
      </c>
      <c r="Y61" s="198" t="s">
        <v>282</v>
      </c>
      <c r="AB61" s="204" t="s">
        <v>272</v>
      </c>
      <c r="AC61" s="204" t="s">
        <v>273</v>
      </c>
      <c r="AD61" s="205" t="s">
        <v>289</v>
      </c>
      <c r="AE61" s="205" t="s">
        <v>290</v>
      </c>
      <c r="AF61" s="205" t="s">
        <v>669</v>
      </c>
      <c r="AG61" s="205" t="s">
        <v>670</v>
      </c>
      <c r="AH61" s="171" t="s">
        <v>676</v>
      </c>
      <c r="AI61" s="171" t="s">
        <v>672</v>
      </c>
      <c r="AJ61" s="171" t="s">
        <v>677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276</v>
      </c>
      <c r="AN61" s="171" t="s">
        <v>678</v>
      </c>
      <c r="AO61" s="171" t="s">
        <v>679</v>
      </c>
      <c r="AP61" s="195" t="s">
        <v>277</v>
      </c>
      <c r="AQ61" s="171" t="s">
        <v>680</v>
      </c>
      <c r="AR61" s="171" t="s">
        <v>278</v>
      </c>
      <c r="AS61" s="171" t="s">
        <v>681</v>
      </c>
      <c r="AT61" s="198" t="s">
        <v>279</v>
      </c>
      <c r="AU61" s="195" t="s">
        <v>280</v>
      </c>
      <c r="AV61" s="171" t="s">
        <v>682</v>
      </c>
      <c r="AW61" s="171" t="s">
        <v>281</v>
      </c>
      <c r="AX61" s="171" t="s">
        <v>683</v>
      </c>
      <c r="AY61" s="198" t="s">
        <v>282</v>
      </c>
      <c r="BB61" s="204" t="s">
        <v>272</v>
      </c>
      <c r="BC61" s="204" t="s">
        <v>273</v>
      </c>
      <c r="BD61" s="205" t="s">
        <v>289</v>
      </c>
      <c r="BE61" s="205" t="s">
        <v>290</v>
      </c>
      <c r="BF61" s="205" t="s">
        <v>669</v>
      </c>
      <c r="BG61" s="205" t="s">
        <v>670</v>
      </c>
      <c r="BH61" s="171" t="s">
        <v>676</v>
      </c>
      <c r="BI61" s="171" t="s">
        <v>672</v>
      </c>
      <c r="BJ61" s="171" t="s">
        <v>677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276</v>
      </c>
      <c r="BN61" s="171" t="s">
        <v>678</v>
      </c>
      <c r="BO61" s="171" t="s">
        <v>679</v>
      </c>
      <c r="BP61" s="195" t="s">
        <v>277</v>
      </c>
      <c r="BQ61" s="171" t="s">
        <v>680</v>
      </c>
      <c r="BR61" s="171" t="s">
        <v>278</v>
      </c>
      <c r="BS61" s="171" t="s">
        <v>681</v>
      </c>
      <c r="BT61" s="198" t="s">
        <v>279</v>
      </c>
      <c r="BU61" s="195" t="s">
        <v>280</v>
      </c>
      <c r="BV61" s="171" t="s">
        <v>682</v>
      </c>
      <c r="BW61" s="171" t="s">
        <v>281</v>
      </c>
      <c r="BX61" s="171" t="s">
        <v>683</v>
      </c>
      <c r="BY61" s="198" t="s">
        <v>282</v>
      </c>
      <c r="BZ61" s="171"/>
      <c r="CB61" s="204" t="s">
        <v>272</v>
      </c>
      <c r="CC61" s="204" t="s">
        <v>273</v>
      </c>
      <c r="CD61" s="205" t="s">
        <v>289</v>
      </c>
      <c r="CE61" s="205" t="s">
        <v>290</v>
      </c>
      <c r="CF61" s="205" t="s">
        <v>669</v>
      </c>
      <c r="CG61" s="205" t="s">
        <v>670</v>
      </c>
      <c r="CH61" s="171" t="s">
        <v>676</v>
      </c>
      <c r="CI61" s="171" t="s">
        <v>672</v>
      </c>
      <c r="CJ61" s="171" t="s">
        <v>677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276</v>
      </c>
      <c r="CN61" s="171" t="s">
        <v>678</v>
      </c>
      <c r="CO61" s="171" t="s">
        <v>679</v>
      </c>
      <c r="CP61" s="195" t="s">
        <v>277</v>
      </c>
      <c r="CQ61" s="171" t="s">
        <v>680</v>
      </c>
      <c r="CR61" s="171" t="s">
        <v>278</v>
      </c>
      <c r="CS61" s="171" t="s">
        <v>681</v>
      </c>
      <c r="CT61" s="198" t="s">
        <v>279</v>
      </c>
      <c r="CU61" s="195" t="s">
        <v>280</v>
      </c>
      <c r="CV61" s="171" t="s">
        <v>682</v>
      </c>
      <c r="CW61" s="171" t="s">
        <v>281</v>
      </c>
      <c r="CX61" s="171" t="s">
        <v>683</v>
      </c>
      <c r="CY61" s="198" t="s">
        <v>282</v>
      </c>
      <c r="DB61" s="204" t="s">
        <v>272</v>
      </c>
      <c r="DC61" s="204" t="s">
        <v>273</v>
      </c>
      <c r="DD61" s="205" t="s">
        <v>289</v>
      </c>
      <c r="DE61" s="205" t="s">
        <v>290</v>
      </c>
      <c r="DF61" s="205" t="s">
        <v>669</v>
      </c>
      <c r="DG61" s="205" t="s">
        <v>670</v>
      </c>
      <c r="DH61" s="171" t="s">
        <v>676</v>
      </c>
      <c r="DI61" s="171" t="s">
        <v>672</v>
      </c>
      <c r="DJ61" s="171" t="s">
        <v>677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276</v>
      </c>
      <c r="DN61" s="171" t="s">
        <v>678</v>
      </c>
      <c r="DO61" s="171" t="s">
        <v>679</v>
      </c>
      <c r="DP61" s="195" t="s">
        <v>277</v>
      </c>
      <c r="DQ61" s="171" t="s">
        <v>680</v>
      </c>
      <c r="DR61" s="171" t="s">
        <v>278</v>
      </c>
      <c r="DS61" s="171" t="s">
        <v>681</v>
      </c>
      <c r="DT61" s="198" t="s">
        <v>279</v>
      </c>
      <c r="DU61" s="195" t="s">
        <v>280</v>
      </c>
      <c r="DV61" s="171" t="s">
        <v>682</v>
      </c>
      <c r="DW61" s="171" t="s">
        <v>281</v>
      </c>
      <c r="DX61" s="171" t="s">
        <v>683</v>
      </c>
      <c r="DY61" s="198" t="s">
        <v>282</v>
      </c>
    </row>
    <row r="62" spans="2:129" x14ac:dyDescent="0.3">
      <c r="B62" s="173"/>
      <c r="C62" s="55"/>
      <c r="D62" s="226" t="s">
        <v>332</v>
      </c>
      <c r="E62" s="226" t="s">
        <v>569</v>
      </c>
      <c r="F62" s="226" t="s">
        <v>332</v>
      </c>
      <c r="G62" s="226" t="s">
        <v>569</v>
      </c>
      <c r="H62" s="201" t="s">
        <v>567</v>
      </c>
      <c r="I62" s="201" t="s">
        <v>567</v>
      </c>
      <c r="J62" s="201" t="s">
        <v>567</v>
      </c>
      <c r="K62" s="201" t="s">
        <v>567</v>
      </c>
      <c r="L62" s="201" t="s">
        <v>567</v>
      </c>
      <c r="M62" s="201" t="s">
        <v>567</v>
      </c>
      <c r="N62" s="201" t="s">
        <v>567</v>
      </c>
      <c r="O62" s="202" t="s">
        <v>567</v>
      </c>
      <c r="P62" s="201" t="s">
        <v>567</v>
      </c>
      <c r="Q62" s="201" t="s">
        <v>567</v>
      </c>
      <c r="R62" s="201" t="s">
        <v>567</v>
      </c>
      <c r="S62" s="201" t="s">
        <v>567</v>
      </c>
      <c r="T62" s="202" t="s">
        <v>567</v>
      </c>
      <c r="U62" s="201" t="s">
        <v>567</v>
      </c>
      <c r="V62" s="201" t="s">
        <v>567</v>
      </c>
      <c r="W62" s="201" t="s">
        <v>567</v>
      </c>
      <c r="X62" s="201" t="s">
        <v>567</v>
      </c>
      <c r="Y62" s="202" t="s">
        <v>567</v>
      </c>
      <c r="AB62" s="173"/>
      <c r="AC62" s="55"/>
      <c r="AD62" s="226" t="s">
        <v>332</v>
      </c>
      <c r="AE62" s="226" t="s">
        <v>569</v>
      </c>
      <c r="AF62" s="226" t="s">
        <v>332</v>
      </c>
      <c r="AG62" s="226" t="s">
        <v>569</v>
      </c>
      <c r="AH62" s="201" t="s">
        <v>567</v>
      </c>
      <c r="AI62" s="201" t="s">
        <v>567</v>
      </c>
      <c r="AJ62" s="201" t="s">
        <v>567</v>
      </c>
      <c r="AK62" s="201" t="s">
        <v>567</v>
      </c>
      <c r="AL62" s="201" t="s">
        <v>567</v>
      </c>
      <c r="AM62" s="201" t="s">
        <v>567</v>
      </c>
      <c r="AN62" s="201" t="s">
        <v>567</v>
      </c>
      <c r="AO62" s="202" t="s">
        <v>567</v>
      </c>
      <c r="AP62" s="201" t="s">
        <v>567</v>
      </c>
      <c r="AQ62" s="201" t="s">
        <v>567</v>
      </c>
      <c r="AR62" s="201" t="s">
        <v>567</v>
      </c>
      <c r="AS62" s="201" t="s">
        <v>567</v>
      </c>
      <c r="AT62" s="202" t="s">
        <v>567</v>
      </c>
      <c r="AU62" s="201" t="s">
        <v>567</v>
      </c>
      <c r="AV62" s="201" t="s">
        <v>567</v>
      </c>
      <c r="AW62" s="201" t="s">
        <v>567</v>
      </c>
      <c r="AX62" s="201" t="s">
        <v>567</v>
      </c>
      <c r="AY62" s="202" t="s">
        <v>567</v>
      </c>
      <c r="BB62" s="173"/>
      <c r="BC62" s="55"/>
      <c r="BD62" s="226" t="s">
        <v>332</v>
      </c>
      <c r="BE62" s="226" t="s">
        <v>569</v>
      </c>
      <c r="BF62" s="226" t="s">
        <v>332</v>
      </c>
      <c r="BG62" s="226" t="s">
        <v>569</v>
      </c>
      <c r="BH62" s="201" t="s">
        <v>567</v>
      </c>
      <c r="BI62" s="201" t="s">
        <v>567</v>
      </c>
      <c r="BJ62" s="201" t="s">
        <v>567</v>
      </c>
      <c r="BK62" s="201" t="s">
        <v>567</v>
      </c>
      <c r="BL62" s="201" t="s">
        <v>567</v>
      </c>
      <c r="BM62" s="201" t="s">
        <v>567</v>
      </c>
      <c r="BN62" s="201" t="s">
        <v>567</v>
      </c>
      <c r="BO62" s="202" t="s">
        <v>567</v>
      </c>
      <c r="BP62" s="201" t="s">
        <v>567</v>
      </c>
      <c r="BQ62" s="201" t="s">
        <v>567</v>
      </c>
      <c r="BR62" s="201" t="s">
        <v>567</v>
      </c>
      <c r="BS62" s="201" t="s">
        <v>567</v>
      </c>
      <c r="BT62" s="202" t="s">
        <v>567</v>
      </c>
      <c r="BU62" s="201" t="s">
        <v>567</v>
      </c>
      <c r="BV62" s="201" t="s">
        <v>567</v>
      </c>
      <c r="BW62" s="201" t="s">
        <v>567</v>
      </c>
      <c r="BX62" s="201" t="s">
        <v>567</v>
      </c>
      <c r="BY62" s="202" t="s">
        <v>567</v>
      </c>
      <c r="BZ62" s="1002"/>
      <c r="CB62" s="173"/>
      <c r="CC62" s="55"/>
      <c r="CD62" s="226" t="s">
        <v>332</v>
      </c>
      <c r="CE62" s="226" t="s">
        <v>569</v>
      </c>
      <c r="CF62" s="226" t="s">
        <v>332</v>
      </c>
      <c r="CG62" s="226" t="s">
        <v>569</v>
      </c>
      <c r="CH62" s="201" t="s">
        <v>567</v>
      </c>
      <c r="CI62" s="201" t="s">
        <v>567</v>
      </c>
      <c r="CJ62" s="201" t="s">
        <v>567</v>
      </c>
      <c r="CK62" s="201" t="s">
        <v>567</v>
      </c>
      <c r="CL62" s="201" t="s">
        <v>567</v>
      </c>
      <c r="CM62" s="201" t="s">
        <v>567</v>
      </c>
      <c r="CN62" s="201" t="s">
        <v>567</v>
      </c>
      <c r="CO62" s="202" t="s">
        <v>567</v>
      </c>
      <c r="CP62" s="201" t="s">
        <v>567</v>
      </c>
      <c r="CQ62" s="201" t="s">
        <v>567</v>
      </c>
      <c r="CR62" s="201" t="s">
        <v>567</v>
      </c>
      <c r="CS62" s="201" t="s">
        <v>567</v>
      </c>
      <c r="CT62" s="202" t="s">
        <v>567</v>
      </c>
      <c r="CU62" s="201" t="s">
        <v>567</v>
      </c>
      <c r="CV62" s="201" t="s">
        <v>567</v>
      </c>
      <c r="CW62" s="201" t="s">
        <v>567</v>
      </c>
      <c r="CX62" s="201" t="s">
        <v>567</v>
      </c>
      <c r="CY62" s="202" t="s">
        <v>567</v>
      </c>
      <c r="DB62" s="173"/>
      <c r="DC62" s="55"/>
      <c r="DD62" s="226" t="s">
        <v>332</v>
      </c>
      <c r="DE62" s="226" t="s">
        <v>569</v>
      </c>
      <c r="DF62" s="226" t="s">
        <v>332</v>
      </c>
      <c r="DG62" s="226" t="s">
        <v>569</v>
      </c>
      <c r="DH62" s="201" t="s">
        <v>567</v>
      </c>
      <c r="DI62" s="201" t="s">
        <v>567</v>
      </c>
      <c r="DJ62" s="201" t="s">
        <v>567</v>
      </c>
      <c r="DK62" s="201" t="s">
        <v>567</v>
      </c>
      <c r="DL62" s="201" t="s">
        <v>567</v>
      </c>
      <c r="DM62" s="201" t="s">
        <v>567</v>
      </c>
      <c r="DN62" s="201" t="s">
        <v>567</v>
      </c>
      <c r="DO62" s="202" t="s">
        <v>567</v>
      </c>
      <c r="DP62" s="201" t="s">
        <v>567</v>
      </c>
      <c r="DQ62" s="201" t="s">
        <v>567</v>
      </c>
      <c r="DR62" s="201" t="s">
        <v>567</v>
      </c>
      <c r="DS62" s="201" t="s">
        <v>567</v>
      </c>
      <c r="DT62" s="202" t="s">
        <v>567</v>
      </c>
      <c r="DU62" s="201" t="s">
        <v>567</v>
      </c>
      <c r="DV62" s="201" t="s">
        <v>567</v>
      </c>
      <c r="DW62" s="201" t="s">
        <v>567</v>
      </c>
      <c r="DX62" s="201" t="s">
        <v>567</v>
      </c>
      <c r="DY62" s="202" t="s">
        <v>567</v>
      </c>
    </row>
    <row r="63" spans="2:129" x14ac:dyDescent="0.3">
      <c r="B63" s="204">
        <v>1</v>
      </c>
      <c r="C63" s="219" t="s">
        <v>4</v>
      </c>
      <c r="D63" s="760">
        <f>'Arable Inputs'!$D$18</f>
        <v>5.5</v>
      </c>
      <c r="E63" s="760">
        <f>'Arable Inputs'!$D$25</f>
        <v>210</v>
      </c>
      <c r="F63" s="760">
        <f>'Arable Inputs'!$D$19</f>
        <v>3.9</v>
      </c>
      <c r="G63" s="760">
        <f>'Arable Inputs'!$D$26</f>
        <v>73.449999999999989</v>
      </c>
      <c r="H63" s="762">
        <f>D63*E63+F63*G63</f>
        <v>1441.4549999999999</v>
      </c>
      <c r="I63" s="197">
        <f>'Arable NPV'!$E143</f>
        <v>330</v>
      </c>
      <c r="J63" s="197">
        <f>H63+I63</f>
        <v>1771.4549999999999</v>
      </c>
      <c r="K63" s="197">
        <f>'Arable NPV'!$G143</f>
        <v>622.34710631578946</v>
      </c>
      <c r="L63" s="197">
        <f>'Arable NPV'!$H143</f>
        <v>943.00233600000001</v>
      </c>
      <c r="M63" s="197">
        <f>K63+L63</f>
        <v>1565.3494423157895</v>
      </c>
      <c r="N63" s="197">
        <f>H63-M63</f>
        <v>-123.89444231578955</v>
      </c>
      <c r="O63" s="197">
        <f>J63-M63</f>
        <v>206.10555768421045</v>
      </c>
      <c r="P63" s="1033">
        <f>H63/(1+$B$4)^(B63-1)</f>
        <v>1441.4549999999999</v>
      </c>
      <c r="Q63" s="213">
        <f>I63/(1+$B$4)^(B63-1)</f>
        <v>330</v>
      </c>
      <c r="R63" s="213">
        <f>M63/(1+$B$4)^(B63-1)</f>
        <v>1565.3494423157895</v>
      </c>
      <c r="S63" s="213">
        <f>N63/(1+$B$4)^(B63-1)</f>
        <v>-123.89444231578955</v>
      </c>
      <c r="T63" s="929">
        <f>O63/(1+$B$4)^(B63-1)</f>
        <v>206.10555768421045</v>
      </c>
      <c r="U63" s="196">
        <f>P63</f>
        <v>1441.4549999999999</v>
      </c>
      <c r="V63" s="197">
        <f>Q63</f>
        <v>330</v>
      </c>
      <c r="W63" s="197">
        <f>R63</f>
        <v>1565.3494423157895</v>
      </c>
      <c r="X63" s="197">
        <f>S63</f>
        <v>-123.89444231578955</v>
      </c>
      <c r="Y63" s="199">
        <f>T63</f>
        <v>206.10555768421045</v>
      </c>
      <c r="AB63" s="204">
        <v>1</v>
      </c>
      <c r="AC63" s="219" t="s">
        <v>4</v>
      </c>
      <c r="AD63" s="760">
        <f>'Arable Inputs'!$D$18+0.5*'Arable Inputs'!$D$18</f>
        <v>8.25</v>
      </c>
      <c r="AE63" s="760">
        <f>'Arable Inputs'!$D$25</f>
        <v>210</v>
      </c>
      <c r="AF63" s="760">
        <f>'Arable Inputs'!$D$19+0.5*'Arable Inputs'!$D$19</f>
        <v>5.85</v>
      </c>
      <c r="AG63" s="760">
        <f>'Arable Inputs'!$D$26</f>
        <v>73.449999999999989</v>
      </c>
      <c r="AH63" s="762">
        <f>AD63*AE63+AF63*AG63</f>
        <v>2162.1824999999999</v>
      </c>
      <c r="AI63" s="197">
        <f>'Arable NPV'!$E143</f>
        <v>330</v>
      </c>
      <c r="AJ63" s="197">
        <f>AH63+AI63</f>
        <v>2492.1824999999999</v>
      </c>
      <c r="AK63" s="197">
        <f>'Arable NPV'!$G143</f>
        <v>622.34710631578946</v>
      </c>
      <c r="AL63" s="197">
        <f>'Arable NPV'!$H143</f>
        <v>943.00233600000001</v>
      </c>
      <c r="AM63" s="197">
        <f>AK63+AL63</f>
        <v>1565.3494423157895</v>
      </c>
      <c r="AN63" s="197">
        <f>AH63-AM63</f>
        <v>596.83305768421042</v>
      </c>
      <c r="AO63" s="197">
        <f>AJ63-AM63</f>
        <v>926.83305768421042</v>
      </c>
      <c r="AP63" s="1033">
        <f>AH63/(1+$B$4)^(AB63-1)</f>
        <v>2162.1824999999999</v>
      </c>
      <c r="AQ63" s="213">
        <f>AI63/(1+$B$4)^(AB63-1)</f>
        <v>330</v>
      </c>
      <c r="AR63" s="213">
        <f>AM63/(1+$B$4)^(AB63-1)</f>
        <v>1565.3494423157895</v>
      </c>
      <c r="AS63" s="213">
        <f>AN63/(1+$B$4)^(AB63-1)</f>
        <v>596.83305768421042</v>
      </c>
      <c r="AT63" s="929">
        <f>AO63/(1+$B$4)^(AB63-1)</f>
        <v>926.83305768421042</v>
      </c>
      <c r="AU63" s="196">
        <f>AP63</f>
        <v>2162.1824999999999</v>
      </c>
      <c r="AV63" s="197">
        <f>AQ63</f>
        <v>330</v>
      </c>
      <c r="AW63" s="197">
        <f>AR63</f>
        <v>1565.3494423157895</v>
      </c>
      <c r="AX63" s="197">
        <f>AS63</f>
        <v>596.83305768421042</v>
      </c>
      <c r="AY63" s="199">
        <f>AT63</f>
        <v>926.83305768421042</v>
      </c>
      <c r="BB63" s="204">
        <v>1</v>
      </c>
      <c r="BC63" s="219" t="s">
        <v>4</v>
      </c>
      <c r="BD63" s="760">
        <f>'Arable Inputs'!$D$18-0.5*'Arable Inputs'!$D$18</f>
        <v>2.75</v>
      </c>
      <c r="BE63" s="760">
        <f>'Arable Inputs'!$D$25</f>
        <v>210</v>
      </c>
      <c r="BF63" s="760">
        <f>'Arable Inputs'!$D$19-0.5*'Arable Inputs'!$D$19</f>
        <v>1.95</v>
      </c>
      <c r="BG63" s="760">
        <f>'Arable Inputs'!$D$26</f>
        <v>73.449999999999989</v>
      </c>
      <c r="BH63" s="762">
        <f>BD63*BE63+BF63*BG63</f>
        <v>720.72749999999996</v>
      </c>
      <c r="BI63" s="197">
        <f>'Arable NPV'!$E143</f>
        <v>330</v>
      </c>
      <c r="BJ63" s="197">
        <f>BH63+BI63</f>
        <v>1050.7275</v>
      </c>
      <c r="BK63" s="197">
        <f>'Arable NPV'!$G143</f>
        <v>622.34710631578946</v>
      </c>
      <c r="BL63" s="197">
        <f>'Arable NPV'!$H143</f>
        <v>943.00233600000001</v>
      </c>
      <c r="BM63" s="197">
        <f>BK63+BL63</f>
        <v>1565.3494423157895</v>
      </c>
      <c r="BN63" s="197">
        <f>BH63-BM63</f>
        <v>-844.62194231578951</v>
      </c>
      <c r="BO63" s="197">
        <f>BJ63-BM63</f>
        <v>-514.62194231578951</v>
      </c>
      <c r="BP63" s="1033">
        <f>BH63/(1+$B$4)^(BB63-1)</f>
        <v>720.72749999999996</v>
      </c>
      <c r="BQ63" s="213">
        <f>BI63/(1+$B$4)^(BB63-1)</f>
        <v>330</v>
      </c>
      <c r="BR63" s="213">
        <f>BM63/(1+$B$4)^(BB63-1)</f>
        <v>1565.3494423157895</v>
      </c>
      <c r="BS63" s="213">
        <f>BN63/(1+$B$4)^(BB63-1)</f>
        <v>-844.62194231578951</v>
      </c>
      <c r="BT63" s="929">
        <f>BO63/(1+$B$4)^(BB63-1)</f>
        <v>-514.62194231578951</v>
      </c>
      <c r="BU63" s="196">
        <f>BP63</f>
        <v>720.72749999999996</v>
      </c>
      <c r="BV63" s="197">
        <f>BQ63</f>
        <v>330</v>
      </c>
      <c r="BW63" s="197">
        <f>BR63</f>
        <v>1565.3494423157895</v>
      </c>
      <c r="BX63" s="197">
        <f>BS63</f>
        <v>-844.62194231578951</v>
      </c>
      <c r="BY63" s="199">
        <f>BT63</f>
        <v>-514.62194231578951</v>
      </c>
      <c r="BZ63" s="197"/>
      <c r="CB63" s="204">
        <v>1</v>
      </c>
      <c r="CC63" s="219" t="s">
        <v>4</v>
      </c>
      <c r="CD63" s="760">
        <f>'Arable Inputs'!$D$18+'Arable Inputs'!$D$18</f>
        <v>11</v>
      </c>
      <c r="CE63" s="760">
        <f>'Arable Inputs'!$D$25</f>
        <v>210</v>
      </c>
      <c r="CF63" s="760">
        <f>'Arable Inputs'!$D$19+'Arable Inputs'!$D$19</f>
        <v>7.8</v>
      </c>
      <c r="CG63" s="760">
        <f>'Arable Inputs'!$D$26</f>
        <v>73.449999999999989</v>
      </c>
      <c r="CH63" s="762">
        <f>CD63*CE63+CF63*CG63</f>
        <v>2882.91</v>
      </c>
      <c r="CI63" s="197">
        <f>'Arable NPV'!$E143</f>
        <v>330</v>
      </c>
      <c r="CJ63" s="197">
        <f>CH63+CI63</f>
        <v>3212.91</v>
      </c>
      <c r="CK63" s="197">
        <f>'Arable NPV'!$G143</f>
        <v>622.34710631578946</v>
      </c>
      <c r="CL63" s="197">
        <f>'Arable NPV'!$H143</f>
        <v>943.00233600000001</v>
      </c>
      <c r="CM63" s="197">
        <f>CK63+CL63</f>
        <v>1565.3494423157895</v>
      </c>
      <c r="CN63" s="197">
        <f>CH63-CM63</f>
        <v>1317.5605576842104</v>
      </c>
      <c r="CO63" s="197">
        <f>CJ63-CM63</f>
        <v>1647.5605576842104</v>
      </c>
      <c r="CP63" s="1033">
        <f>CH63/(1+$B$4)^(CB63-1)</f>
        <v>2882.91</v>
      </c>
      <c r="CQ63" s="213">
        <f>CI63/(1+$B$4)^(CB63-1)</f>
        <v>330</v>
      </c>
      <c r="CR63" s="213">
        <f>CM63/(1+$B$4)^(CB63-1)</f>
        <v>1565.3494423157895</v>
      </c>
      <c r="CS63" s="213">
        <f>CN63/(1+$B$4)^(CB63-1)</f>
        <v>1317.5605576842104</v>
      </c>
      <c r="CT63" s="929">
        <f>CO63/(1+$B$4)^(CB63-1)</f>
        <v>1647.5605576842104</v>
      </c>
      <c r="CU63" s="196">
        <f>CP63</f>
        <v>2882.91</v>
      </c>
      <c r="CV63" s="197">
        <f>CQ63</f>
        <v>330</v>
      </c>
      <c r="CW63" s="197">
        <f>CR63</f>
        <v>1565.3494423157895</v>
      </c>
      <c r="CX63" s="197">
        <f>CS63</f>
        <v>1317.5605576842104</v>
      </c>
      <c r="CY63" s="199">
        <f>CT63</f>
        <v>1647.5605576842104</v>
      </c>
      <c r="DB63" s="204">
        <v>1</v>
      </c>
      <c r="DC63" s="219" t="s">
        <v>4</v>
      </c>
      <c r="DD63" s="760">
        <f>'Arable Inputs'!$D$18-'Arable Inputs'!$D$18</f>
        <v>0</v>
      </c>
      <c r="DE63" s="760">
        <f>'Arable Inputs'!$D$25</f>
        <v>210</v>
      </c>
      <c r="DF63" s="760">
        <f>'Arable Inputs'!$D$19-'Arable Inputs'!$D$19</f>
        <v>0</v>
      </c>
      <c r="DG63" s="760">
        <f>'Arable Inputs'!$D$26</f>
        <v>73.449999999999989</v>
      </c>
      <c r="DH63" s="762">
        <f>DD63*DE63+DF63*DG63</f>
        <v>0</v>
      </c>
      <c r="DI63" s="197">
        <f>'Arable NPV'!$E143</f>
        <v>330</v>
      </c>
      <c r="DJ63" s="197">
        <f>DH63+DI63</f>
        <v>330</v>
      </c>
      <c r="DK63" s="197">
        <f>'Arable NPV'!$G143</f>
        <v>622.34710631578946</v>
      </c>
      <c r="DL63" s="197">
        <f>'Arable NPV'!$H143</f>
        <v>943.00233600000001</v>
      </c>
      <c r="DM63" s="197">
        <f>DK63+DL63</f>
        <v>1565.3494423157895</v>
      </c>
      <c r="DN63" s="197">
        <f>DH63-DM63</f>
        <v>-1565.3494423157895</v>
      </c>
      <c r="DO63" s="197">
        <f>DJ63-DM63</f>
        <v>-1235.3494423157895</v>
      </c>
      <c r="DP63" s="1033">
        <f>DH63/(1+$B$4)^(DB63-1)</f>
        <v>0</v>
      </c>
      <c r="DQ63" s="213">
        <f>DI63/(1+$B$4)^(DB63-1)</f>
        <v>330</v>
      </c>
      <c r="DR63" s="213">
        <f>DM63/(1+$B$4)^(DB63-1)</f>
        <v>1565.3494423157895</v>
      </c>
      <c r="DS63" s="213">
        <f>DN63/(1+$B$4)^(DB63-1)</f>
        <v>-1565.3494423157895</v>
      </c>
      <c r="DT63" s="929">
        <f>DO63/(1+$B$4)^(DB63-1)</f>
        <v>-1235.3494423157895</v>
      </c>
      <c r="DU63" s="196">
        <f>DP63</f>
        <v>0</v>
      </c>
      <c r="DV63" s="197">
        <f>DQ63</f>
        <v>330</v>
      </c>
      <c r="DW63" s="197">
        <f>DR63</f>
        <v>1565.3494423157895</v>
      </c>
      <c r="DX63" s="197">
        <f>DS63</f>
        <v>-1565.3494423157895</v>
      </c>
      <c r="DY63" s="199">
        <f>DT63</f>
        <v>-1235.3494423157895</v>
      </c>
    </row>
    <row r="64" spans="2:129" x14ac:dyDescent="0.3">
      <c r="B64" s="204">
        <v>2</v>
      </c>
      <c r="C64" s="219" t="s">
        <v>560</v>
      </c>
      <c r="D64" s="760">
        <f>'Arable Inputs'!$G$18</f>
        <v>2.1</v>
      </c>
      <c r="E64" s="760">
        <f>'Arable Inputs'!$G$25</f>
        <v>235.55</v>
      </c>
      <c r="H64" s="762">
        <f>D64*E64</f>
        <v>494.65500000000003</v>
      </c>
      <c r="I64" s="197">
        <f>'Arable NPV'!$E144</f>
        <v>330</v>
      </c>
      <c r="J64" s="197">
        <f t="shared" ref="J64:J78" si="152">H64+I64</f>
        <v>824.65499999999997</v>
      </c>
      <c r="K64" s="197">
        <f>'Arable NPV'!$G144</f>
        <v>255.07731473684206</v>
      </c>
      <c r="L64" s="197">
        <f>'Arable NPV'!$H144</f>
        <v>778.68036799999993</v>
      </c>
      <c r="M64" s="197">
        <f t="shared" ref="M64:M78" si="153">K64+L64</f>
        <v>1033.7576827368421</v>
      </c>
      <c r="N64" s="197">
        <f t="shared" ref="N64:N78" si="154">H64-M64</f>
        <v>-539.1026827368421</v>
      </c>
      <c r="O64" s="197">
        <f t="shared" ref="O64:O78" si="155">J64-M64</f>
        <v>-209.1026827368421</v>
      </c>
      <c r="P64" s="196">
        <f t="shared" ref="P64:P78" si="156">H64/(1+$B$4)^(B64-1)</f>
        <v>480.247572815534</v>
      </c>
      <c r="Q64" s="197">
        <f t="shared" ref="Q64:Q78" si="157">I64/(1+$B$4)^(B64-1)</f>
        <v>320.38834951456312</v>
      </c>
      <c r="R64" s="197">
        <f t="shared" ref="R64:R78" si="158">M64/(1+$B$4)^(B64-1)</f>
        <v>1003.648235666837</v>
      </c>
      <c r="S64" s="197">
        <f t="shared" ref="S64:S78" si="159">N64/(1+$B$4)^(B64-1)</f>
        <v>-523.40066285130297</v>
      </c>
      <c r="T64" s="199">
        <f t="shared" ref="T64:T77" si="160">O64/(1+$B$4)^(B64-1)</f>
        <v>-203.01231333673991</v>
      </c>
      <c r="U64" s="196">
        <f t="shared" ref="U64:Y78" si="161">U63+P64</f>
        <v>1921.702572815534</v>
      </c>
      <c r="V64" s="197">
        <f t="shared" si="161"/>
        <v>650.38834951456306</v>
      </c>
      <c r="W64" s="197">
        <f t="shared" si="161"/>
        <v>2568.9976779826266</v>
      </c>
      <c r="X64" s="197">
        <f t="shared" si="161"/>
        <v>-647.29510516709252</v>
      </c>
      <c r="Y64" s="199">
        <f t="shared" si="161"/>
        <v>3.0932443474705451</v>
      </c>
      <c r="AB64" s="204">
        <v>2</v>
      </c>
      <c r="AC64" s="219" t="s">
        <v>560</v>
      </c>
      <c r="AD64" s="760">
        <f>'Arable Inputs'!$G$18+0.5*'Arable Inputs'!$G$18</f>
        <v>3.1500000000000004</v>
      </c>
      <c r="AE64" s="760">
        <f>'Arable Inputs'!$G$25</f>
        <v>235.55</v>
      </c>
      <c r="AH64" s="762">
        <f>AD64*AE64</f>
        <v>741.98250000000007</v>
      </c>
      <c r="AI64" s="197">
        <f>'Arable NPV'!$E144</f>
        <v>330</v>
      </c>
      <c r="AJ64" s="197">
        <f t="shared" ref="AJ64:AJ78" si="162">AH64+AI64</f>
        <v>1071.9825000000001</v>
      </c>
      <c r="AK64" s="197">
        <f>'Arable NPV'!$G144</f>
        <v>255.07731473684206</v>
      </c>
      <c r="AL64" s="197">
        <f>'Arable NPV'!$H144</f>
        <v>778.68036799999993</v>
      </c>
      <c r="AM64" s="197">
        <f t="shared" ref="AM64:AM78" si="163">AK64+AL64</f>
        <v>1033.7576827368421</v>
      </c>
      <c r="AN64" s="197">
        <f t="shared" ref="AN64:AN78" si="164">AH64-AM64</f>
        <v>-291.775182736842</v>
      </c>
      <c r="AO64" s="197">
        <f t="shared" ref="AO64:AO78" si="165">AJ64-AM64</f>
        <v>38.224817263158002</v>
      </c>
      <c r="AP64" s="196">
        <f t="shared" ref="AP64:AP78" si="166">AH64/(1+$B$4)^(AB64-1)</f>
        <v>720.37135922330106</v>
      </c>
      <c r="AQ64" s="197">
        <f t="shared" ref="AQ64:AQ78" si="167">AI64/(1+$B$4)^(AB64-1)</f>
        <v>320.38834951456312</v>
      </c>
      <c r="AR64" s="197">
        <f t="shared" ref="AR64:AR78" si="168">AM64/(1+$B$4)^(AB64-1)</f>
        <v>1003.648235666837</v>
      </c>
      <c r="AS64" s="197">
        <f t="shared" ref="AS64:AS78" si="169">AN64/(1+$B$4)^(AB64-1)</f>
        <v>-283.27687644353591</v>
      </c>
      <c r="AT64" s="199">
        <f t="shared" ref="AT64:AT77" si="170">AO64/(1+$B$4)^(AB64-1)</f>
        <v>37.111473071027184</v>
      </c>
      <c r="AU64" s="196">
        <f t="shared" ref="AU64:AY78" si="171">AU63+AP64</f>
        <v>2882.5538592233011</v>
      </c>
      <c r="AV64" s="197">
        <f t="shared" si="171"/>
        <v>650.38834951456306</v>
      </c>
      <c r="AW64" s="197">
        <f t="shared" si="171"/>
        <v>2568.9976779826266</v>
      </c>
      <c r="AX64" s="197">
        <f t="shared" si="171"/>
        <v>313.5561812406745</v>
      </c>
      <c r="AY64" s="199">
        <f t="shared" si="171"/>
        <v>963.94453075523757</v>
      </c>
      <c r="BB64" s="204">
        <v>2</v>
      </c>
      <c r="BC64" s="219" t="s">
        <v>560</v>
      </c>
      <c r="BD64" s="760">
        <f>'Arable Inputs'!$G$18-0.5*'Arable Inputs'!$G$18</f>
        <v>1.05</v>
      </c>
      <c r="BE64" s="760">
        <f>'Arable Inputs'!$G$25</f>
        <v>235.55</v>
      </c>
      <c r="BH64" s="762">
        <f>BD64*BE64</f>
        <v>247.32750000000001</v>
      </c>
      <c r="BI64" s="197">
        <f>'Arable NPV'!$E144</f>
        <v>330</v>
      </c>
      <c r="BJ64" s="197">
        <f t="shared" ref="BJ64:BJ78" si="172">BH64+BI64</f>
        <v>577.32749999999999</v>
      </c>
      <c r="BK64" s="197">
        <f>'Arable NPV'!$G144</f>
        <v>255.07731473684206</v>
      </c>
      <c r="BL64" s="197">
        <f>'Arable NPV'!$H144</f>
        <v>778.68036799999993</v>
      </c>
      <c r="BM64" s="197">
        <f t="shared" ref="BM64:BM78" si="173">BK64+BL64</f>
        <v>1033.7576827368421</v>
      </c>
      <c r="BN64" s="197">
        <f t="shared" ref="BN64:BN78" si="174">BH64-BM64</f>
        <v>-786.43018273684208</v>
      </c>
      <c r="BO64" s="197">
        <f t="shared" ref="BO64:BO78" si="175">BJ64-BM64</f>
        <v>-456.43018273684208</v>
      </c>
      <c r="BP64" s="196">
        <f t="shared" ref="BP64:BP78" si="176">BH64/(1+$B$4)^(BB64-1)</f>
        <v>240.123786407767</v>
      </c>
      <c r="BQ64" s="197">
        <f t="shared" ref="BQ64:BQ78" si="177">BI64/(1+$B$4)^(BB64-1)</f>
        <v>320.38834951456312</v>
      </c>
      <c r="BR64" s="197">
        <f t="shared" ref="BR64:BR78" si="178">BM64/(1+$B$4)^(BB64-1)</f>
        <v>1003.648235666837</v>
      </c>
      <c r="BS64" s="197">
        <f t="shared" ref="BS64:BS78" si="179">BN64/(1+$B$4)^(BB64-1)</f>
        <v>-763.52444925906991</v>
      </c>
      <c r="BT64" s="199">
        <f t="shared" ref="BT64:BT77" si="180">BO64/(1+$B$4)^(BB64-1)</f>
        <v>-443.13609974450685</v>
      </c>
      <c r="BU64" s="196">
        <f t="shared" ref="BU64:BY78" si="181">BU63+BP64</f>
        <v>960.85128640776702</v>
      </c>
      <c r="BV64" s="197">
        <f t="shared" si="181"/>
        <v>650.38834951456306</v>
      </c>
      <c r="BW64" s="197">
        <f t="shared" si="181"/>
        <v>2568.9976779826266</v>
      </c>
      <c r="BX64" s="197">
        <f t="shared" si="181"/>
        <v>-1608.1463915748595</v>
      </c>
      <c r="BY64" s="199">
        <f t="shared" si="181"/>
        <v>-957.75804206029636</v>
      </c>
      <c r="BZ64" s="197"/>
      <c r="CB64" s="204">
        <v>2</v>
      </c>
      <c r="CC64" s="219" t="s">
        <v>560</v>
      </c>
      <c r="CD64" s="760">
        <f>'Arable Inputs'!$G$18+'Arable Inputs'!$G$18</f>
        <v>4.2</v>
      </c>
      <c r="CE64" s="760">
        <f>'Arable Inputs'!$G$25</f>
        <v>235.55</v>
      </c>
      <c r="CH64" s="762">
        <f>CD64*CE64</f>
        <v>989.31000000000006</v>
      </c>
      <c r="CI64" s="197">
        <f>'Arable NPV'!$E144</f>
        <v>330</v>
      </c>
      <c r="CJ64" s="197">
        <f t="shared" ref="CJ64:CJ78" si="182">CH64+CI64</f>
        <v>1319.31</v>
      </c>
      <c r="CK64" s="197">
        <f>'Arable NPV'!$G144</f>
        <v>255.07731473684206</v>
      </c>
      <c r="CL64" s="197">
        <f>'Arable NPV'!$H144</f>
        <v>778.68036799999993</v>
      </c>
      <c r="CM64" s="197">
        <f t="shared" ref="CM64:CM78" si="183">CK64+CL64</f>
        <v>1033.7576827368421</v>
      </c>
      <c r="CN64" s="197">
        <f t="shared" ref="CN64:CN78" si="184">CH64-CM64</f>
        <v>-44.447682736842012</v>
      </c>
      <c r="CO64" s="197">
        <f t="shared" ref="CO64:CO78" si="185">CJ64-CM64</f>
        <v>285.55231726315787</v>
      </c>
      <c r="CP64" s="196">
        <f t="shared" ref="CP64:CP78" si="186">CH64/(1+$B$4)^(CB64-1)</f>
        <v>960.495145631068</v>
      </c>
      <c r="CQ64" s="197">
        <f t="shared" ref="CQ64:CQ78" si="187">CI64/(1+$B$4)^(CB64-1)</f>
        <v>320.38834951456312</v>
      </c>
      <c r="CR64" s="197">
        <f t="shared" ref="CR64:CR78" si="188">CM64/(1+$B$4)^(CB64-1)</f>
        <v>1003.648235666837</v>
      </c>
      <c r="CS64" s="197">
        <f t="shared" ref="CS64:CS78" si="189">CN64/(1+$B$4)^(CB64-1)</f>
        <v>-43.15309003576894</v>
      </c>
      <c r="CT64" s="199">
        <f t="shared" ref="CT64:CT77" si="190">CO64/(1+$B$4)^(CB64-1)</f>
        <v>277.23525947879403</v>
      </c>
      <c r="CU64" s="196">
        <f t="shared" ref="CU64:CX78" si="191">CU63+CP64</f>
        <v>3843.4051456310681</v>
      </c>
      <c r="CV64" s="197">
        <f t="shared" si="191"/>
        <v>650.38834951456306</v>
      </c>
      <c r="CW64" s="197">
        <f t="shared" si="191"/>
        <v>2568.9976779826266</v>
      </c>
      <c r="CX64" s="197">
        <f t="shared" si="191"/>
        <v>1274.4074676484415</v>
      </c>
      <c r="CY64" s="199">
        <f t="shared" ref="CY64:CY78" si="192">CY63+CT64</f>
        <v>1924.7958171630044</v>
      </c>
      <c r="DB64" s="204">
        <v>2</v>
      </c>
      <c r="DC64" s="219" t="s">
        <v>560</v>
      </c>
      <c r="DD64" s="760">
        <f>'Arable Inputs'!$G$18-'Arable Inputs'!$G$18</f>
        <v>0</v>
      </c>
      <c r="DE64" s="760">
        <f>'Arable Inputs'!$G$25</f>
        <v>235.55</v>
      </c>
      <c r="DH64" s="762">
        <f>DD64*DE64</f>
        <v>0</v>
      </c>
      <c r="DI64" s="197">
        <f>'Arable NPV'!$E144</f>
        <v>330</v>
      </c>
      <c r="DJ64" s="197">
        <f t="shared" ref="DJ64:DJ78" si="193">DH64+DI64</f>
        <v>330</v>
      </c>
      <c r="DK64" s="197">
        <f>'Arable NPV'!$G144</f>
        <v>255.07731473684206</v>
      </c>
      <c r="DL64" s="197">
        <f>'Arable NPV'!$H144</f>
        <v>778.68036799999993</v>
      </c>
      <c r="DM64" s="197">
        <f t="shared" ref="DM64:DM78" si="194">DK64+DL64</f>
        <v>1033.7576827368421</v>
      </c>
      <c r="DN64" s="197">
        <f t="shared" ref="DN64:DN78" si="195">DH64-DM64</f>
        <v>-1033.7576827368421</v>
      </c>
      <c r="DO64" s="197">
        <f t="shared" ref="DO64:DO78" si="196">DJ64-DM64</f>
        <v>-703.75768273684207</v>
      </c>
      <c r="DP64" s="196">
        <f t="shared" ref="DP64:DP78" si="197">DH64/(1+$B$4)^(DB64-1)</f>
        <v>0</v>
      </c>
      <c r="DQ64" s="197">
        <f t="shared" ref="DQ64:DQ78" si="198">DI64/(1+$B$4)^(DB64-1)</f>
        <v>320.38834951456312</v>
      </c>
      <c r="DR64" s="197">
        <f t="shared" ref="DR64:DR78" si="199">DM64/(1+$B$4)^(DB64-1)</f>
        <v>1003.648235666837</v>
      </c>
      <c r="DS64" s="197">
        <f t="shared" ref="DS64:DS78" si="200">DN64/(1+$B$4)^(DB64-1)</f>
        <v>-1003.648235666837</v>
      </c>
      <c r="DT64" s="199">
        <f t="shared" ref="DT64:DT77" si="201">DO64/(1+$B$4)^(DB64-1)</f>
        <v>-683.25988615227379</v>
      </c>
      <c r="DU64" s="196">
        <f t="shared" ref="DU64:DY78" si="202">DU63+DP64</f>
        <v>0</v>
      </c>
      <c r="DV64" s="197">
        <f t="shared" si="202"/>
        <v>650.38834951456306</v>
      </c>
      <c r="DW64" s="197">
        <f t="shared" si="202"/>
        <v>2568.9976779826266</v>
      </c>
      <c r="DX64" s="197">
        <f t="shared" si="202"/>
        <v>-2568.9976779826266</v>
      </c>
      <c r="DY64" s="199">
        <f t="shared" si="202"/>
        <v>-1918.6093284680633</v>
      </c>
    </row>
    <row r="65" spans="2:129" x14ac:dyDescent="0.3">
      <c r="B65" s="204">
        <f t="shared" ref="B65:B78" si="203">B64+1</f>
        <v>3</v>
      </c>
      <c r="C65" s="219" t="s">
        <v>255</v>
      </c>
      <c r="D65" s="760">
        <f>'Arable Inputs'!$H$18</f>
        <v>9.4</v>
      </c>
      <c r="E65" s="760">
        <f>'Arable Inputs'!$H$25</f>
        <v>94.285714285714292</v>
      </c>
      <c r="H65" s="762">
        <f>D65*E65</f>
        <v>886.28571428571433</v>
      </c>
      <c r="I65" s="197">
        <f>'Arable NPV'!$E145</f>
        <v>330</v>
      </c>
      <c r="J65" s="197">
        <f t="shared" si="152"/>
        <v>1216.2857142857142</v>
      </c>
      <c r="K65" s="197">
        <f>'Arable NPV'!$G145</f>
        <v>566.71194999999989</v>
      </c>
      <c r="L65" s="197">
        <f>'Arable NPV'!$H145</f>
        <v>691.46913599999993</v>
      </c>
      <c r="M65" s="197">
        <f t="shared" si="153"/>
        <v>1258.1810859999998</v>
      </c>
      <c r="N65" s="197">
        <f t="shared" si="154"/>
        <v>-371.89537171428549</v>
      </c>
      <c r="O65" s="197">
        <f t="shared" si="155"/>
        <v>-41.895371714285602</v>
      </c>
      <c r="P65" s="196">
        <f t="shared" si="156"/>
        <v>835.40928860940176</v>
      </c>
      <c r="Q65" s="197">
        <f t="shared" si="157"/>
        <v>311.05665001413894</v>
      </c>
      <c r="R65" s="197">
        <f t="shared" si="158"/>
        <v>1185.9563446130642</v>
      </c>
      <c r="S65" s="197">
        <f t="shared" si="159"/>
        <v>-350.54705600366248</v>
      </c>
      <c r="T65" s="199">
        <f t="shared" si="160"/>
        <v>-39.490405989523616</v>
      </c>
      <c r="U65" s="196">
        <f t="shared" si="161"/>
        <v>2757.1118614249358</v>
      </c>
      <c r="V65" s="197">
        <f t="shared" si="161"/>
        <v>961.44499952870206</v>
      </c>
      <c r="W65" s="197">
        <f t="shared" si="161"/>
        <v>3754.9540225956907</v>
      </c>
      <c r="X65" s="197">
        <f t="shared" si="161"/>
        <v>-997.84216117075493</v>
      </c>
      <c r="Y65" s="199">
        <f t="shared" si="161"/>
        <v>-36.397161642053071</v>
      </c>
      <c r="AB65" s="204">
        <f t="shared" ref="AB65:AB78" si="204">AB64+1</f>
        <v>3</v>
      </c>
      <c r="AC65" s="219" t="s">
        <v>28</v>
      </c>
      <c r="AD65" s="760">
        <f>'Arable Inputs'!$H$18+0.5*'Arable Inputs'!$H$18</f>
        <v>14.100000000000001</v>
      </c>
      <c r="AE65" s="760">
        <f>'Arable Inputs'!$H$25</f>
        <v>94.285714285714292</v>
      </c>
      <c r="AH65" s="762">
        <f>AD65*AE65</f>
        <v>1329.4285714285716</v>
      </c>
      <c r="AI65" s="197">
        <f>'Arable NPV'!$E145</f>
        <v>330</v>
      </c>
      <c r="AJ65" s="197">
        <f t="shared" si="162"/>
        <v>1659.4285714285716</v>
      </c>
      <c r="AK65" s="197">
        <f>'Arable NPV'!$G145</f>
        <v>566.71194999999989</v>
      </c>
      <c r="AL65" s="197">
        <f>'Arable NPV'!$H145</f>
        <v>691.46913599999993</v>
      </c>
      <c r="AM65" s="197">
        <f t="shared" si="163"/>
        <v>1258.1810859999998</v>
      </c>
      <c r="AN65" s="197">
        <f t="shared" si="164"/>
        <v>71.247485428571736</v>
      </c>
      <c r="AO65" s="197">
        <f t="shared" si="165"/>
        <v>401.24748542857174</v>
      </c>
      <c r="AP65" s="196">
        <f t="shared" si="166"/>
        <v>1253.1139329141029</v>
      </c>
      <c r="AQ65" s="197">
        <f t="shared" si="167"/>
        <v>311.05665001413894</v>
      </c>
      <c r="AR65" s="197">
        <f t="shared" si="168"/>
        <v>1185.9563446130642</v>
      </c>
      <c r="AS65" s="197">
        <f t="shared" si="169"/>
        <v>67.157588301038501</v>
      </c>
      <c r="AT65" s="199">
        <f t="shared" si="170"/>
        <v>378.21423831517745</v>
      </c>
      <c r="AU65" s="196">
        <f t="shared" si="171"/>
        <v>4135.6677921374039</v>
      </c>
      <c r="AV65" s="197">
        <f t="shared" si="171"/>
        <v>961.44499952870206</v>
      </c>
      <c r="AW65" s="197">
        <f t="shared" si="171"/>
        <v>3754.9540225956907</v>
      </c>
      <c r="AX65" s="197">
        <f t="shared" si="171"/>
        <v>380.71376954171302</v>
      </c>
      <c r="AY65" s="199">
        <f t="shared" si="171"/>
        <v>1342.158769070415</v>
      </c>
      <c r="BB65" s="204">
        <f t="shared" ref="BB65:BB78" si="205">BB64+1</f>
        <v>3</v>
      </c>
      <c r="BC65" s="219" t="s">
        <v>28</v>
      </c>
      <c r="BD65" s="760">
        <f>'Arable Inputs'!$H$18-0.5*'Arable Inputs'!$H$18</f>
        <v>4.7</v>
      </c>
      <c r="BE65" s="760">
        <f>'Arable Inputs'!$H$25</f>
        <v>94.285714285714292</v>
      </c>
      <c r="BH65" s="762">
        <f>BD65*BE65</f>
        <v>443.14285714285717</v>
      </c>
      <c r="BI65" s="197">
        <f>'Arable NPV'!$E145</f>
        <v>330</v>
      </c>
      <c r="BJ65" s="197">
        <f t="shared" si="172"/>
        <v>773.14285714285711</v>
      </c>
      <c r="BK65" s="197">
        <f>'Arable NPV'!$G145</f>
        <v>566.71194999999989</v>
      </c>
      <c r="BL65" s="197">
        <f>'Arable NPV'!$H145</f>
        <v>691.46913599999993</v>
      </c>
      <c r="BM65" s="197">
        <f t="shared" si="173"/>
        <v>1258.1810859999998</v>
      </c>
      <c r="BN65" s="197">
        <f t="shared" si="174"/>
        <v>-815.03822885714271</v>
      </c>
      <c r="BO65" s="197">
        <f t="shared" si="175"/>
        <v>-485.03822885714271</v>
      </c>
      <c r="BP65" s="196">
        <f t="shared" si="176"/>
        <v>417.70464430470088</v>
      </c>
      <c r="BQ65" s="197">
        <f t="shared" si="177"/>
        <v>311.05665001413894</v>
      </c>
      <c r="BR65" s="197">
        <f t="shared" si="178"/>
        <v>1185.9563446130642</v>
      </c>
      <c r="BS65" s="197">
        <f t="shared" si="179"/>
        <v>-768.25170030836341</v>
      </c>
      <c r="BT65" s="199">
        <f t="shared" si="180"/>
        <v>-457.19505029422447</v>
      </c>
      <c r="BU65" s="196">
        <f t="shared" si="181"/>
        <v>1378.5559307124679</v>
      </c>
      <c r="BV65" s="197">
        <f t="shared" si="181"/>
        <v>961.44499952870206</v>
      </c>
      <c r="BW65" s="197">
        <f t="shared" si="181"/>
        <v>3754.9540225956907</v>
      </c>
      <c r="BX65" s="197">
        <f t="shared" si="181"/>
        <v>-2376.3980918832231</v>
      </c>
      <c r="BY65" s="199">
        <f t="shared" si="181"/>
        <v>-1414.9530923545208</v>
      </c>
      <c r="BZ65" s="197"/>
      <c r="CB65" s="204">
        <f t="shared" ref="CB65:CB78" si="206">CB64+1</f>
        <v>3</v>
      </c>
      <c r="CC65" s="219" t="s">
        <v>28</v>
      </c>
      <c r="CD65" s="760">
        <f>'Arable Inputs'!$H$18+'Arable Inputs'!$H$18</f>
        <v>18.8</v>
      </c>
      <c r="CE65" s="760">
        <f>'Arable Inputs'!$H$25</f>
        <v>94.285714285714292</v>
      </c>
      <c r="CH65" s="762">
        <f>CD65*CE65</f>
        <v>1772.5714285714287</v>
      </c>
      <c r="CI65" s="197">
        <f>'Arable NPV'!$E145</f>
        <v>330</v>
      </c>
      <c r="CJ65" s="197">
        <f t="shared" si="182"/>
        <v>2102.5714285714284</v>
      </c>
      <c r="CK65" s="197">
        <f>'Arable NPV'!$G145</f>
        <v>566.71194999999989</v>
      </c>
      <c r="CL65" s="197">
        <f>'Arable NPV'!$H145</f>
        <v>691.46913599999993</v>
      </c>
      <c r="CM65" s="197">
        <f t="shared" si="183"/>
        <v>1258.1810859999998</v>
      </c>
      <c r="CN65" s="197">
        <f t="shared" si="184"/>
        <v>514.39034257142885</v>
      </c>
      <c r="CO65" s="197">
        <f t="shared" si="185"/>
        <v>844.39034257142862</v>
      </c>
      <c r="CP65" s="196">
        <f t="shared" si="186"/>
        <v>1670.8185772188035</v>
      </c>
      <c r="CQ65" s="197">
        <f t="shared" si="187"/>
        <v>311.05665001413894</v>
      </c>
      <c r="CR65" s="197">
        <f t="shared" si="188"/>
        <v>1185.9563446130642</v>
      </c>
      <c r="CS65" s="197">
        <f t="shared" si="189"/>
        <v>484.86223260573934</v>
      </c>
      <c r="CT65" s="199">
        <f t="shared" si="190"/>
        <v>795.9188826198781</v>
      </c>
      <c r="CU65" s="196">
        <f t="shared" si="191"/>
        <v>5514.2237228498716</v>
      </c>
      <c r="CV65" s="197">
        <f t="shared" si="191"/>
        <v>961.44499952870206</v>
      </c>
      <c r="CW65" s="197">
        <f t="shared" si="191"/>
        <v>3754.9540225956907</v>
      </c>
      <c r="CX65" s="197">
        <f t="shared" si="191"/>
        <v>1759.2697002541809</v>
      </c>
      <c r="CY65" s="199">
        <f t="shared" si="192"/>
        <v>2720.7146997828822</v>
      </c>
      <c r="DB65" s="204">
        <f t="shared" ref="DB65:DB78" si="207">DB64+1</f>
        <v>3</v>
      </c>
      <c r="DC65" s="219" t="s">
        <v>28</v>
      </c>
      <c r="DD65" s="760">
        <f>'Arable Inputs'!$H$18-'Arable Inputs'!$H$18</f>
        <v>0</v>
      </c>
      <c r="DE65" s="760">
        <f>'Arable Inputs'!$H$25</f>
        <v>94.285714285714292</v>
      </c>
      <c r="DH65" s="762">
        <f>DD65*DE65</f>
        <v>0</v>
      </c>
      <c r="DI65" s="197">
        <f>'Arable NPV'!$E145</f>
        <v>330</v>
      </c>
      <c r="DJ65" s="197">
        <f t="shared" si="193"/>
        <v>330</v>
      </c>
      <c r="DK65" s="197">
        <f>'Arable NPV'!$G145</f>
        <v>566.71194999999989</v>
      </c>
      <c r="DL65" s="197">
        <f>'Arable NPV'!$H145</f>
        <v>691.46913599999993</v>
      </c>
      <c r="DM65" s="197">
        <f t="shared" si="194"/>
        <v>1258.1810859999998</v>
      </c>
      <c r="DN65" s="197">
        <f t="shared" si="195"/>
        <v>-1258.1810859999998</v>
      </c>
      <c r="DO65" s="197">
        <f t="shared" si="196"/>
        <v>-928.18108599999982</v>
      </c>
      <c r="DP65" s="196">
        <f t="shared" si="197"/>
        <v>0</v>
      </c>
      <c r="DQ65" s="197">
        <f t="shared" si="198"/>
        <v>311.05665001413894</v>
      </c>
      <c r="DR65" s="197">
        <f t="shared" si="199"/>
        <v>1185.9563446130642</v>
      </c>
      <c r="DS65" s="197">
        <f t="shared" si="200"/>
        <v>-1185.9563446130642</v>
      </c>
      <c r="DT65" s="199">
        <f t="shared" si="201"/>
        <v>-874.89969459892529</v>
      </c>
      <c r="DU65" s="196">
        <f t="shared" si="202"/>
        <v>0</v>
      </c>
      <c r="DV65" s="197">
        <f t="shared" si="202"/>
        <v>961.44499952870206</v>
      </c>
      <c r="DW65" s="197">
        <f t="shared" si="202"/>
        <v>3754.9540225956907</v>
      </c>
      <c r="DX65" s="197">
        <f t="shared" si="202"/>
        <v>-3754.9540225956907</v>
      </c>
      <c r="DY65" s="199">
        <f t="shared" si="202"/>
        <v>-2793.5090230669884</v>
      </c>
    </row>
    <row r="66" spans="2:129" x14ac:dyDescent="0.3">
      <c r="B66" s="204">
        <f t="shared" si="203"/>
        <v>4</v>
      </c>
      <c r="C66" s="219" t="s">
        <v>5</v>
      </c>
      <c r="D66" s="760">
        <f>'Arable Inputs'!$F$18</f>
        <v>2.6</v>
      </c>
      <c r="E66" s="760">
        <f>'Arable Inputs'!$F$25</f>
        <v>196.99</v>
      </c>
      <c r="F66" s="760">
        <f>'Arable Inputs'!$F$19</f>
        <v>2.6</v>
      </c>
      <c r="G66" s="760">
        <f>'Arable Inputs'!$F$26</f>
        <v>42.374999999999993</v>
      </c>
      <c r="H66" s="762">
        <f>D66*E66+F66*G66</f>
        <v>622.34900000000005</v>
      </c>
      <c r="I66" s="197">
        <f>'Arable NPV'!$E146</f>
        <v>330</v>
      </c>
      <c r="J66" s="197">
        <f t="shared" si="152"/>
        <v>952.34900000000005</v>
      </c>
      <c r="K66" s="197">
        <f>'Arable NPV'!$G146</f>
        <v>327.77441459954235</v>
      </c>
      <c r="L66" s="197">
        <f>'Arable NPV'!$H146</f>
        <v>704.91322685714283</v>
      </c>
      <c r="M66" s="197">
        <f t="shared" si="153"/>
        <v>1032.6876414566852</v>
      </c>
      <c r="N66" s="197">
        <f t="shared" si="154"/>
        <v>-410.3386414566852</v>
      </c>
      <c r="O66" s="197">
        <f t="shared" si="155"/>
        <v>-80.338641456685195</v>
      </c>
      <c r="P66" s="196">
        <f t="shared" si="156"/>
        <v>569.5374965567795</v>
      </c>
      <c r="Q66" s="197">
        <f t="shared" si="157"/>
        <v>301.99674758654265</v>
      </c>
      <c r="R66" s="197">
        <f t="shared" si="158"/>
        <v>945.05548179617165</v>
      </c>
      <c r="S66" s="197">
        <f t="shared" si="159"/>
        <v>-375.51798523939209</v>
      </c>
      <c r="T66" s="199">
        <f t="shared" si="160"/>
        <v>-73.521237652849422</v>
      </c>
      <c r="U66" s="196">
        <f t="shared" si="161"/>
        <v>3326.6493579817152</v>
      </c>
      <c r="V66" s="197">
        <f t="shared" si="161"/>
        <v>1263.4417471152447</v>
      </c>
      <c r="W66" s="197">
        <f t="shared" si="161"/>
        <v>4700.0095043918627</v>
      </c>
      <c r="X66" s="197">
        <f t="shared" si="161"/>
        <v>-1373.3601464101471</v>
      </c>
      <c r="Y66" s="199">
        <f t="shared" si="161"/>
        <v>-109.91839929490249</v>
      </c>
      <c r="AB66" s="204">
        <f t="shared" si="204"/>
        <v>4</v>
      </c>
      <c r="AC66" s="219" t="s">
        <v>5</v>
      </c>
      <c r="AD66" s="760">
        <f>'Arable Inputs'!$F$18+0.5*'Arable Inputs'!$F$18</f>
        <v>3.9000000000000004</v>
      </c>
      <c r="AE66" s="760">
        <f>'Arable Inputs'!$F$25</f>
        <v>196.99</v>
      </c>
      <c r="AF66" s="760">
        <f>'Arable Inputs'!$F$19+0.5*'Arable Inputs'!$F$19</f>
        <v>3.9000000000000004</v>
      </c>
      <c r="AG66" s="760">
        <f>'Arable Inputs'!$F$26</f>
        <v>42.374999999999993</v>
      </c>
      <c r="AH66" s="762">
        <f>AD66*AE66+AF66*AG66</f>
        <v>933.52350000000001</v>
      </c>
      <c r="AI66" s="197">
        <f>'Arable NPV'!$E146</f>
        <v>330</v>
      </c>
      <c r="AJ66" s="197">
        <f t="shared" si="162"/>
        <v>1263.5235</v>
      </c>
      <c r="AK66" s="197">
        <f>'Arable NPV'!$G146</f>
        <v>327.77441459954235</v>
      </c>
      <c r="AL66" s="197">
        <f>'Arable NPV'!$H146</f>
        <v>704.91322685714283</v>
      </c>
      <c r="AM66" s="197">
        <f t="shared" si="163"/>
        <v>1032.6876414566852</v>
      </c>
      <c r="AN66" s="197">
        <f t="shared" si="164"/>
        <v>-99.164141456685229</v>
      </c>
      <c r="AO66" s="197">
        <f t="shared" si="165"/>
        <v>230.83585854331477</v>
      </c>
      <c r="AP66" s="196">
        <f t="shared" si="166"/>
        <v>854.30624483516931</v>
      </c>
      <c r="AQ66" s="197">
        <f t="shared" si="167"/>
        <v>301.99674758654265</v>
      </c>
      <c r="AR66" s="197">
        <f t="shared" si="168"/>
        <v>945.05548179617165</v>
      </c>
      <c r="AS66" s="197">
        <f t="shared" si="169"/>
        <v>-90.749236961002367</v>
      </c>
      <c r="AT66" s="199">
        <f t="shared" si="170"/>
        <v>211.24751062554029</v>
      </c>
      <c r="AU66" s="196">
        <f t="shared" si="171"/>
        <v>4989.9740369725732</v>
      </c>
      <c r="AV66" s="197">
        <f t="shared" si="171"/>
        <v>1263.4417471152447</v>
      </c>
      <c r="AW66" s="197">
        <f t="shared" si="171"/>
        <v>4700.0095043918627</v>
      </c>
      <c r="AX66" s="197">
        <f t="shared" si="171"/>
        <v>289.96453258071062</v>
      </c>
      <c r="AY66" s="199">
        <f t="shared" si="171"/>
        <v>1553.4062796959554</v>
      </c>
      <c r="BB66" s="204">
        <f t="shared" si="205"/>
        <v>4</v>
      </c>
      <c r="BC66" s="219" t="s">
        <v>5</v>
      </c>
      <c r="BD66" s="760">
        <f>'Arable Inputs'!$F$18-0.5*'Arable Inputs'!$F$18</f>
        <v>1.3</v>
      </c>
      <c r="BE66" s="760">
        <f>'Arable Inputs'!$F$25</f>
        <v>196.99</v>
      </c>
      <c r="BF66" s="760">
        <f>'Arable Inputs'!$F$19-0.5*'Arable Inputs'!$F$19</f>
        <v>1.3</v>
      </c>
      <c r="BG66" s="760">
        <f>'Arable Inputs'!$F$26</f>
        <v>42.374999999999993</v>
      </c>
      <c r="BH66" s="762">
        <f>BD66*BE66+BF66*BG66</f>
        <v>311.17450000000002</v>
      </c>
      <c r="BI66" s="197">
        <f>'Arable NPV'!$E146</f>
        <v>330</v>
      </c>
      <c r="BJ66" s="197">
        <f t="shared" si="172"/>
        <v>641.17450000000008</v>
      </c>
      <c r="BK66" s="197">
        <f>'Arable NPV'!$G146</f>
        <v>327.77441459954235</v>
      </c>
      <c r="BL66" s="197">
        <f>'Arable NPV'!$H146</f>
        <v>704.91322685714283</v>
      </c>
      <c r="BM66" s="197">
        <f t="shared" si="173"/>
        <v>1032.6876414566852</v>
      </c>
      <c r="BN66" s="197">
        <f t="shared" si="174"/>
        <v>-721.51314145668516</v>
      </c>
      <c r="BO66" s="197">
        <f t="shared" si="175"/>
        <v>-391.51314145668516</v>
      </c>
      <c r="BP66" s="196">
        <f t="shared" si="176"/>
        <v>284.76874827838975</v>
      </c>
      <c r="BQ66" s="197">
        <f t="shared" si="177"/>
        <v>301.99674758654265</v>
      </c>
      <c r="BR66" s="197">
        <f t="shared" si="178"/>
        <v>945.05548179617165</v>
      </c>
      <c r="BS66" s="197">
        <f t="shared" si="179"/>
        <v>-660.28673351778184</v>
      </c>
      <c r="BT66" s="199">
        <f t="shared" si="180"/>
        <v>-358.28998593123913</v>
      </c>
      <c r="BU66" s="196">
        <f t="shared" si="181"/>
        <v>1663.3246789908576</v>
      </c>
      <c r="BV66" s="197">
        <f t="shared" si="181"/>
        <v>1263.4417471152447</v>
      </c>
      <c r="BW66" s="197">
        <f t="shared" si="181"/>
        <v>4700.0095043918627</v>
      </c>
      <c r="BX66" s="197">
        <f t="shared" si="181"/>
        <v>-3036.6848254010047</v>
      </c>
      <c r="BY66" s="199">
        <f t="shared" si="181"/>
        <v>-1773.24307828576</v>
      </c>
      <c r="BZ66" s="197"/>
      <c r="CB66" s="204">
        <f t="shared" si="206"/>
        <v>4</v>
      </c>
      <c r="CC66" s="219" t="s">
        <v>5</v>
      </c>
      <c r="CD66" s="760">
        <f>'Arable Inputs'!$F$18+'Arable Inputs'!$F$18</f>
        <v>5.2</v>
      </c>
      <c r="CE66" s="760">
        <f>'Arable Inputs'!$F$25</f>
        <v>196.99</v>
      </c>
      <c r="CF66" s="760">
        <f>'Arable Inputs'!$F$19+'Arable Inputs'!$F$19</f>
        <v>5.2</v>
      </c>
      <c r="CG66" s="760">
        <f>'Arable Inputs'!$F$26</f>
        <v>42.374999999999993</v>
      </c>
      <c r="CH66" s="762">
        <f>CD66*CE66+CF66*CG66</f>
        <v>1244.6980000000001</v>
      </c>
      <c r="CI66" s="197">
        <f>'Arable NPV'!$E146</f>
        <v>330</v>
      </c>
      <c r="CJ66" s="197">
        <f t="shared" si="182"/>
        <v>1574.6980000000001</v>
      </c>
      <c r="CK66" s="197">
        <f>'Arable NPV'!$G146</f>
        <v>327.77441459954235</v>
      </c>
      <c r="CL66" s="197">
        <f>'Arable NPV'!$H146</f>
        <v>704.91322685714283</v>
      </c>
      <c r="CM66" s="197">
        <f t="shared" si="183"/>
        <v>1032.6876414566852</v>
      </c>
      <c r="CN66" s="197">
        <f t="shared" si="184"/>
        <v>212.01035854331485</v>
      </c>
      <c r="CO66" s="197">
        <f t="shared" si="185"/>
        <v>542.01035854331485</v>
      </c>
      <c r="CP66" s="196">
        <f t="shared" si="186"/>
        <v>1139.074993113559</v>
      </c>
      <c r="CQ66" s="197">
        <f t="shared" si="187"/>
        <v>301.99674758654265</v>
      </c>
      <c r="CR66" s="197">
        <f t="shared" si="188"/>
        <v>945.05548179617165</v>
      </c>
      <c r="CS66" s="197">
        <f t="shared" si="189"/>
        <v>194.01951131738747</v>
      </c>
      <c r="CT66" s="199">
        <f t="shared" si="190"/>
        <v>496.01625890393012</v>
      </c>
      <c r="CU66" s="196">
        <f t="shared" si="191"/>
        <v>6653.2987159634304</v>
      </c>
      <c r="CV66" s="197">
        <f t="shared" si="191"/>
        <v>1263.4417471152447</v>
      </c>
      <c r="CW66" s="197">
        <f t="shared" si="191"/>
        <v>4700.0095043918627</v>
      </c>
      <c r="CX66" s="197">
        <f t="shared" si="191"/>
        <v>1953.2892115715683</v>
      </c>
      <c r="CY66" s="199">
        <f t="shared" si="192"/>
        <v>3216.7309586868123</v>
      </c>
      <c r="DB66" s="204">
        <f t="shared" si="207"/>
        <v>4</v>
      </c>
      <c r="DC66" s="219" t="s">
        <v>5</v>
      </c>
      <c r="DD66" s="760">
        <f>'Arable Inputs'!$F$18-'Arable Inputs'!$F$18</f>
        <v>0</v>
      </c>
      <c r="DE66" s="760">
        <f>'Arable Inputs'!$F$25</f>
        <v>196.99</v>
      </c>
      <c r="DF66" s="760">
        <f>'Arable Inputs'!$F$19-'Arable Inputs'!$F$19</f>
        <v>0</v>
      </c>
      <c r="DG66" s="760">
        <f>'Arable Inputs'!$F$26</f>
        <v>42.374999999999993</v>
      </c>
      <c r="DH66" s="762">
        <f>DD66*DE66+DF66*DG66</f>
        <v>0</v>
      </c>
      <c r="DI66" s="197">
        <f>'Arable NPV'!$E146</f>
        <v>330</v>
      </c>
      <c r="DJ66" s="197">
        <f t="shared" si="193"/>
        <v>330</v>
      </c>
      <c r="DK66" s="197">
        <f>'Arable NPV'!$G146</f>
        <v>327.77441459954235</v>
      </c>
      <c r="DL66" s="197">
        <f>'Arable NPV'!$H146</f>
        <v>704.91322685714283</v>
      </c>
      <c r="DM66" s="197">
        <f t="shared" si="194"/>
        <v>1032.6876414566852</v>
      </c>
      <c r="DN66" s="197">
        <f t="shared" si="195"/>
        <v>-1032.6876414566852</v>
      </c>
      <c r="DO66" s="197">
        <f t="shared" si="196"/>
        <v>-702.68764145668524</v>
      </c>
      <c r="DP66" s="196">
        <f t="shared" si="197"/>
        <v>0</v>
      </c>
      <c r="DQ66" s="197">
        <f t="shared" si="198"/>
        <v>301.99674758654265</v>
      </c>
      <c r="DR66" s="197">
        <f t="shared" si="199"/>
        <v>945.05548179617165</v>
      </c>
      <c r="DS66" s="197">
        <f t="shared" si="200"/>
        <v>-945.05548179617165</v>
      </c>
      <c r="DT66" s="199">
        <f t="shared" si="201"/>
        <v>-643.05873420962894</v>
      </c>
      <c r="DU66" s="196">
        <f t="shared" si="202"/>
        <v>0</v>
      </c>
      <c r="DV66" s="197">
        <f t="shared" si="202"/>
        <v>1263.4417471152447</v>
      </c>
      <c r="DW66" s="197">
        <f t="shared" si="202"/>
        <v>4700.0095043918627</v>
      </c>
      <c r="DX66" s="197">
        <f t="shared" si="202"/>
        <v>-4700.0095043918627</v>
      </c>
      <c r="DY66" s="199">
        <f t="shared" si="202"/>
        <v>-3436.5677572766172</v>
      </c>
    </row>
    <row r="67" spans="2:129" x14ac:dyDescent="0.3">
      <c r="B67" s="204">
        <f t="shared" si="203"/>
        <v>5</v>
      </c>
      <c r="C67" s="219" t="s">
        <v>559</v>
      </c>
      <c r="D67" s="760">
        <f>'Arable Inputs'!$E$18</f>
        <v>3.1</v>
      </c>
      <c r="E67" s="760">
        <f>'Arable Inputs'!$E$25</f>
        <v>310.75</v>
      </c>
      <c r="H67" s="762">
        <f>D67*E67</f>
        <v>963.32500000000005</v>
      </c>
      <c r="I67" s="197">
        <f>'Arable NPV'!$E147</f>
        <v>330</v>
      </c>
      <c r="J67" s="197">
        <f t="shared" si="152"/>
        <v>1293.325</v>
      </c>
      <c r="K67" s="197">
        <f>'Arable NPV'!$G147</f>
        <v>300.32802631578949</v>
      </c>
      <c r="L67" s="197">
        <f>'Arable NPV'!$H147</f>
        <v>547.62448399999994</v>
      </c>
      <c r="M67" s="197">
        <f t="shared" si="153"/>
        <v>847.95251031578937</v>
      </c>
      <c r="N67" s="197">
        <f t="shared" si="154"/>
        <v>115.37248968421068</v>
      </c>
      <c r="O67" s="197">
        <f t="shared" si="155"/>
        <v>445.37248968421068</v>
      </c>
      <c r="P67" s="196">
        <f t="shared" si="156"/>
        <v>855.90178543338106</v>
      </c>
      <c r="Q67" s="197">
        <f t="shared" si="157"/>
        <v>293.20072581217738</v>
      </c>
      <c r="R67" s="197">
        <f t="shared" si="158"/>
        <v>753.3948226631735</v>
      </c>
      <c r="S67" s="197">
        <f t="shared" si="159"/>
        <v>102.50696277020762</v>
      </c>
      <c r="T67" s="199">
        <f t="shared" si="160"/>
        <v>395.707688582385</v>
      </c>
      <c r="U67" s="196">
        <f t="shared" si="161"/>
        <v>4182.5511434150958</v>
      </c>
      <c r="V67" s="197">
        <f t="shared" si="161"/>
        <v>1556.642472927422</v>
      </c>
      <c r="W67" s="197">
        <f t="shared" si="161"/>
        <v>5453.4043270550364</v>
      </c>
      <c r="X67" s="197">
        <f t="shared" si="161"/>
        <v>-1270.8531836399395</v>
      </c>
      <c r="Y67" s="199">
        <f t="shared" si="161"/>
        <v>285.78928928748252</v>
      </c>
      <c r="AB67" s="204">
        <f t="shared" si="204"/>
        <v>5</v>
      </c>
      <c r="AC67" s="219" t="s">
        <v>559</v>
      </c>
      <c r="AD67" s="760">
        <f>'Arable Inputs'!$E$18+0.5*'Arable Inputs'!$E$18</f>
        <v>4.6500000000000004</v>
      </c>
      <c r="AE67" s="760">
        <f>'Arable Inputs'!$E$25</f>
        <v>310.75</v>
      </c>
      <c r="AH67" s="762">
        <f>AD67*AE67</f>
        <v>1444.9875000000002</v>
      </c>
      <c r="AI67" s="197">
        <f>'Arable NPV'!$E147</f>
        <v>330</v>
      </c>
      <c r="AJ67" s="197">
        <f t="shared" si="162"/>
        <v>1774.9875000000002</v>
      </c>
      <c r="AK67" s="197">
        <f>'Arable NPV'!$G147</f>
        <v>300.32802631578949</v>
      </c>
      <c r="AL67" s="197">
        <f>'Arable NPV'!$H147</f>
        <v>547.62448399999994</v>
      </c>
      <c r="AM67" s="197">
        <f t="shared" si="163"/>
        <v>847.95251031578937</v>
      </c>
      <c r="AN67" s="197">
        <f t="shared" si="164"/>
        <v>597.03498968421081</v>
      </c>
      <c r="AO67" s="197">
        <f t="shared" si="165"/>
        <v>927.03498968421081</v>
      </c>
      <c r="AP67" s="196">
        <f t="shared" si="166"/>
        <v>1283.8526781500718</v>
      </c>
      <c r="AQ67" s="197">
        <f t="shared" si="167"/>
        <v>293.20072581217738</v>
      </c>
      <c r="AR67" s="197">
        <f t="shared" si="168"/>
        <v>753.3948226631735</v>
      </c>
      <c r="AS67" s="197">
        <f t="shared" si="169"/>
        <v>530.45785548689832</v>
      </c>
      <c r="AT67" s="199">
        <f t="shared" si="170"/>
        <v>823.65858129907565</v>
      </c>
      <c r="AU67" s="196">
        <f t="shared" si="171"/>
        <v>6273.8267151226446</v>
      </c>
      <c r="AV67" s="197">
        <f t="shared" si="171"/>
        <v>1556.642472927422</v>
      </c>
      <c r="AW67" s="197">
        <f t="shared" si="171"/>
        <v>5453.4043270550364</v>
      </c>
      <c r="AX67" s="197">
        <f t="shared" si="171"/>
        <v>820.42238806760895</v>
      </c>
      <c r="AY67" s="199">
        <f t="shared" si="171"/>
        <v>2377.0648609950313</v>
      </c>
      <c r="BB67" s="204">
        <f t="shared" si="205"/>
        <v>5</v>
      </c>
      <c r="BC67" s="219" t="s">
        <v>559</v>
      </c>
      <c r="BD67" s="760">
        <f>'Arable Inputs'!$E$18-0.5*'Arable Inputs'!$E$18</f>
        <v>1.55</v>
      </c>
      <c r="BE67" s="760">
        <f>'Arable Inputs'!$E$25</f>
        <v>310.75</v>
      </c>
      <c r="BH67" s="762">
        <f>BD67*BE67</f>
        <v>481.66250000000002</v>
      </c>
      <c r="BI67" s="197">
        <f>'Arable NPV'!$E147</f>
        <v>330</v>
      </c>
      <c r="BJ67" s="197">
        <f t="shared" si="172"/>
        <v>811.66250000000002</v>
      </c>
      <c r="BK67" s="197">
        <f>'Arable NPV'!$G147</f>
        <v>300.32802631578949</v>
      </c>
      <c r="BL67" s="197">
        <f>'Arable NPV'!$H147</f>
        <v>547.62448399999994</v>
      </c>
      <c r="BM67" s="197">
        <f t="shared" si="173"/>
        <v>847.95251031578937</v>
      </c>
      <c r="BN67" s="197">
        <f t="shared" si="174"/>
        <v>-366.29001031578935</v>
      </c>
      <c r="BO67" s="197">
        <f t="shared" si="175"/>
        <v>-36.290010315789345</v>
      </c>
      <c r="BP67" s="196">
        <f t="shared" si="176"/>
        <v>427.95089271669053</v>
      </c>
      <c r="BQ67" s="197">
        <f t="shared" si="177"/>
        <v>293.20072581217738</v>
      </c>
      <c r="BR67" s="197">
        <f t="shared" si="178"/>
        <v>753.3948226631735</v>
      </c>
      <c r="BS67" s="197">
        <f t="shared" si="179"/>
        <v>-325.44392994648291</v>
      </c>
      <c r="BT67" s="199">
        <f t="shared" si="180"/>
        <v>-32.243204134305579</v>
      </c>
      <c r="BU67" s="196">
        <f t="shared" si="181"/>
        <v>2091.2755717075479</v>
      </c>
      <c r="BV67" s="197">
        <f t="shared" si="181"/>
        <v>1556.642472927422</v>
      </c>
      <c r="BW67" s="197">
        <f t="shared" si="181"/>
        <v>5453.4043270550364</v>
      </c>
      <c r="BX67" s="197">
        <f t="shared" si="181"/>
        <v>-3362.1287553474876</v>
      </c>
      <c r="BY67" s="199">
        <f t="shared" si="181"/>
        <v>-1805.4862824200657</v>
      </c>
      <c r="BZ67" s="197"/>
      <c r="CB67" s="204">
        <f t="shared" si="206"/>
        <v>5</v>
      </c>
      <c r="CC67" s="219" t="s">
        <v>559</v>
      </c>
      <c r="CD67" s="760">
        <f>'Arable Inputs'!$E$18+'Arable Inputs'!$E$18</f>
        <v>6.2</v>
      </c>
      <c r="CE67" s="760">
        <f>'Arable Inputs'!$E$25</f>
        <v>310.75</v>
      </c>
      <c r="CH67" s="762">
        <f>CD67*CE67</f>
        <v>1926.65</v>
      </c>
      <c r="CI67" s="197">
        <f>'Arable NPV'!$E147</f>
        <v>330</v>
      </c>
      <c r="CJ67" s="197">
        <f t="shared" si="182"/>
        <v>2256.65</v>
      </c>
      <c r="CK67" s="197">
        <f>'Arable NPV'!$G147</f>
        <v>300.32802631578949</v>
      </c>
      <c r="CL67" s="197">
        <f>'Arable NPV'!$H147</f>
        <v>547.62448399999994</v>
      </c>
      <c r="CM67" s="197">
        <f t="shared" si="183"/>
        <v>847.95251031578937</v>
      </c>
      <c r="CN67" s="197">
        <f t="shared" si="184"/>
        <v>1078.6974896842107</v>
      </c>
      <c r="CO67" s="197">
        <f t="shared" si="185"/>
        <v>1408.6974896842107</v>
      </c>
      <c r="CP67" s="196">
        <f t="shared" si="186"/>
        <v>1711.8035708667621</v>
      </c>
      <c r="CQ67" s="197">
        <f t="shared" si="187"/>
        <v>293.20072581217738</v>
      </c>
      <c r="CR67" s="197">
        <f t="shared" si="188"/>
        <v>753.3948226631735</v>
      </c>
      <c r="CS67" s="197">
        <f t="shared" si="189"/>
        <v>958.40874820358874</v>
      </c>
      <c r="CT67" s="199">
        <f t="shared" si="190"/>
        <v>1251.6094740157662</v>
      </c>
      <c r="CU67" s="196">
        <f t="shared" si="191"/>
        <v>8365.1022868301916</v>
      </c>
      <c r="CV67" s="197">
        <f t="shared" si="191"/>
        <v>1556.642472927422</v>
      </c>
      <c r="CW67" s="197">
        <f t="shared" si="191"/>
        <v>5453.4043270550364</v>
      </c>
      <c r="CX67" s="197">
        <f t="shared" si="191"/>
        <v>2911.697959775157</v>
      </c>
      <c r="CY67" s="199">
        <f t="shared" si="192"/>
        <v>4468.3404327025783</v>
      </c>
      <c r="DB67" s="204">
        <f t="shared" si="207"/>
        <v>5</v>
      </c>
      <c r="DC67" s="219" t="s">
        <v>559</v>
      </c>
      <c r="DD67" s="760">
        <f>'Arable Inputs'!$E$18-'Arable Inputs'!$E$18</f>
        <v>0</v>
      </c>
      <c r="DE67" s="760">
        <f>'Arable Inputs'!$E$25</f>
        <v>310.75</v>
      </c>
      <c r="DH67" s="762">
        <f>DD67*DE67</f>
        <v>0</v>
      </c>
      <c r="DI67" s="197">
        <f>'Arable NPV'!$E147</f>
        <v>330</v>
      </c>
      <c r="DJ67" s="197">
        <f t="shared" si="193"/>
        <v>330</v>
      </c>
      <c r="DK67" s="197">
        <f>'Arable NPV'!$G147</f>
        <v>300.32802631578949</v>
      </c>
      <c r="DL67" s="197">
        <f>'Arable NPV'!$H147</f>
        <v>547.62448399999994</v>
      </c>
      <c r="DM67" s="197">
        <f t="shared" si="194"/>
        <v>847.95251031578937</v>
      </c>
      <c r="DN67" s="197">
        <f t="shared" si="195"/>
        <v>-847.95251031578937</v>
      </c>
      <c r="DO67" s="197">
        <f t="shared" si="196"/>
        <v>-517.95251031578937</v>
      </c>
      <c r="DP67" s="196">
        <f t="shared" si="197"/>
        <v>0</v>
      </c>
      <c r="DQ67" s="197">
        <f t="shared" si="198"/>
        <v>293.20072581217738</v>
      </c>
      <c r="DR67" s="197">
        <f t="shared" si="199"/>
        <v>753.3948226631735</v>
      </c>
      <c r="DS67" s="197">
        <f t="shared" si="200"/>
        <v>-753.3948226631735</v>
      </c>
      <c r="DT67" s="199">
        <f t="shared" si="201"/>
        <v>-460.19409685099612</v>
      </c>
      <c r="DU67" s="196">
        <f t="shared" si="202"/>
        <v>0</v>
      </c>
      <c r="DV67" s="197">
        <f t="shared" si="202"/>
        <v>1556.642472927422</v>
      </c>
      <c r="DW67" s="197">
        <f t="shared" si="202"/>
        <v>5453.4043270550364</v>
      </c>
      <c r="DX67" s="197">
        <f t="shared" si="202"/>
        <v>-5453.4043270550364</v>
      </c>
      <c r="DY67" s="199">
        <f t="shared" si="202"/>
        <v>-3896.7618541276133</v>
      </c>
    </row>
    <row r="68" spans="2:129" x14ac:dyDescent="0.3">
      <c r="B68" s="204">
        <f t="shared" si="203"/>
        <v>6</v>
      </c>
      <c r="C68" s="219" t="s">
        <v>4</v>
      </c>
      <c r="D68" s="760">
        <f>'Arable Inputs'!$D$18</f>
        <v>5.5</v>
      </c>
      <c r="E68" s="760">
        <f>'Arable Inputs'!$D$25</f>
        <v>210</v>
      </c>
      <c r="F68" s="760">
        <f>'Arable Inputs'!$D$19</f>
        <v>3.9</v>
      </c>
      <c r="G68" s="760">
        <f>'Arable Inputs'!$D$26</f>
        <v>73.449999999999989</v>
      </c>
      <c r="H68" s="762">
        <f>D68*E68+F68*G68</f>
        <v>1441.4549999999999</v>
      </c>
      <c r="I68" s="197">
        <f>'Arable NPV'!$E148</f>
        <v>330</v>
      </c>
      <c r="J68" s="197">
        <f t="shared" si="152"/>
        <v>1771.4549999999999</v>
      </c>
      <c r="K68" s="197">
        <f>'Arable NPV'!$G148</f>
        <v>622.34710631578946</v>
      </c>
      <c r="L68" s="197">
        <f>'Arable NPV'!$H148</f>
        <v>943.00233600000001</v>
      </c>
      <c r="M68" s="197">
        <f t="shared" si="153"/>
        <v>1565.3494423157895</v>
      </c>
      <c r="N68" s="197">
        <f t="shared" si="154"/>
        <v>-123.89444231578955</v>
      </c>
      <c r="O68" s="197">
        <f t="shared" si="155"/>
        <v>206.10555768421045</v>
      </c>
      <c r="P68" s="196">
        <f t="shared" si="156"/>
        <v>1243.4117452944752</v>
      </c>
      <c r="Q68" s="197">
        <f t="shared" si="157"/>
        <v>284.66089884677416</v>
      </c>
      <c r="R68" s="197">
        <f t="shared" si="158"/>
        <v>1350.2841795724523</v>
      </c>
      <c r="S68" s="197">
        <f t="shared" si="159"/>
        <v>-106.87243427797716</v>
      </c>
      <c r="T68" s="199">
        <f t="shared" si="160"/>
        <v>177.788464568797</v>
      </c>
      <c r="U68" s="196">
        <f t="shared" si="161"/>
        <v>5425.9628887095714</v>
      </c>
      <c r="V68" s="197">
        <f t="shared" si="161"/>
        <v>1841.3033717741962</v>
      </c>
      <c r="W68" s="197">
        <f t="shared" si="161"/>
        <v>6803.688506627489</v>
      </c>
      <c r="X68" s="197">
        <f t="shared" si="161"/>
        <v>-1377.7256179179167</v>
      </c>
      <c r="Y68" s="199">
        <f t="shared" si="161"/>
        <v>463.57775385627951</v>
      </c>
      <c r="AB68" s="204">
        <f t="shared" si="204"/>
        <v>6</v>
      </c>
      <c r="AC68" s="219" t="s">
        <v>4</v>
      </c>
      <c r="AD68" s="760">
        <f>'Arable Inputs'!$D$18+0.5*'Arable Inputs'!$D$18</f>
        <v>8.25</v>
      </c>
      <c r="AE68" s="760">
        <f>'Arable Inputs'!$D$25</f>
        <v>210</v>
      </c>
      <c r="AF68" s="760">
        <f>'Arable Inputs'!$D$19+0.5*'Arable Inputs'!$D$19</f>
        <v>5.85</v>
      </c>
      <c r="AG68" s="760">
        <f>'Arable Inputs'!$D$26</f>
        <v>73.449999999999989</v>
      </c>
      <c r="AH68" s="762">
        <f>AD68*AE68+AF68*AG68</f>
        <v>2162.1824999999999</v>
      </c>
      <c r="AI68" s="197">
        <f>'Arable NPV'!$E148</f>
        <v>330</v>
      </c>
      <c r="AJ68" s="197">
        <f t="shared" si="162"/>
        <v>2492.1824999999999</v>
      </c>
      <c r="AK68" s="197">
        <f>'Arable NPV'!$G148</f>
        <v>622.34710631578946</v>
      </c>
      <c r="AL68" s="197">
        <f>'Arable NPV'!$H148</f>
        <v>943.00233600000001</v>
      </c>
      <c r="AM68" s="197">
        <f t="shared" si="163"/>
        <v>1565.3494423157895</v>
      </c>
      <c r="AN68" s="197">
        <f t="shared" si="164"/>
        <v>596.83305768421042</v>
      </c>
      <c r="AO68" s="197">
        <f t="shared" si="165"/>
        <v>926.83305768421042</v>
      </c>
      <c r="AP68" s="196">
        <f t="shared" si="166"/>
        <v>1865.1176179417128</v>
      </c>
      <c r="AQ68" s="197">
        <f t="shared" si="167"/>
        <v>284.66089884677416</v>
      </c>
      <c r="AR68" s="197">
        <f t="shared" si="168"/>
        <v>1350.2841795724523</v>
      </c>
      <c r="AS68" s="197">
        <f t="shared" si="169"/>
        <v>514.83343836926042</v>
      </c>
      <c r="AT68" s="199">
        <f t="shared" si="170"/>
        <v>799.49433721603464</v>
      </c>
      <c r="AU68" s="196">
        <f t="shared" si="171"/>
        <v>8138.9443330643571</v>
      </c>
      <c r="AV68" s="197">
        <f t="shared" si="171"/>
        <v>1841.3033717741962</v>
      </c>
      <c r="AW68" s="197">
        <f t="shared" si="171"/>
        <v>6803.688506627489</v>
      </c>
      <c r="AX68" s="197">
        <f t="shared" si="171"/>
        <v>1335.2558264368695</v>
      </c>
      <c r="AY68" s="199">
        <f t="shared" si="171"/>
        <v>3176.5591982110659</v>
      </c>
      <c r="BB68" s="204">
        <f t="shared" si="205"/>
        <v>6</v>
      </c>
      <c r="BC68" s="219" t="s">
        <v>4</v>
      </c>
      <c r="BD68" s="760">
        <f>'Arable Inputs'!$D$18-0.5*'Arable Inputs'!$D$18</f>
        <v>2.75</v>
      </c>
      <c r="BE68" s="760">
        <f>'Arable Inputs'!$D$25</f>
        <v>210</v>
      </c>
      <c r="BF68" s="760">
        <f>'Arable Inputs'!$D$19-0.5*'Arable Inputs'!$D$19</f>
        <v>1.95</v>
      </c>
      <c r="BG68" s="760">
        <f>'Arable Inputs'!$D$26</f>
        <v>73.449999999999989</v>
      </c>
      <c r="BH68" s="762">
        <f>BD68*BE68+BF68*BG68</f>
        <v>720.72749999999996</v>
      </c>
      <c r="BI68" s="197">
        <f>'Arable NPV'!$E148</f>
        <v>330</v>
      </c>
      <c r="BJ68" s="197">
        <f t="shared" si="172"/>
        <v>1050.7275</v>
      </c>
      <c r="BK68" s="197">
        <f>'Arable NPV'!$G148</f>
        <v>622.34710631578946</v>
      </c>
      <c r="BL68" s="197">
        <f>'Arable NPV'!$H148</f>
        <v>943.00233600000001</v>
      </c>
      <c r="BM68" s="197">
        <f t="shared" si="173"/>
        <v>1565.3494423157895</v>
      </c>
      <c r="BN68" s="197">
        <f t="shared" si="174"/>
        <v>-844.62194231578951</v>
      </c>
      <c r="BO68" s="197">
        <f t="shared" si="175"/>
        <v>-514.62194231578951</v>
      </c>
      <c r="BP68" s="196">
        <f t="shared" si="176"/>
        <v>621.70587264723758</v>
      </c>
      <c r="BQ68" s="197">
        <f t="shared" si="177"/>
        <v>284.66089884677416</v>
      </c>
      <c r="BR68" s="197">
        <f t="shared" si="178"/>
        <v>1350.2841795724523</v>
      </c>
      <c r="BS68" s="197">
        <f t="shared" si="179"/>
        <v>-728.57830692521475</v>
      </c>
      <c r="BT68" s="199">
        <f t="shared" si="180"/>
        <v>-443.91740807844059</v>
      </c>
      <c r="BU68" s="196">
        <f t="shared" si="181"/>
        <v>2712.9814443547857</v>
      </c>
      <c r="BV68" s="197">
        <f t="shared" si="181"/>
        <v>1841.3033717741962</v>
      </c>
      <c r="BW68" s="197">
        <f t="shared" si="181"/>
        <v>6803.688506627489</v>
      </c>
      <c r="BX68" s="197">
        <f t="shared" si="181"/>
        <v>-4090.7070622727024</v>
      </c>
      <c r="BY68" s="199">
        <f t="shared" si="181"/>
        <v>-2249.4036904985064</v>
      </c>
      <c r="BZ68" s="197"/>
      <c r="CB68" s="204">
        <f t="shared" si="206"/>
        <v>6</v>
      </c>
      <c r="CC68" s="219" t="s">
        <v>4</v>
      </c>
      <c r="CD68" s="760">
        <f>'Arable Inputs'!$D$18+'Arable Inputs'!$D$18</f>
        <v>11</v>
      </c>
      <c r="CE68" s="760">
        <f>'Arable Inputs'!$D$25</f>
        <v>210</v>
      </c>
      <c r="CF68" s="760">
        <f>'Arable Inputs'!$D$19+'Arable Inputs'!$D$19</f>
        <v>7.8</v>
      </c>
      <c r="CG68" s="760">
        <f>'Arable Inputs'!$D$26</f>
        <v>73.449999999999989</v>
      </c>
      <c r="CH68" s="762">
        <f>CD68*CE68+CF68*CG68</f>
        <v>2882.91</v>
      </c>
      <c r="CI68" s="197">
        <f>'Arable NPV'!$E148</f>
        <v>330</v>
      </c>
      <c r="CJ68" s="197">
        <f t="shared" si="182"/>
        <v>3212.91</v>
      </c>
      <c r="CK68" s="197">
        <f>'Arable NPV'!$G148</f>
        <v>622.34710631578946</v>
      </c>
      <c r="CL68" s="197">
        <f>'Arable NPV'!$H148</f>
        <v>943.00233600000001</v>
      </c>
      <c r="CM68" s="197">
        <f t="shared" si="183"/>
        <v>1565.3494423157895</v>
      </c>
      <c r="CN68" s="197">
        <f t="shared" si="184"/>
        <v>1317.5605576842104</v>
      </c>
      <c r="CO68" s="197">
        <f t="shared" si="185"/>
        <v>1647.5605576842104</v>
      </c>
      <c r="CP68" s="196">
        <f t="shared" si="186"/>
        <v>2486.8234905889503</v>
      </c>
      <c r="CQ68" s="197">
        <f t="shared" si="187"/>
        <v>284.66089884677416</v>
      </c>
      <c r="CR68" s="197">
        <f t="shared" si="188"/>
        <v>1350.2841795724523</v>
      </c>
      <c r="CS68" s="197">
        <f t="shared" si="189"/>
        <v>1136.539311016498</v>
      </c>
      <c r="CT68" s="199">
        <f t="shared" si="190"/>
        <v>1421.2002098632722</v>
      </c>
      <c r="CU68" s="196">
        <f t="shared" si="191"/>
        <v>10851.925777419143</v>
      </c>
      <c r="CV68" s="197">
        <f t="shared" si="191"/>
        <v>1841.3033717741962</v>
      </c>
      <c r="CW68" s="197">
        <f t="shared" si="191"/>
        <v>6803.688506627489</v>
      </c>
      <c r="CX68" s="197">
        <f t="shared" si="191"/>
        <v>4048.2372707916547</v>
      </c>
      <c r="CY68" s="199">
        <f t="shared" si="192"/>
        <v>5889.5406425658502</v>
      </c>
      <c r="DB68" s="204">
        <f t="shared" si="207"/>
        <v>6</v>
      </c>
      <c r="DC68" s="219" t="s">
        <v>4</v>
      </c>
      <c r="DD68" s="760">
        <f>'Arable Inputs'!$D$18-'Arable Inputs'!$D$18</f>
        <v>0</v>
      </c>
      <c r="DE68" s="760">
        <f>'Arable Inputs'!$D$25</f>
        <v>210</v>
      </c>
      <c r="DF68" s="760">
        <f>'Arable Inputs'!$D$19-'Arable Inputs'!$D$19</f>
        <v>0</v>
      </c>
      <c r="DG68" s="760">
        <f>'Arable Inputs'!$D$26</f>
        <v>73.449999999999989</v>
      </c>
      <c r="DH68" s="762">
        <f>DD68*DE68+DF68*DG68</f>
        <v>0</v>
      </c>
      <c r="DI68" s="197">
        <f>'Arable NPV'!$E148</f>
        <v>330</v>
      </c>
      <c r="DJ68" s="197">
        <f t="shared" si="193"/>
        <v>330</v>
      </c>
      <c r="DK68" s="197">
        <f>'Arable NPV'!$G148</f>
        <v>622.34710631578946</v>
      </c>
      <c r="DL68" s="197">
        <f>'Arable NPV'!$H148</f>
        <v>943.00233600000001</v>
      </c>
      <c r="DM68" s="197">
        <f t="shared" si="194"/>
        <v>1565.3494423157895</v>
      </c>
      <c r="DN68" s="197">
        <f t="shared" si="195"/>
        <v>-1565.3494423157895</v>
      </c>
      <c r="DO68" s="197">
        <f t="shared" si="196"/>
        <v>-1235.3494423157895</v>
      </c>
      <c r="DP68" s="196">
        <f t="shared" si="197"/>
        <v>0</v>
      </c>
      <c r="DQ68" s="197">
        <f t="shared" si="198"/>
        <v>284.66089884677416</v>
      </c>
      <c r="DR68" s="197">
        <f t="shared" si="199"/>
        <v>1350.2841795724523</v>
      </c>
      <c r="DS68" s="197">
        <f t="shared" si="200"/>
        <v>-1350.2841795724523</v>
      </c>
      <c r="DT68" s="199">
        <f t="shared" si="201"/>
        <v>-1065.6232807256781</v>
      </c>
      <c r="DU68" s="196">
        <f t="shared" si="202"/>
        <v>0</v>
      </c>
      <c r="DV68" s="197">
        <f t="shared" si="202"/>
        <v>1841.3033717741962</v>
      </c>
      <c r="DW68" s="197">
        <f t="shared" si="202"/>
        <v>6803.688506627489</v>
      </c>
      <c r="DX68" s="197">
        <f t="shared" si="202"/>
        <v>-6803.688506627489</v>
      </c>
      <c r="DY68" s="199">
        <f t="shared" si="202"/>
        <v>-4962.3851348532917</v>
      </c>
    </row>
    <row r="69" spans="2:129" x14ac:dyDescent="0.3">
      <c r="B69" s="204">
        <f t="shared" si="203"/>
        <v>7</v>
      </c>
      <c r="C69" s="219" t="s">
        <v>560</v>
      </c>
      <c r="D69" s="760">
        <f>'Arable Inputs'!$G$18</f>
        <v>2.1</v>
      </c>
      <c r="E69" s="760">
        <f>'Arable Inputs'!$G$25</f>
        <v>235.55</v>
      </c>
      <c r="H69" s="762">
        <f>D69*E69</f>
        <v>494.65500000000003</v>
      </c>
      <c r="I69" s="197">
        <f>'Arable NPV'!$E149</f>
        <v>330</v>
      </c>
      <c r="J69" s="197">
        <f t="shared" si="152"/>
        <v>824.65499999999997</v>
      </c>
      <c r="K69" s="197">
        <f>'Arable NPV'!$G149</f>
        <v>255.07731473684206</v>
      </c>
      <c r="L69" s="197">
        <f>'Arable NPV'!$H149</f>
        <v>778.68036799999993</v>
      </c>
      <c r="M69" s="197">
        <f t="shared" si="153"/>
        <v>1033.7576827368421</v>
      </c>
      <c r="N69" s="197">
        <f t="shared" si="154"/>
        <v>-539.1026827368421</v>
      </c>
      <c r="O69" s="197">
        <f t="shared" si="155"/>
        <v>-209.1026827368421</v>
      </c>
      <c r="P69" s="196">
        <f t="shared" si="156"/>
        <v>414.26577498985313</v>
      </c>
      <c r="Q69" s="197">
        <f t="shared" si="157"/>
        <v>276.36980470560593</v>
      </c>
      <c r="R69" s="197">
        <f t="shared" si="158"/>
        <v>865.75578451788124</v>
      </c>
      <c r="S69" s="197">
        <f t="shared" si="159"/>
        <v>-451.49000952802817</v>
      </c>
      <c r="T69" s="199">
        <f t="shared" si="160"/>
        <v>-175.12020482242221</v>
      </c>
      <c r="U69" s="196">
        <f t="shared" si="161"/>
        <v>5840.2286636994249</v>
      </c>
      <c r="V69" s="197">
        <f t="shared" si="161"/>
        <v>2117.6731764798024</v>
      </c>
      <c r="W69" s="197">
        <f t="shared" si="161"/>
        <v>7669.4442911453698</v>
      </c>
      <c r="X69" s="197">
        <f t="shared" si="161"/>
        <v>-1829.2156274459448</v>
      </c>
      <c r="Y69" s="199">
        <f t="shared" si="161"/>
        <v>288.45754903385728</v>
      </c>
      <c r="AB69" s="204">
        <f t="shared" si="204"/>
        <v>7</v>
      </c>
      <c r="AC69" s="219" t="s">
        <v>560</v>
      </c>
      <c r="AD69" s="760">
        <f>'Arable Inputs'!$G$18+0.5*'Arable Inputs'!$G$18</f>
        <v>3.1500000000000004</v>
      </c>
      <c r="AE69" s="760">
        <f>'Arable Inputs'!$G$25</f>
        <v>235.55</v>
      </c>
      <c r="AH69" s="762">
        <f>AD69*AE69</f>
        <v>741.98250000000007</v>
      </c>
      <c r="AI69" s="197">
        <f>'Arable NPV'!$E149</f>
        <v>330</v>
      </c>
      <c r="AJ69" s="197">
        <f t="shared" si="162"/>
        <v>1071.9825000000001</v>
      </c>
      <c r="AK69" s="197">
        <f>'Arable NPV'!$G149</f>
        <v>255.07731473684206</v>
      </c>
      <c r="AL69" s="197">
        <f>'Arable NPV'!$H149</f>
        <v>778.68036799999993</v>
      </c>
      <c r="AM69" s="197">
        <f t="shared" si="163"/>
        <v>1033.7576827368421</v>
      </c>
      <c r="AN69" s="197">
        <f t="shared" si="164"/>
        <v>-291.775182736842</v>
      </c>
      <c r="AO69" s="197">
        <f t="shared" si="165"/>
        <v>38.224817263158002</v>
      </c>
      <c r="AP69" s="196">
        <f t="shared" si="166"/>
        <v>621.39866248477972</v>
      </c>
      <c r="AQ69" s="197">
        <f t="shared" si="167"/>
        <v>276.36980470560593</v>
      </c>
      <c r="AR69" s="197">
        <f t="shared" si="168"/>
        <v>865.75578451788124</v>
      </c>
      <c r="AS69" s="197">
        <f t="shared" si="169"/>
        <v>-244.35712203310155</v>
      </c>
      <c r="AT69" s="199">
        <f t="shared" si="170"/>
        <v>32.012682672504404</v>
      </c>
      <c r="AU69" s="196">
        <f t="shared" si="171"/>
        <v>8760.3429955491374</v>
      </c>
      <c r="AV69" s="197">
        <f t="shared" si="171"/>
        <v>2117.6731764798024</v>
      </c>
      <c r="AW69" s="197">
        <f t="shared" si="171"/>
        <v>7669.4442911453698</v>
      </c>
      <c r="AX69" s="197">
        <f t="shared" si="171"/>
        <v>1090.8987044037679</v>
      </c>
      <c r="AY69" s="199">
        <f t="shared" si="171"/>
        <v>3208.5718808835704</v>
      </c>
      <c r="BB69" s="204">
        <f t="shared" si="205"/>
        <v>7</v>
      </c>
      <c r="BC69" s="219" t="s">
        <v>560</v>
      </c>
      <c r="BD69" s="760">
        <f>'Arable Inputs'!$G$18-0.5*'Arable Inputs'!$G$18</f>
        <v>1.05</v>
      </c>
      <c r="BE69" s="760">
        <f>'Arable Inputs'!$G$25</f>
        <v>235.55</v>
      </c>
      <c r="BH69" s="762">
        <f>BD69*BE69</f>
        <v>247.32750000000001</v>
      </c>
      <c r="BI69" s="197">
        <f>'Arable NPV'!$E149</f>
        <v>330</v>
      </c>
      <c r="BJ69" s="197">
        <f t="shared" si="172"/>
        <v>577.32749999999999</v>
      </c>
      <c r="BK69" s="197">
        <f>'Arable NPV'!$G149</f>
        <v>255.07731473684206</v>
      </c>
      <c r="BL69" s="197">
        <f>'Arable NPV'!$H149</f>
        <v>778.68036799999993</v>
      </c>
      <c r="BM69" s="197">
        <f t="shared" si="173"/>
        <v>1033.7576827368421</v>
      </c>
      <c r="BN69" s="197">
        <f t="shared" si="174"/>
        <v>-786.43018273684208</v>
      </c>
      <c r="BO69" s="197">
        <f t="shared" si="175"/>
        <v>-456.43018273684208</v>
      </c>
      <c r="BP69" s="196">
        <f t="shared" si="176"/>
        <v>207.13288749492656</v>
      </c>
      <c r="BQ69" s="197">
        <f t="shared" si="177"/>
        <v>276.36980470560593</v>
      </c>
      <c r="BR69" s="197">
        <f t="shared" si="178"/>
        <v>865.75578451788124</v>
      </c>
      <c r="BS69" s="197">
        <f t="shared" si="179"/>
        <v>-658.6228970229547</v>
      </c>
      <c r="BT69" s="199">
        <f t="shared" si="180"/>
        <v>-382.25309231734877</v>
      </c>
      <c r="BU69" s="196">
        <f t="shared" si="181"/>
        <v>2920.1143318497125</v>
      </c>
      <c r="BV69" s="197">
        <f t="shared" si="181"/>
        <v>2117.6731764798024</v>
      </c>
      <c r="BW69" s="197">
        <f t="shared" si="181"/>
        <v>7669.4442911453698</v>
      </c>
      <c r="BX69" s="197">
        <f t="shared" si="181"/>
        <v>-4749.3299592956573</v>
      </c>
      <c r="BY69" s="199">
        <f t="shared" si="181"/>
        <v>-2631.656782815855</v>
      </c>
      <c r="BZ69" s="197"/>
      <c r="CB69" s="204">
        <f t="shared" si="206"/>
        <v>7</v>
      </c>
      <c r="CC69" s="219" t="s">
        <v>560</v>
      </c>
      <c r="CD69" s="760">
        <f>'Arable Inputs'!$G$18+'Arable Inputs'!$G$18</f>
        <v>4.2</v>
      </c>
      <c r="CE69" s="760">
        <f>'Arable Inputs'!$G$25</f>
        <v>235.55</v>
      </c>
      <c r="CH69" s="762">
        <f>CD69*CE69</f>
        <v>989.31000000000006</v>
      </c>
      <c r="CI69" s="197">
        <f>'Arable NPV'!$E149</f>
        <v>330</v>
      </c>
      <c r="CJ69" s="197">
        <f t="shared" si="182"/>
        <v>1319.31</v>
      </c>
      <c r="CK69" s="197">
        <f>'Arable NPV'!$G149</f>
        <v>255.07731473684206</v>
      </c>
      <c r="CL69" s="197">
        <f>'Arable NPV'!$H149</f>
        <v>778.68036799999993</v>
      </c>
      <c r="CM69" s="197">
        <f t="shared" si="183"/>
        <v>1033.7576827368421</v>
      </c>
      <c r="CN69" s="197">
        <f t="shared" si="184"/>
        <v>-44.447682736842012</v>
      </c>
      <c r="CO69" s="197">
        <f t="shared" si="185"/>
        <v>285.55231726315787</v>
      </c>
      <c r="CP69" s="196">
        <f t="shared" si="186"/>
        <v>828.53154997970626</v>
      </c>
      <c r="CQ69" s="197">
        <f t="shared" si="187"/>
        <v>276.36980470560593</v>
      </c>
      <c r="CR69" s="197">
        <f t="shared" si="188"/>
        <v>865.75578451788124</v>
      </c>
      <c r="CS69" s="197">
        <f t="shared" si="189"/>
        <v>-37.224234538175033</v>
      </c>
      <c r="CT69" s="199">
        <f t="shared" si="190"/>
        <v>239.14557016743083</v>
      </c>
      <c r="CU69" s="196">
        <f t="shared" si="191"/>
        <v>11680.45732739885</v>
      </c>
      <c r="CV69" s="197">
        <f t="shared" si="191"/>
        <v>2117.6731764798024</v>
      </c>
      <c r="CW69" s="197">
        <f t="shared" si="191"/>
        <v>7669.4442911453698</v>
      </c>
      <c r="CX69" s="197">
        <f t="shared" si="191"/>
        <v>4011.0130362534796</v>
      </c>
      <c r="CY69" s="199">
        <f t="shared" si="192"/>
        <v>6128.6862127332806</v>
      </c>
      <c r="DB69" s="204">
        <f t="shared" si="207"/>
        <v>7</v>
      </c>
      <c r="DC69" s="219" t="s">
        <v>560</v>
      </c>
      <c r="DD69" s="760">
        <f>'Arable Inputs'!$G$18-'Arable Inputs'!$G$18</f>
        <v>0</v>
      </c>
      <c r="DE69" s="760">
        <f>'Arable Inputs'!$G$25</f>
        <v>235.55</v>
      </c>
      <c r="DH69" s="762">
        <f>DD69*DE69</f>
        <v>0</v>
      </c>
      <c r="DI69" s="197">
        <f>'Arable NPV'!$E149</f>
        <v>330</v>
      </c>
      <c r="DJ69" s="197">
        <f t="shared" si="193"/>
        <v>330</v>
      </c>
      <c r="DK69" s="197">
        <f>'Arable NPV'!$G149</f>
        <v>255.07731473684206</v>
      </c>
      <c r="DL69" s="197">
        <f>'Arable NPV'!$H149</f>
        <v>778.68036799999993</v>
      </c>
      <c r="DM69" s="197">
        <f t="shared" si="194"/>
        <v>1033.7576827368421</v>
      </c>
      <c r="DN69" s="197">
        <f t="shared" si="195"/>
        <v>-1033.7576827368421</v>
      </c>
      <c r="DO69" s="197">
        <f t="shared" si="196"/>
        <v>-703.75768273684207</v>
      </c>
      <c r="DP69" s="196">
        <f t="shared" si="197"/>
        <v>0</v>
      </c>
      <c r="DQ69" s="197">
        <f t="shared" si="198"/>
        <v>276.36980470560593</v>
      </c>
      <c r="DR69" s="197">
        <f t="shared" si="199"/>
        <v>865.75578451788124</v>
      </c>
      <c r="DS69" s="197">
        <f t="shared" si="200"/>
        <v>-865.75578451788124</v>
      </c>
      <c r="DT69" s="199">
        <f t="shared" si="201"/>
        <v>-589.38597981227531</v>
      </c>
      <c r="DU69" s="196">
        <f t="shared" si="202"/>
        <v>0</v>
      </c>
      <c r="DV69" s="197">
        <f t="shared" si="202"/>
        <v>2117.6731764798024</v>
      </c>
      <c r="DW69" s="197">
        <f t="shared" si="202"/>
        <v>7669.4442911453698</v>
      </c>
      <c r="DX69" s="197">
        <f t="shared" si="202"/>
        <v>-7669.4442911453698</v>
      </c>
      <c r="DY69" s="199">
        <f t="shared" si="202"/>
        <v>-5551.7711146655674</v>
      </c>
    </row>
    <row r="70" spans="2:129" x14ac:dyDescent="0.3">
      <c r="B70" s="204">
        <f t="shared" si="203"/>
        <v>8</v>
      </c>
      <c r="C70" s="219" t="s">
        <v>255</v>
      </c>
      <c r="D70" s="760">
        <f>'Arable Inputs'!$H$18</f>
        <v>9.4</v>
      </c>
      <c r="E70" s="760">
        <f>'Arable Inputs'!$H$25</f>
        <v>94.285714285714292</v>
      </c>
      <c r="H70" s="762">
        <f>D70*E70</f>
        <v>886.28571428571433</v>
      </c>
      <c r="I70" s="197">
        <f>'Arable NPV'!$E150</f>
        <v>330</v>
      </c>
      <c r="J70" s="197">
        <f t="shared" si="152"/>
        <v>1216.2857142857142</v>
      </c>
      <c r="K70" s="197">
        <f>'Arable NPV'!$G150</f>
        <v>566.71194999999989</v>
      </c>
      <c r="L70" s="197">
        <f>'Arable NPV'!$H150</f>
        <v>691.46913599999993</v>
      </c>
      <c r="M70" s="197">
        <f t="shared" si="153"/>
        <v>1258.1810859999998</v>
      </c>
      <c r="N70" s="197">
        <f t="shared" si="154"/>
        <v>-371.89537171428549</v>
      </c>
      <c r="O70" s="197">
        <f t="shared" si="155"/>
        <v>-41.895371714285602</v>
      </c>
      <c r="P70" s="196">
        <f t="shared" si="156"/>
        <v>720.63139091059531</v>
      </c>
      <c r="Q70" s="197">
        <f t="shared" si="157"/>
        <v>268.32019874330672</v>
      </c>
      <c r="R70" s="197">
        <f t="shared" si="158"/>
        <v>1023.016360759362</v>
      </c>
      <c r="S70" s="197">
        <f t="shared" si="159"/>
        <v>-302.38496984876673</v>
      </c>
      <c r="T70" s="199">
        <f t="shared" si="160"/>
        <v>-34.064771105460075</v>
      </c>
      <c r="U70" s="196">
        <f t="shared" si="161"/>
        <v>6560.8600546100206</v>
      </c>
      <c r="V70" s="197">
        <f t="shared" si="161"/>
        <v>2385.9933752231091</v>
      </c>
      <c r="W70" s="197">
        <f t="shared" si="161"/>
        <v>8692.460651904732</v>
      </c>
      <c r="X70" s="197">
        <f t="shared" si="161"/>
        <v>-2131.6005972947114</v>
      </c>
      <c r="Y70" s="199">
        <f t="shared" si="161"/>
        <v>254.39277792839721</v>
      </c>
      <c r="AB70" s="204">
        <f t="shared" si="204"/>
        <v>8</v>
      </c>
      <c r="AC70" s="219" t="s">
        <v>28</v>
      </c>
      <c r="AD70" s="760">
        <f>'Arable Inputs'!$H$18+0.5*'Arable Inputs'!$H$18</f>
        <v>14.100000000000001</v>
      </c>
      <c r="AE70" s="760">
        <f>'Arable Inputs'!$H$25</f>
        <v>94.285714285714292</v>
      </c>
      <c r="AH70" s="762">
        <f>AD70*AE70</f>
        <v>1329.4285714285716</v>
      </c>
      <c r="AI70" s="197">
        <f>'Arable NPV'!$E150</f>
        <v>330</v>
      </c>
      <c r="AJ70" s="197">
        <f t="shared" si="162"/>
        <v>1659.4285714285716</v>
      </c>
      <c r="AK70" s="197">
        <f>'Arable NPV'!$G150</f>
        <v>566.71194999999989</v>
      </c>
      <c r="AL70" s="197">
        <f>'Arable NPV'!$H150</f>
        <v>691.46913599999993</v>
      </c>
      <c r="AM70" s="197">
        <f t="shared" si="163"/>
        <v>1258.1810859999998</v>
      </c>
      <c r="AN70" s="197">
        <f t="shared" si="164"/>
        <v>71.247485428571736</v>
      </c>
      <c r="AO70" s="197">
        <f t="shared" si="165"/>
        <v>401.24748542857174</v>
      </c>
      <c r="AP70" s="196">
        <f t="shared" si="166"/>
        <v>1080.947086365893</v>
      </c>
      <c r="AQ70" s="197">
        <f t="shared" si="167"/>
        <v>268.32019874330672</v>
      </c>
      <c r="AR70" s="197">
        <f t="shared" si="168"/>
        <v>1023.016360759362</v>
      </c>
      <c r="AS70" s="197">
        <f t="shared" si="169"/>
        <v>57.93072560653097</v>
      </c>
      <c r="AT70" s="199">
        <f t="shared" si="170"/>
        <v>326.2509243498377</v>
      </c>
      <c r="AU70" s="196">
        <f t="shared" si="171"/>
        <v>9841.2900819150309</v>
      </c>
      <c r="AV70" s="197">
        <f t="shared" si="171"/>
        <v>2385.9933752231091</v>
      </c>
      <c r="AW70" s="197">
        <f t="shared" si="171"/>
        <v>8692.460651904732</v>
      </c>
      <c r="AX70" s="197">
        <f t="shared" si="171"/>
        <v>1148.8294300102989</v>
      </c>
      <c r="AY70" s="199">
        <f t="shared" si="171"/>
        <v>3534.822805233408</v>
      </c>
      <c r="BB70" s="204">
        <f t="shared" si="205"/>
        <v>8</v>
      </c>
      <c r="BC70" s="219" t="s">
        <v>28</v>
      </c>
      <c r="BD70" s="760">
        <f>'Arable Inputs'!$H$18-0.5*'Arable Inputs'!$H$18</f>
        <v>4.7</v>
      </c>
      <c r="BE70" s="760">
        <f>'Arable Inputs'!$H$25</f>
        <v>94.285714285714292</v>
      </c>
      <c r="BH70" s="762">
        <f>BD70*BE70</f>
        <v>443.14285714285717</v>
      </c>
      <c r="BI70" s="197">
        <f>'Arable NPV'!$E150</f>
        <v>330</v>
      </c>
      <c r="BJ70" s="197">
        <f t="shared" si="172"/>
        <v>773.14285714285711</v>
      </c>
      <c r="BK70" s="197">
        <f>'Arable NPV'!$G150</f>
        <v>566.71194999999989</v>
      </c>
      <c r="BL70" s="197">
        <f>'Arable NPV'!$H150</f>
        <v>691.46913599999993</v>
      </c>
      <c r="BM70" s="197">
        <f t="shared" si="173"/>
        <v>1258.1810859999998</v>
      </c>
      <c r="BN70" s="197">
        <f t="shared" si="174"/>
        <v>-815.03822885714271</v>
      </c>
      <c r="BO70" s="197">
        <f t="shared" si="175"/>
        <v>-485.03822885714271</v>
      </c>
      <c r="BP70" s="196">
        <f t="shared" si="176"/>
        <v>360.31569545529766</v>
      </c>
      <c r="BQ70" s="197">
        <f t="shared" si="177"/>
        <v>268.32019874330672</v>
      </c>
      <c r="BR70" s="197">
        <f t="shared" si="178"/>
        <v>1023.016360759362</v>
      </c>
      <c r="BS70" s="197">
        <f t="shared" si="179"/>
        <v>-662.70066530406439</v>
      </c>
      <c r="BT70" s="199">
        <f t="shared" si="180"/>
        <v>-394.38046656075767</v>
      </c>
      <c r="BU70" s="196">
        <f t="shared" si="181"/>
        <v>3280.4300273050103</v>
      </c>
      <c r="BV70" s="197">
        <f t="shared" si="181"/>
        <v>2385.9933752231091</v>
      </c>
      <c r="BW70" s="197">
        <f t="shared" si="181"/>
        <v>8692.460651904732</v>
      </c>
      <c r="BX70" s="197">
        <f t="shared" si="181"/>
        <v>-5412.0306245997217</v>
      </c>
      <c r="BY70" s="199">
        <f t="shared" si="181"/>
        <v>-3026.0372493766126</v>
      </c>
      <c r="BZ70" s="197"/>
      <c r="CB70" s="204">
        <f t="shared" si="206"/>
        <v>8</v>
      </c>
      <c r="CC70" s="219" t="s">
        <v>28</v>
      </c>
      <c r="CD70" s="760">
        <f>'Arable Inputs'!$H$18+'Arable Inputs'!$H$18</f>
        <v>18.8</v>
      </c>
      <c r="CE70" s="760">
        <f>'Arable Inputs'!$H$25</f>
        <v>94.285714285714292</v>
      </c>
      <c r="CH70" s="762">
        <f>CD70*CE70</f>
        <v>1772.5714285714287</v>
      </c>
      <c r="CI70" s="197">
        <f>'Arable NPV'!$E150</f>
        <v>330</v>
      </c>
      <c r="CJ70" s="197">
        <f t="shared" si="182"/>
        <v>2102.5714285714284</v>
      </c>
      <c r="CK70" s="197">
        <f>'Arable NPV'!$G150</f>
        <v>566.71194999999989</v>
      </c>
      <c r="CL70" s="197">
        <f>'Arable NPV'!$H150</f>
        <v>691.46913599999993</v>
      </c>
      <c r="CM70" s="197">
        <f t="shared" si="183"/>
        <v>1258.1810859999998</v>
      </c>
      <c r="CN70" s="197">
        <f t="shared" si="184"/>
        <v>514.39034257142885</v>
      </c>
      <c r="CO70" s="197">
        <f t="shared" si="185"/>
        <v>844.39034257142862</v>
      </c>
      <c r="CP70" s="196">
        <f t="shared" si="186"/>
        <v>1441.2627818211906</v>
      </c>
      <c r="CQ70" s="197">
        <f t="shared" si="187"/>
        <v>268.32019874330672</v>
      </c>
      <c r="CR70" s="197">
        <f t="shared" si="188"/>
        <v>1023.016360759362</v>
      </c>
      <c r="CS70" s="197">
        <f t="shared" si="189"/>
        <v>418.24642106182858</v>
      </c>
      <c r="CT70" s="199">
        <f t="shared" si="190"/>
        <v>686.56661980513513</v>
      </c>
      <c r="CU70" s="196">
        <f t="shared" si="191"/>
        <v>13121.720109220041</v>
      </c>
      <c r="CV70" s="197">
        <f t="shared" si="191"/>
        <v>2385.9933752231091</v>
      </c>
      <c r="CW70" s="197">
        <f t="shared" si="191"/>
        <v>8692.460651904732</v>
      </c>
      <c r="CX70" s="197">
        <f t="shared" si="191"/>
        <v>4429.2594573153083</v>
      </c>
      <c r="CY70" s="199">
        <f t="shared" si="192"/>
        <v>6815.2528325384155</v>
      </c>
      <c r="DB70" s="204">
        <f t="shared" si="207"/>
        <v>8</v>
      </c>
      <c r="DC70" s="219" t="s">
        <v>28</v>
      </c>
      <c r="DD70" s="760">
        <f>'Arable Inputs'!$H$18-'Arable Inputs'!$H$18</f>
        <v>0</v>
      </c>
      <c r="DE70" s="760">
        <f>'Arable Inputs'!$H$25</f>
        <v>94.285714285714292</v>
      </c>
      <c r="DH70" s="762">
        <f>DD70*DE70</f>
        <v>0</v>
      </c>
      <c r="DI70" s="197">
        <f>'Arable NPV'!$E150</f>
        <v>330</v>
      </c>
      <c r="DJ70" s="197">
        <f t="shared" si="193"/>
        <v>330</v>
      </c>
      <c r="DK70" s="197">
        <f>'Arable NPV'!$G150</f>
        <v>566.71194999999989</v>
      </c>
      <c r="DL70" s="197">
        <f>'Arable NPV'!$H150</f>
        <v>691.46913599999993</v>
      </c>
      <c r="DM70" s="197">
        <f t="shared" si="194"/>
        <v>1258.1810859999998</v>
      </c>
      <c r="DN70" s="197">
        <f t="shared" si="195"/>
        <v>-1258.1810859999998</v>
      </c>
      <c r="DO70" s="197">
        <f t="shared" si="196"/>
        <v>-928.18108599999982</v>
      </c>
      <c r="DP70" s="196">
        <f t="shared" si="197"/>
        <v>0</v>
      </c>
      <c r="DQ70" s="197">
        <f t="shared" si="198"/>
        <v>268.32019874330672</v>
      </c>
      <c r="DR70" s="197">
        <f t="shared" si="199"/>
        <v>1023.016360759362</v>
      </c>
      <c r="DS70" s="197">
        <f t="shared" si="200"/>
        <v>-1023.016360759362</v>
      </c>
      <c r="DT70" s="199">
        <f t="shared" si="201"/>
        <v>-754.69616201605527</v>
      </c>
      <c r="DU70" s="196">
        <f t="shared" si="202"/>
        <v>0</v>
      </c>
      <c r="DV70" s="197">
        <f t="shared" si="202"/>
        <v>2385.9933752231091</v>
      </c>
      <c r="DW70" s="197">
        <f t="shared" si="202"/>
        <v>8692.460651904732</v>
      </c>
      <c r="DX70" s="197">
        <f t="shared" si="202"/>
        <v>-8692.460651904732</v>
      </c>
      <c r="DY70" s="199">
        <f t="shared" si="202"/>
        <v>-6306.4672766816229</v>
      </c>
    </row>
    <row r="71" spans="2:129" x14ac:dyDescent="0.3">
      <c r="B71" s="204">
        <f t="shared" si="203"/>
        <v>9</v>
      </c>
      <c r="C71" s="219" t="s">
        <v>5</v>
      </c>
      <c r="D71" s="760">
        <f>'Arable Inputs'!$F$18</f>
        <v>2.6</v>
      </c>
      <c r="E71" s="760">
        <f>'Arable Inputs'!$F$25</f>
        <v>196.99</v>
      </c>
      <c r="F71" s="760">
        <f>'Arable Inputs'!$F$19</f>
        <v>2.6</v>
      </c>
      <c r="G71" s="760">
        <f>'Arable Inputs'!$F$26</f>
        <v>42.374999999999993</v>
      </c>
      <c r="H71" s="762">
        <f>D71*E71+F71*G71</f>
        <v>622.34900000000005</v>
      </c>
      <c r="I71" s="197">
        <f>'Arable NPV'!$E151</f>
        <v>330</v>
      </c>
      <c r="J71" s="197">
        <f t="shared" si="152"/>
        <v>952.34900000000005</v>
      </c>
      <c r="K71" s="197">
        <f>'Arable NPV'!$G151</f>
        <v>327.77441459954235</v>
      </c>
      <c r="L71" s="197">
        <f>'Arable NPV'!$H151</f>
        <v>704.91322685714283</v>
      </c>
      <c r="M71" s="197">
        <f t="shared" si="153"/>
        <v>1032.6876414566852</v>
      </c>
      <c r="N71" s="197">
        <f t="shared" si="154"/>
        <v>-410.3386414566852</v>
      </c>
      <c r="O71" s="197">
        <f t="shared" si="155"/>
        <v>-80.338641456685195</v>
      </c>
      <c r="P71" s="196">
        <f t="shared" si="156"/>
        <v>491.28804756604364</v>
      </c>
      <c r="Q71" s="197">
        <f t="shared" si="157"/>
        <v>260.50504732359883</v>
      </c>
      <c r="R71" s="197">
        <f t="shared" si="158"/>
        <v>815.21316032778611</v>
      </c>
      <c r="S71" s="197">
        <f t="shared" si="159"/>
        <v>-323.92511276174247</v>
      </c>
      <c r="T71" s="199">
        <f t="shared" si="160"/>
        <v>-63.420065438143681</v>
      </c>
      <c r="U71" s="196">
        <f t="shared" si="161"/>
        <v>7052.1481021760646</v>
      </c>
      <c r="V71" s="197">
        <f t="shared" si="161"/>
        <v>2646.4984225467078</v>
      </c>
      <c r="W71" s="197">
        <f t="shared" si="161"/>
        <v>9507.6738122325187</v>
      </c>
      <c r="X71" s="197">
        <f t="shared" si="161"/>
        <v>-2455.525710056454</v>
      </c>
      <c r="Y71" s="199">
        <f t="shared" si="161"/>
        <v>190.97271249025351</v>
      </c>
      <c r="AB71" s="204">
        <f t="shared" si="204"/>
        <v>9</v>
      </c>
      <c r="AC71" s="219" t="s">
        <v>5</v>
      </c>
      <c r="AD71" s="760">
        <f>'Arable Inputs'!$F$18+0.5*'Arable Inputs'!$F$18</f>
        <v>3.9000000000000004</v>
      </c>
      <c r="AE71" s="760">
        <f>'Arable Inputs'!$F$25</f>
        <v>196.99</v>
      </c>
      <c r="AF71" s="760">
        <f>'Arable Inputs'!$F$19+0.5*'Arable Inputs'!$F$19</f>
        <v>3.9000000000000004</v>
      </c>
      <c r="AG71" s="760">
        <f>'Arable Inputs'!$F$26</f>
        <v>42.374999999999993</v>
      </c>
      <c r="AH71" s="762">
        <f>AD71*AE71+AF71*AG71</f>
        <v>933.52350000000001</v>
      </c>
      <c r="AI71" s="197">
        <f>'Arable NPV'!$E151</f>
        <v>330</v>
      </c>
      <c r="AJ71" s="197">
        <f t="shared" si="162"/>
        <v>1263.5235</v>
      </c>
      <c r="AK71" s="197">
        <f>'Arable NPV'!$G151</f>
        <v>327.77441459954235</v>
      </c>
      <c r="AL71" s="197">
        <f>'Arable NPV'!$H151</f>
        <v>704.91322685714283</v>
      </c>
      <c r="AM71" s="197">
        <f t="shared" si="163"/>
        <v>1032.6876414566852</v>
      </c>
      <c r="AN71" s="197">
        <f t="shared" si="164"/>
        <v>-99.164141456685229</v>
      </c>
      <c r="AO71" s="197">
        <f t="shared" si="165"/>
        <v>230.83585854331477</v>
      </c>
      <c r="AP71" s="196">
        <f t="shared" si="166"/>
        <v>736.93207134906538</v>
      </c>
      <c r="AQ71" s="197">
        <f t="shared" si="167"/>
        <v>260.50504732359883</v>
      </c>
      <c r="AR71" s="197">
        <f t="shared" si="168"/>
        <v>815.21316032778611</v>
      </c>
      <c r="AS71" s="197">
        <f t="shared" si="169"/>
        <v>-78.281088978720703</v>
      </c>
      <c r="AT71" s="199">
        <f t="shared" si="170"/>
        <v>182.2239583448781</v>
      </c>
      <c r="AU71" s="196">
        <f t="shared" si="171"/>
        <v>10578.222153264096</v>
      </c>
      <c r="AV71" s="197">
        <f t="shared" si="171"/>
        <v>2646.4984225467078</v>
      </c>
      <c r="AW71" s="197">
        <f t="shared" si="171"/>
        <v>9507.6738122325187</v>
      </c>
      <c r="AX71" s="197">
        <f t="shared" si="171"/>
        <v>1070.5483410315783</v>
      </c>
      <c r="AY71" s="199">
        <f t="shared" si="171"/>
        <v>3717.0467635782861</v>
      </c>
      <c r="BB71" s="204">
        <f t="shared" si="205"/>
        <v>9</v>
      </c>
      <c r="BC71" s="219" t="s">
        <v>5</v>
      </c>
      <c r="BD71" s="760">
        <f>'Arable Inputs'!$F$18-0.5*'Arable Inputs'!$F$18</f>
        <v>1.3</v>
      </c>
      <c r="BE71" s="760">
        <f>'Arable Inputs'!$F$25</f>
        <v>196.99</v>
      </c>
      <c r="BF71" s="760">
        <f>'Arable Inputs'!$F$19-0.5*'Arable Inputs'!$F$19</f>
        <v>1.3</v>
      </c>
      <c r="BG71" s="760">
        <f>'Arable Inputs'!$F$26</f>
        <v>42.374999999999993</v>
      </c>
      <c r="BH71" s="762">
        <f>BD71*BE71+BF71*BG71</f>
        <v>311.17450000000002</v>
      </c>
      <c r="BI71" s="197">
        <f>'Arable NPV'!$E151</f>
        <v>330</v>
      </c>
      <c r="BJ71" s="197">
        <f t="shared" si="172"/>
        <v>641.17450000000008</v>
      </c>
      <c r="BK71" s="197">
        <f>'Arable NPV'!$G151</f>
        <v>327.77441459954235</v>
      </c>
      <c r="BL71" s="197">
        <f>'Arable NPV'!$H151</f>
        <v>704.91322685714283</v>
      </c>
      <c r="BM71" s="197">
        <f t="shared" si="173"/>
        <v>1032.6876414566852</v>
      </c>
      <c r="BN71" s="197">
        <f t="shared" si="174"/>
        <v>-721.51314145668516</v>
      </c>
      <c r="BO71" s="197">
        <f t="shared" si="175"/>
        <v>-391.51314145668516</v>
      </c>
      <c r="BP71" s="196">
        <f t="shared" si="176"/>
        <v>245.64402378302182</v>
      </c>
      <c r="BQ71" s="197">
        <f t="shared" si="177"/>
        <v>260.50504732359883</v>
      </c>
      <c r="BR71" s="197">
        <f t="shared" si="178"/>
        <v>815.21316032778611</v>
      </c>
      <c r="BS71" s="197">
        <f t="shared" si="179"/>
        <v>-569.56913654476432</v>
      </c>
      <c r="BT71" s="199">
        <f t="shared" si="180"/>
        <v>-309.06408922116543</v>
      </c>
      <c r="BU71" s="196">
        <f t="shared" si="181"/>
        <v>3526.0740510880323</v>
      </c>
      <c r="BV71" s="197">
        <f t="shared" si="181"/>
        <v>2646.4984225467078</v>
      </c>
      <c r="BW71" s="197">
        <f t="shared" si="181"/>
        <v>9507.6738122325187</v>
      </c>
      <c r="BX71" s="197">
        <f t="shared" si="181"/>
        <v>-5981.5997611444864</v>
      </c>
      <c r="BY71" s="199">
        <f t="shared" si="181"/>
        <v>-3335.1013385977781</v>
      </c>
      <c r="BZ71" s="197"/>
      <c r="CB71" s="204">
        <f t="shared" si="206"/>
        <v>9</v>
      </c>
      <c r="CC71" s="219" t="s">
        <v>5</v>
      </c>
      <c r="CD71" s="760">
        <f>'Arable Inputs'!$F$18+'Arable Inputs'!$F$18</f>
        <v>5.2</v>
      </c>
      <c r="CE71" s="760">
        <f>'Arable Inputs'!$F$25</f>
        <v>196.99</v>
      </c>
      <c r="CF71" s="760">
        <f>'Arable Inputs'!$F$19+'Arable Inputs'!$F$19</f>
        <v>5.2</v>
      </c>
      <c r="CG71" s="760">
        <f>'Arable Inputs'!$F$26</f>
        <v>42.374999999999993</v>
      </c>
      <c r="CH71" s="762">
        <f>CD71*CE71+CF71*CG71</f>
        <v>1244.6980000000001</v>
      </c>
      <c r="CI71" s="197">
        <f>'Arable NPV'!$E151</f>
        <v>330</v>
      </c>
      <c r="CJ71" s="197">
        <f t="shared" si="182"/>
        <v>1574.6980000000001</v>
      </c>
      <c r="CK71" s="197">
        <f>'Arable NPV'!$G151</f>
        <v>327.77441459954235</v>
      </c>
      <c r="CL71" s="197">
        <f>'Arable NPV'!$H151</f>
        <v>704.91322685714283</v>
      </c>
      <c r="CM71" s="197">
        <f t="shared" si="183"/>
        <v>1032.6876414566852</v>
      </c>
      <c r="CN71" s="197">
        <f t="shared" si="184"/>
        <v>212.01035854331485</v>
      </c>
      <c r="CO71" s="197">
        <f t="shared" si="185"/>
        <v>542.01035854331485</v>
      </c>
      <c r="CP71" s="196">
        <f t="shared" si="186"/>
        <v>982.57609513208729</v>
      </c>
      <c r="CQ71" s="197">
        <f t="shared" si="187"/>
        <v>260.50504732359883</v>
      </c>
      <c r="CR71" s="197">
        <f t="shared" si="188"/>
        <v>815.21316032778611</v>
      </c>
      <c r="CS71" s="197">
        <f t="shared" si="189"/>
        <v>167.36293480430118</v>
      </c>
      <c r="CT71" s="199">
        <f t="shared" si="190"/>
        <v>427.86798212789995</v>
      </c>
      <c r="CU71" s="196">
        <f t="shared" si="191"/>
        <v>14104.296204352129</v>
      </c>
      <c r="CV71" s="197">
        <f t="shared" si="191"/>
        <v>2646.4984225467078</v>
      </c>
      <c r="CW71" s="197">
        <f t="shared" si="191"/>
        <v>9507.6738122325187</v>
      </c>
      <c r="CX71" s="197">
        <f t="shared" si="191"/>
        <v>4596.6223921196097</v>
      </c>
      <c r="CY71" s="199">
        <f t="shared" si="192"/>
        <v>7243.1208146663157</v>
      </c>
      <c r="DB71" s="204">
        <f t="shared" si="207"/>
        <v>9</v>
      </c>
      <c r="DC71" s="219" t="s">
        <v>5</v>
      </c>
      <c r="DD71" s="760">
        <f>'Arable Inputs'!$F$18-'Arable Inputs'!$F$18</f>
        <v>0</v>
      </c>
      <c r="DE71" s="760">
        <f>'Arable Inputs'!$F$25</f>
        <v>196.99</v>
      </c>
      <c r="DF71" s="760">
        <f>'Arable Inputs'!$F$19-'Arable Inputs'!$F$19</f>
        <v>0</v>
      </c>
      <c r="DG71" s="760">
        <f>'Arable Inputs'!$F$26</f>
        <v>42.374999999999993</v>
      </c>
      <c r="DH71" s="762">
        <f>DD71*DE71+DF71*DG71</f>
        <v>0</v>
      </c>
      <c r="DI71" s="197">
        <f>'Arable NPV'!$E151</f>
        <v>330</v>
      </c>
      <c r="DJ71" s="197">
        <f t="shared" si="193"/>
        <v>330</v>
      </c>
      <c r="DK71" s="197">
        <f>'Arable NPV'!$G151</f>
        <v>327.77441459954235</v>
      </c>
      <c r="DL71" s="197">
        <f>'Arable NPV'!$H151</f>
        <v>704.91322685714283</v>
      </c>
      <c r="DM71" s="197">
        <f t="shared" si="194"/>
        <v>1032.6876414566852</v>
      </c>
      <c r="DN71" s="197">
        <f t="shared" si="195"/>
        <v>-1032.6876414566852</v>
      </c>
      <c r="DO71" s="197">
        <f t="shared" si="196"/>
        <v>-702.68764145668524</v>
      </c>
      <c r="DP71" s="196">
        <f t="shared" si="197"/>
        <v>0</v>
      </c>
      <c r="DQ71" s="197">
        <f t="shared" si="198"/>
        <v>260.50504732359883</v>
      </c>
      <c r="DR71" s="197">
        <f t="shared" si="199"/>
        <v>815.21316032778611</v>
      </c>
      <c r="DS71" s="197">
        <f t="shared" si="200"/>
        <v>-815.21316032778611</v>
      </c>
      <c r="DT71" s="199">
        <f t="shared" si="201"/>
        <v>-554.70811300418734</v>
      </c>
      <c r="DU71" s="196">
        <f t="shared" si="202"/>
        <v>0</v>
      </c>
      <c r="DV71" s="197">
        <f t="shared" si="202"/>
        <v>2646.4984225467078</v>
      </c>
      <c r="DW71" s="197">
        <f t="shared" si="202"/>
        <v>9507.6738122325187</v>
      </c>
      <c r="DX71" s="197">
        <f t="shared" si="202"/>
        <v>-9507.6738122325187</v>
      </c>
      <c r="DY71" s="199">
        <f t="shared" si="202"/>
        <v>-6861.1753896858099</v>
      </c>
    </row>
    <row r="72" spans="2:129" x14ac:dyDescent="0.3">
      <c r="B72" s="204">
        <f t="shared" si="203"/>
        <v>10</v>
      </c>
      <c r="C72" s="219" t="s">
        <v>559</v>
      </c>
      <c r="D72" s="760">
        <f>'Arable Inputs'!$E$18</f>
        <v>3.1</v>
      </c>
      <c r="E72" s="760">
        <f>'Arable Inputs'!$E$25</f>
        <v>310.75</v>
      </c>
      <c r="H72" s="762">
        <f>D72*E72</f>
        <v>963.32500000000005</v>
      </c>
      <c r="I72" s="197">
        <f>'Arable NPV'!$E152</f>
        <v>330</v>
      </c>
      <c r="J72" s="197">
        <f t="shared" si="152"/>
        <v>1293.325</v>
      </c>
      <c r="K72" s="197">
        <f>'Arable NPV'!$G152</f>
        <v>300.32802631578949</v>
      </c>
      <c r="L72" s="197">
        <f>'Arable NPV'!$H152</f>
        <v>547.62448399999994</v>
      </c>
      <c r="M72" s="197">
        <f t="shared" si="153"/>
        <v>847.95251031578937</v>
      </c>
      <c r="N72" s="197">
        <f t="shared" si="154"/>
        <v>115.37248968421068</v>
      </c>
      <c r="O72" s="197">
        <f t="shared" si="155"/>
        <v>445.37248968421068</v>
      </c>
      <c r="P72" s="196">
        <f t="shared" si="156"/>
        <v>738.30839868492444</v>
      </c>
      <c r="Q72" s="197">
        <f t="shared" si="157"/>
        <v>252.91752167339689</v>
      </c>
      <c r="R72" s="197">
        <f t="shared" si="158"/>
        <v>649.88499213880289</v>
      </c>
      <c r="S72" s="197">
        <f t="shared" si="159"/>
        <v>88.423406546121555</v>
      </c>
      <c r="T72" s="199">
        <f t="shared" si="160"/>
        <v>341.34092821951845</v>
      </c>
      <c r="U72" s="196">
        <f t="shared" si="161"/>
        <v>7790.4565008609889</v>
      </c>
      <c r="V72" s="197">
        <f t="shared" si="161"/>
        <v>2899.4159442201048</v>
      </c>
      <c r="W72" s="197">
        <f t="shared" si="161"/>
        <v>10157.558804371321</v>
      </c>
      <c r="X72" s="197">
        <f t="shared" si="161"/>
        <v>-2367.1023035103326</v>
      </c>
      <c r="Y72" s="199">
        <f t="shared" si="161"/>
        <v>532.31364070977202</v>
      </c>
      <c r="AB72" s="204">
        <f t="shared" si="204"/>
        <v>10</v>
      </c>
      <c r="AC72" s="219" t="s">
        <v>559</v>
      </c>
      <c r="AD72" s="760">
        <f>'Arable Inputs'!$E$18+0.5*'Arable Inputs'!$E$18</f>
        <v>4.6500000000000004</v>
      </c>
      <c r="AE72" s="760">
        <f>'Arable Inputs'!$E$25</f>
        <v>310.75</v>
      </c>
      <c r="AH72" s="762">
        <f>AD72*AE72</f>
        <v>1444.9875000000002</v>
      </c>
      <c r="AI72" s="197">
        <f>'Arable NPV'!$E152</f>
        <v>330</v>
      </c>
      <c r="AJ72" s="197">
        <f t="shared" si="162"/>
        <v>1774.9875000000002</v>
      </c>
      <c r="AK72" s="197">
        <f>'Arable NPV'!$G152</f>
        <v>300.32802631578949</v>
      </c>
      <c r="AL72" s="197">
        <f>'Arable NPV'!$H152</f>
        <v>547.62448399999994</v>
      </c>
      <c r="AM72" s="197">
        <f t="shared" si="163"/>
        <v>847.95251031578937</v>
      </c>
      <c r="AN72" s="197">
        <f t="shared" si="164"/>
        <v>597.03498968421081</v>
      </c>
      <c r="AO72" s="197">
        <f t="shared" si="165"/>
        <v>927.03498968421081</v>
      </c>
      <c r="AP72" s="196">
        <f t="shared" si="166"/>
        <v>1107.4625980273868</v>
      </c>
      <c r="AQ72" s="197">
        <f t="shared" si="167"/>
        <v>252.91752167339689</v>
      </c>
      <c r="AR72" s="197">
        <f t="shared" si="168"/>
        <v>649.88499213880289</v>
      </c>
      <c r="AS72" s="197">
        <f t="shared" si="169"/>
        <v>457.57760588858389</v>
      </c>
      <c r="AT72" s="199">
        <f t="shared" si="170"/>
        <v>710.49512756198078</v>
      </c>
      <c r="AU72" s="196">
        <f t="shared" si="171"/>
        <v>11685.684751291483</v>
      </c>
      <c r="AV72" s="197">
        <f t="shared" si="171"/>
        <v>2899.4159442201048</v>
      </c>
      <c r="AW72" s="197">
        <f t="shared" si="171"/>
        <v>10157.558804371321</v>
      </c>
      <c r="AX72" s="197">
        <f t="shared" si="171"/>
        <v>1528.1259469201623</v>
      </c>
      <c r="AY72" s="199">
        <f t="shared" si="171"/>
        <v>4427.5418911402667</v>
      </c>
      <c r="BB72" s="204">
        <f t="shared" si="205"/>
        <v>10</v>
      </c>
      <c r="BC72" s="219" t="s">
        <v>559</v>
      </c>
      <c r="BD72" s="760">
        <f>'Arable Inputs'!$E$18-0.5*'Arable Inputs'!$E$18</f>
        <v>1.55</v>
      </c>
      <c r="BE72" s="760">
        <f>'Arable Inputs'!$E$25</f>
        <v>310.75</v>
      </c>
      <c r="BH72" s="762">
        <f>BD72*BE72</f>
        <v>481.66250000000002</v>
      </c>
      <c r="BI72" s="197">
        <f>'Arable NPV'!$E152</f>
        <v>330</v>
      </c>
      <c r="BJ72" s="197">
        <f t="shared" si="172"/>
        <v>811.66250000000002</v>
      </c>
      <c r="BK72" s="197">
        <f>'Arable NPV'!$G152</f>
        <v>300.32802631578949</v>
      </c>
      <c r="BL72" s="197">
        <f>'Arable NPV'!$H152</f>
        <v>547.62448399999994</v>
      </c>
      <c r="BM72" s="197">
        <f t="shared" si="173"/>
        <v>847.95251031578937</v>
      </c>
      <c r="BN72" s="197">
        <f t="shared" si="174"/>
        <v>-366.29001031578935</v>
      </c>
      <c r="BO72" s="197">
        <f t="shared" si="175"/>
        <v>-36.290010315789345</v>
      </c>
      <c r="BP72" s="196">
        <f t="shared" si="176"/>
        <v>369.15419934246222</v>
      </c>
      <c r="BQ72" s="197">
        <f t="shared" si="177"/>
        <v>252.91752167339689</v>
      </c>
      <c r="BR72" s="197">
        <f t="shared" si="178"/>
        <v>649.88499213880289</v>
      </c>
      <c r="BS72" s="197">
        <f t="shared" si="179"/>
        <v>-280.73079279634067</v>
      </c>
      <c r="BT72" s="199">
        <f t="shared" si="180"/>
        <v>-27.813271122943782</v>
      </c>
      <c r="BU72" s="196">
        <f t="shared" si="181"/>
        <v>3895.2282504304944</v>
      </c>
      <c r="BV72" s="197">
        <f t="shared" si="181"/>
        <v>2899.4159442201048</v>
      </c>
      <c r="BW72" s="197">
        <f t="shared" si="181"/>
        <v>10157.558804371321</v>
      </c>
      <c r="BX72" s="197">
        <f t="shared" si="181"/>
        <v>-6262.3305539408266</v>
      </c>
      <c r="BY72" s="199">
        <f t="shared" si="181"/>
        <v>-3362.9146097207217</v>
      </c>
      <c r="BZ72" s="197"/>
      <c r="CB72" s="204">
        <f t="shared" si="206"/>
        <v>10</v>
      </c>
      <c r="CC72" s="219" t="s">
        <v>559</v>
      </c>
      <c r="CD72" s="760">
        <f>'Arable Inputs'!$E$18+'Arable Inputs'!$E$18</f>
        <v>6.2</v>
      </c>
      <c r="CE72" s="760">
        <f>'Arable Inputs'!$E$25</f>
        <v>310.75</v>
      </c>
      <c r="CH72" s="762">
        <f>CD72*CE72</f>
        <v>1926.65</v>
      </c>
      <c r="CI72" s="197">
        <f>'Arable NPV'!$E152</f>
        <v>330</v>
      </c>
      <c r="CJ72" s="197">
        <f t="shared" si="182"/>
        <v>2256.65</v>
      </c>
      <c r="CK72" s="197">
        <f>'Arable NPV'!$G152</f>
        <v>300.32802631578949</v>
      </c>
      <c r="CL72" s="197">
        <f>'Arable NPV'!$H152</f>
        <v>547.62448399999994</v>
      </c>
      <c r="CM72" s="197">
        <f t="shared" si="183"/>
        <v>847.95251031578937</v>
      </c>
      <c r="CN72" s="197">
        <f t="shared" si="184"/>
        <v>1078.6974896842107</v>
      </c>
      <c r="CO72" s="197">
        <f t="shared" si="185"/>
        <v>1408.6974896842107</v>
      </c>
      <c r="CP72" s="196">
        <f t="shared" si="186"/>
        <v>1476.6167973698489</v>
      </c>
      <c r="CQ72" s="197">
        <f t="shared" si="187"/>
        <v>252.91752167339689</v>
      </c>
      <c r="CR72" s="197">
        <f t="shared" si="188"/>
        <v>649.88499213880289</v>
      </c>
      <c r="CS72" s="197">
        <f t="shared" si="189"/>
        <v>826.731805231046</v>
      </c>
      <c r="CT72" s="199">
        <f t="shared" si="190"/>
        <v>1079.6493269044429</v>
      </c>
      <c r="CU72" s="196">
        <f t="shared" si="191"/>
        <v>15580.913001721978</v>
      </c>
      <c r="CV72" s="197">
        <f t="shared" si="191"/>
        <v>2899.4159442201048</v>
      </c>
      <c r="CW72" s="197">
        <f t="shared" si="191"/>
        <v>10157.558804371321</v>
      </c>
      <c r="CX72" s="197">
        <f t="shared" si="191"/>
        <v>5423.3541973506553</v>
      </c>
      <c r="CY72" s="199">
        <f t="shared" si="192"/>
        <v>8322.7701415707579</v>
      </c>
      <c r="DB72" s="204">
        <f t="shared" si="207"/>
        <v>10</v>
      </c>
      <c r="DC72" s="219" t="s">
        <v>559</v>
      </c>
      <c r="DD72" s="760">
        <f>'Arable Inputs'!$E$18-'Arable Inputs'!$E$18</f>
        <v>0</v>
      </c>
      <c r="DE72" s="760">
        <f>'Arable Inputs'!$E$25</f>
        <v>310.75</v>
      </c>
      <c r="DH72" s="762">
        <f>DD72*DE72</f>
        <v>0</v>
      </c>
      <c r="DI72" s="197">
        <f>'Arable NPV'!$E152</f>
        <v>330</v>
      </c>
      <c r="DJ72" s="197">
        <f t="shared" si="193"/>
        <v>330</v>
      </c>
      <c r="DK72" s="197">
        <f>'Arable NPV'!$G152</f>
        <v>300.32802631578949</v>
      </c>
      <c r="DL72" s="197">
        <f>'Arable NPV'!$H152</f>
        <v>547.62448399999994</v>
      </c>
      <c r="DM72" s="197">
        <f t="shared" si="194"/>
        <v>847.95251031578937</v>
      </c>
      <c r="DN72" s="197">
        <f t="shared" si="195"/>
        <v>-847.95251031578937</v>
      </c>
      <c r="DO72" s="197">
        <f t="shared" si="196"/>
        <v>-517.95251031578937</v>
      </c>
      <c r="DP72" s="196">
        <f t="shared" si="197"/>
        <v>0</v>
      </c>
      <c r="DQ72" s="197">
        <f t="shared" si="198"/>
        <v>252.91752167339689</v>
      </c>
      <c r="DR72" s="197">
        <f t="shared" si="199"/>
        <v>649.88499213880289</v>
      </c>
      <c r="DS72" s="197">
        <f t="shared" si="200"/>
        <v>-649.88499213880289</v>
      </c>
      <c r="DT72" s="199">
        <f t="shared" si="201"/>
        <v>-396.967470465406</v>
      </c>
      <c r="DU72" s="196">
        <f t="shared" si="202"/>
        <v>0</v>
      </c>
      <c r="DV72" s="197">
        <f t="shared" si="202"/>
        <v>2899.4159442201048</v>
      </c>
      <c r="DW72" s="197">
        <f t="shared" si="202"/>
        <v>10157.558804371321</v>
      </c>
      <c r="DX72" s="197">
        <f t="shared" si="202"/>
        <v>-10157.558804371321</v>
      </c>
      <c r="DY72" s="199">
        <f t="shared" si="202"/>
        <v>-7258.1428601512162</v>
      </c>
    </row>
    <row r="73" spans="2:129" x14ac:dyDescent="0.3">
      <c r="B73" s="204">
        <f t="shared" si="203"/>
        <v>11</v>
      </c>
      <c r="C73" s="219" t="s">
        <v>4</v>
      </c>
      <c r="D73" s="760">
        <f>'Arable Inputs'!$D$18</f>
        <v>5.5</v>
      </c>
      <c r="E73" s="760">
        <f>'Arable Inputs'!$D$25</f>
        <v>210</v>
      </c>
      <c r="F73" s="760">
        <f>'Arable Inputs'!$D$19</f>
        <v>3.9</v>
      </c>
      <c r="G73" s="760">
        <f>'Arable Inputs'!$D$26</f>
        <v>73.449999999999989</v>
      </c>
      <c r="H73" s="762">
        <f>D73*E73+F73*G73</f>
        <v>1441.4549999999999</v>
      </c>
      <c r="I73" s="197">
        <f>'Arable NPV'!$E153</f>
        <v>330</v>
      </c>
      <c r="J73" s="197">
        <f t="shared" si="152"/>
        <v>1771.4549999999999</v>
      </c>
      <c r="K73" s="197">
        <f>'Arable NPV'!$G153</f>
        <v>622.34710631578946</v>
      </c>
      <c r="L73" s="197">
        <f>'Arable NPV'!$H153</f>
        <v>943.00233600000001</v>
      </c>
      <c r="M73" s="197">
        <f t="shared" si="153"/>
        <v>1565.3494423157895</v>
      </c>
      <c r="N73" s="197">
        <f t="shared" si="154"/>
        <v>-123.89444231578955</v>
      </c>
      <c r="O73" s="197">
        <f t="shared" si="155"/>
        <v>206.10555768421045</v>
      </c>
      <c r="P73" s="196">
        <f t="shared" si="156"/>
        <v>1072.577894097459</v>
      </c>
      <c r="Q73" s="197">
        <f t="shared" si="157"/>
        <v>245.55099191591933</v>
      </c>
      <c r="R73" s="197">
        <f t="shared" si="158"/>
        <v>1164.7669947141612</v>
      </c>
      <c r="S73" s="197">
        <f t="shared" si="159"/>
        <v>-92.189100616702333</v>
      </c>
      <c r="T73" s="199">
        <f t="shared" si="160"/>
        <v>153.36189129921698</v>
      </c>
      <c r="U73" s="196">
        <f t="shared" si="161"/>
        <v>8863.0343949584476</v>
      </c>
      <c r="V73" s="197">
        <f t="shared" si="161"/>
        <v>3144.9669361360243</v>
      </c>
      <c r="W73" s="197">
        <f t="shared" si="161"/>
        <v>11322.325799085484</v>
      </c>
      <c r="X73" s="197">
        <f t="shared" si="161"/>
        <v>-2459.2914041270351</v>
      </c>
      <c r="Y73" s="199">
        <f t="shared" si="161"/>
        <v>685.67553200898897</v>
      </c>
      <c r="AB73" s="204">
        <f t="shared" si="204"/>
        <v>11</v>
      </c>
      <c r="AC73" s="219" t="s">
        <v>4</v>
      </c>
      <c r="AD73" s="760">
        <f>'Arable Inputs'!$D$18+0.5*'Arable Inputs'!$D$18</f>
        <v>8.25</v>
      </c>
      <c r="AE73" s="760">
        <f>'Arable Inputs'!$D$25</f>
        <v>210</v>
      </c>
      <c r="AF73" s="760">
        <f>'Arable Inputs'!$D$19+0.5*'Arable Inputs'!$D$19</f>
        <v>5.85</v>
      </c>
      <c r="AG73" s="760">
        <f>'Arable Inputs'!$D$26</f>
        <v>73.449999999999989</v>
      </c>
      <c r="AH73" s="762">
        <f>AD73*AE73+AF73*AG73</f>
        <v>2162.1824999999999</v>
      </c>
      <c r="AI73" s="197">
        <f>'Arable NPV'!$E153</f>
        <v>330</v>
      </c>
      <c r="AJ73" s="197">
        <f t="shared" si="162"/>
        <v>2492.1824999999999</v>
      </c>
      <c r="AK73" s="197">
        <f>'Arable NPV'!$G153</f>
        <v>622.34710631578946</v>
      </c>
      <c r="AL73" s="197">
        <f>'Arable NPV'!$H153</f>
        <v>943.00233600000001</v>
      </c>
      <c r="AM73" s="197">
        <f t="shared" si="163"/>
        <v>1565.3494423157895</v>
      </c>
      <c r="AN73" s="197">
        <f t="shared" si="164"/>
        <v>596.83305768421042</v>
      </c>
      <c r="AO73" s="197">
        <f t="shared" si="165"/>
        <v>926.83305768421042</v>
      </c>
      <c r="AP73" s="196">
        <f t="shared" si="166"/>
        <v>1608.8668411461883</v>
      </c>
      <c r="AQ73" s="197">
        <f t="shared" si="167"/>
        <v>245.55099191591933</v>
      </c>
      <c r="AR73" s="197">
        <f t="shared" si="168"/>
        <v>1164.7669947141612</v>
      </c>
      <c r="AS73" s="197">
        <f t="shared" si="169"/>
        <v>444.09984643202716</v>
      </c>
      <c r="AT73" s="199">
        <f t="shared" si="170"/>
        <v>689.65083834794643</v>
      </c>
      <c r="AU73" s="196">
        <f t="shared" si="171"/>
        <v>13294.55159243767</v>
      </c>
      <c r="AV73" s="197">
        <f t="shared" si="171"/>
        <v>3144.9669361360243</v>
      </c>
      <c r="AW73" s="197">
        <f t="shared" si="171"/>
        <v>11322.325799085484</v>
      </c>
      <c r="AX73" s="197">
        <f t="shared" si="171"/>
        <v>1972.2257933521894</v>
      </c>
      <c r="AY73" s="199">
        <f t="shared" si="171"/>
        <v>5117.1927294882134</v>
      </c>
      <c r="BB73" s="204">
        <f t="shared" si="205"/>
        <v>11</v>
      </c>
      <c r="BC73" s="219" t="s">
        <v>4</v>
      </c>
      <c r="BD73" s="760">
        <f>'Arable Inputs'!$D$18-0.5*'Arable Inputs'!$D$18</f>
        <v>2.75</v>
      </c>
      <c r="BE73" s="760">
        <f>'Arable Inputs'!$D$25</f>
        <v>210</v>
      </c>
      <c r="BF73" s="760">
        <f>'Arable Inputs'!$D$19-0.5*'Arable Inputs'!$D$19</f>
        <v>1.95</v>
      </c>
      <c r="BG73" s="760">
        <f>'Arable Inputs'!$D$26</f>
        <v>73.449999999999989</v>
      </c>
      <c r="BH73" s="762">
        <f>BD73*BE73+BF73*BG73</f>
        <v>720.72749999999996</v>
      </c>
      <c r="BI73" s="197">
        <f>'Arable NPV'!$E153</f>
        <v>330</v>
      </c>
      <c r="BJ73" s="197">
        <f t="shared" si="172"/>
        <v>1050.7275</v>
      </c>
      <c r="BK73" s="197">
        <f>'Arable NPV'!$G153</f>
        <v>622.34710631578946</v>
      </c>
      <c r="BL73" s="197">
        <f>'Arable NPV'!$H153</f>
        <v>943.00233600000001</v>
      </c>
      <c r="BM73" s="197">
        <f t="shared" si="173"/>
        <v>1565.3494423157895</v>
      </c>
      <c r="BN73" s="197">
        <f t="shared" si="174"/>
        <v>-844.62194231578951</v>
      </c>
      <c r="BO73" s="197">
        <f t="shared" si="175"/>
        <v>-514.62194231578951</v>
      </c>
      <c r="BP73" s="196">
        <f t="shared" si="176"/>
        <v>536.28894704872948</v>
      </c>
      <c r="BQ73" s="197">
        <f t="shared" si="177"/>
        <v>245.55099191591933</v>
      </c>
      <c r="BR73" s="197">
        <f t="shared" si="178"/>
        <v>1164.7669947141612</v>
      </c>
      <c r="BS73" s="197">
        <f t="shared" si="179"/>
        <v>-628.47804766543186</v>
      </c>
      <c r="BT73" s="199">
        <f t="shared" si="180"/>
        <v>-382.92705574951248</v>
      </c>
      <c r="BU73" s="196">
        <f t="shared" si="181"/>
        <v>4431.5171974792238</v>
      </c>
      <c r="BV73" s="197">
        <f t="shared" si="181"/>
        <v>3144.9669361360243</v>
      </c>
      <c r="BW73" s="197">
        <f t="shared" si="181"/>
        <v>11322.325799085484</v>
      </c>
      <c r="BX73" s="197">
        <f t="shared" si="181"/>
        <v>-6890.8086016062589</v>
      </c>
      <c r="BY73" s="199">
        <f t="shared" si="181"/>
        <v>-3745.8416654702341</v>
      </c>
      <c r="BZ73" s="197"/>
      <c r="CB73" s="204">
        <f t="shared" si="206"/>
        <v>11</v>
      </c>
      <c r="CC73" s="219" t="s">
        <v>4</v>
      </c>
      <c r="CD73" s="760">
        <f>'Arable Inputs'!$D$18+'Arable Inputs'!$D$18</f>
        <v>11</v>
      </c>
      <c r="CE73" s="760">
        <f>'Arable Inputs'!$D$25</f>
        <v>210</v>
      </c>
      <c r="CF73" s="760">
        <f>'Arable Inputs'!$D$19+'Arable Inputs'!$D$19</f>
        <v>7.8</v>
      </c>
      <c r="CG73" s="760">
        <f>'Arable Inputs'!$D$26</f>
        <v>73.449999999999989</v>
      </c>
      <c r="CH73" s="762">
        <f>CD73*CE73+CF73*CG73</f>
        <v>2882.91</v>
      </c>
      <c r="CI73" s="197">
        <f>'Arable NPV'!$E153</f>
        <v>330</v>
      </c>
      <c r="CJ73" s="197">
        <f t="shared" si="182"/>
        <v>3212.91</v>
      </c>
      <c r="CK73" s="197">
        <f>'Arable NPV'!$G153</f>
        <v>622.34710631578946</v>
      </c>
      <c r="CL73" s="197">
        <f>'Arable NPV'!$H153</f>
        <v>943.00233600000001</v>
      </c>
      <c r="CM73" s="197">
        <f t="shared" si="183"/>
        <v>1565.3494423157895</v>
      </c>
      <c r="CN73" s="197">
        <f t="shared" si="184"/>
        <v>1317.5605576842104</v>
      </c>
      <c r="CO73" s="197">
        <f t="shared" si="185"/>
        <v>1647.5605576842104</v>
      </c>
      <c r="CP73" s="196">
        <f t="shared" si="186"/>
        <v>2145.1557881949179</v>
      </c>
      <c r="CQ73" s="197">
        <f t="shared" si="187"/>
        <v>245.55099191591933</v>
      </c>
      <c r="CR73" s="197">
        <f t="shared" si="188"/>
        <v>1164.7669947141612</v>
      </c>
      <c r="CS73" s="197">
        <f t="shared" si="189"/>
        <v>980.38879348075659</v>
      </c>
      <c r="CT73" s="199">
        <f t="shared" si="190"/>
        <v>1225.9397853966759</v>
      </c>
      <c r="CU73" s="196">
        <f t="shared" si="191"/>
        <v>17726.068789916895</v>
      </c>
      <c r="CV73" s="197">
        <f t="shared" si="191"/>
        <v>3144.9669361360243</v>
      </c>
      <c r="CW73" s="197">
        <f t="shared" si="191"/>
        <v>11322.325799085484</v>
      </c>
      <c r="CX73" s="197">
        <f t="shared" si="191"/>
        <v>6403.7429908314116</v>
      </c>
      <c r="CY73" s="199">
        <f t="shared" si="192"/>
        <v>9548.7099269674345</v>
      </c>
      <c r="DB73" s="204">
        <f t="shared" si="207"/>
        <v>11</v>
      </c>
      <c r="DC73" s="219" t="s">
        <v>4</v>
      </c>
      <c r="DD73" s="760">
        <f>'Arable Inputs'!$D$18-'Arable Inputs'!$D$18</f>
        <v>0</v>
      </c>
      <c r="DE73" s="760">
        <f>'Arable Inputs'!$D$25</f>
        <v>210</v>
      </c>
      <c r="DF73" s="760">
        <f>'Arable Inputs'!$D$19-'Arable Inputs'!$D$19</f>
        <v>0</v>
      </c>
      <c r="DG73" s="760">
        <f>'Arable Inputs'!$D$26</f>
        <v>73.449999999999989</v>
      </c>
      <c r="DH73" s="762">
        <f>DD73*DE73+DF73*DG73</f>
        <v>0</v>
      </c>
      <c r="DI73" s="197">
        <f>'Arable NPV'!$E153</f>
        <v>330</v>
      </c>
      <c r="DJ73" s="197">
        <f t="shared" si="193"/>
        <v>330</v>
      </c>
      <c r="DK73" s="197">
        <f>'Arable NPV'!$G153</f>
        <v>622.34710631578946</v>
      </c>
      <c r="DL73" s="197">
        <f>'Arable NPV'!$H153</f>
        <v>943.00233600000001</v>
      </c>
      <c r="DM73" s="197">
        <f t="shared" si="194"/>
        <v>1565.3494423157895</v>
      </c>
      <c r="DN73" s="197">
        <f t="shared" si="195"/>
        <v>-1565.3494423157895</v>
      </c>
      <c r="DO73" s="197">
        <f t="shared" si="196"/>
        <v>-1235.3494423157895</v>
      </c>
      <c r="DP73" s="196">
        <f t="shared" si="197"/>
        <v>0</v>
      </c>
      <c r="DQ73" s="197">
        <f t="shared" si="198"/>
        <v>245.55099191591933</v>
      </c>
      <c r="DR73" s="197">
        <f t="shared" si="199"/>
        <v>1164.7669947141612</v>
      </c>
      <c r="DS73" s="197">
        <f t="shared" si="200"/>
        <v>-1164.7669947141612</v>
      </c>
      <c r="DT73" s="199">
        <f t="shared" si="201"/>
        <v>-919.21600279824202</v>
      </c>
      <c r="DU73" s="196">
        <f t="shared" si="202"/>
        <v>0</v>
      </c>
      <c r="DV73" s="197">
        <f t="shared" si="202"/>
        <v>3144.9669361360243</v>
      </c>
      <c r="DW73" s="197">
        <f t="shared" si="202"/>
        <v>11322.325799085484</v>
      </c>
      <c r="DX73" s="197">
        <f t="shared" si="202"/>
        <v>-11322.325799085484</v>
      </c>
      <c r="DY73" s="199">
        <f t="shared" si="202"/>
        <v>-8177.3588629494579</v>
      </c>
    </row>
    <row r="74" spans="2:129" x14ac:dyDescent="0.3">
      <c r="B74" s="204">
        <f t="shared" si="203"/>
        <v>12</v>
      </c>
      <c r="C74" s="219" t="s">
        <v>560</v>
      </c>
      <c r="D74" s="760">
        <f>'Arable Inputs'!$G$18</f>
        <v>2.1</v>
      </c>
      <c r="E74" s="760">
        <f>'Arable Inputs'!$G$25</f>
        <v>235.55</v>
      </c>
      <c r="H74" s="762">
        <f>D74*E74</f>
        <v>494.65500000000003</v>
      </c>
      <c r="I74" s="197">
        <f>'Arable NPV'!$E154</f>
        <v>330</v>
      </c>
      <c r="J74" s="197">
        <f t="shared" si="152"/>
        <v>824.65499999999997</v>
      </c>
      <c r="K74" s="197">
        <f>'Arable NPV'!$G154</f>
        <v>255.07731473684206</v>
      </c>
      <c r="L74" s="197">
        <f>'Arable NPV'!$H154</f>
        <v>778.68036799999993</v>
      </c>
      <c r="M74" s="197">
        <f t="shared" si="153"/>
        <v>1033.7576827368421</v>
      </c>
      <c r="N74" s="197">
        <f t="shared" si="154"/>
        <v>-539.1026827368421</v>
      </c>
      <c r="O74" s="197">
        <f t="shared" si="155"/>
        <v>-209.1026827368421</v>
      </c>
      <c r="P74" s="196">
        <f t="shared" si="156"/>
        <v>357.34929657596081</v>
      </c>
      <c r="Q74" s="197">
        <f t="shared" si="157"/>
        <v>238.39902127759154</v>
      </c>
      <c r="R74" s="197">
        <f t="shared" si="158"/>
        <v>746.80854485652776</v>
      </c>
      <c r="S74" s="197">
        <f t="shared" si="159"/>
        <v>-389.45924828056701</v>
      </c>
      <c r="T74" s="199">
        <f t="shared" si="160"/>
        <v>-151.06022700297544</v>
      </c>
      <c r="U74" s="196">
        <f t="shared" si="161"/>
        <v>9220.3836915344091</v>
      </c>
      <c r="V74" s="197">
        <f t="shared" si="161"/>
        <v>3383.3659574136159</v>
      </c>
      <c r="W74" s="197">
        <f t="shared" si="161"/>
        <v>12069.134343942011</v>
      </c>
      <c r="X74" s="197">
        <f t="shared" si="161"/>
        <v>-2848.750652407602</v>
      </c>
      <c r="Y74" s="199">
        <f t="shared" si="161"/>
        <v>534.6153050060135</v>
      </c>
      <c r="AB74" s="204">
        <f t="shared" si="204"/>
        <v>12</v>
      </c>
      <c r="AC74" s="219" t="s">
        <v>560</v>
      </c>
      <c r="AD74" s="760">
        <f>'Arable Inputs'!$G$18+0.5*'Arable Inputs'!$G$18</f>
        <v>3.1500000000000004</v>
      </c>
      <c r="AE74" s="760">
        <f>'Arable Inputs'!$G$25</f>
        <v>235.55</v>
      </c>
      <c r="AH74" s="762">
        <f>AD74*AE74</f>
        <v>741.98250000000007</v>
      </c>
      <c r="AI74" s="197">
        <f>'Arable NPV'!$E154</f>
        <v>330</v>
      </c>
      <c r="AJ74" s="197">
        <f t="shared" si="162"/>
        <v>1071.9825000000001</v>
      </c>
      <c r="AK74" s="197">
        <f>'Arable NPV'!$G154</f>
        <v>255.07731473684206</v>
      </c>
      <c r="AL74" s="197">
        <f>'Arable NPV'!$H154</f>
        <v>778.68036799999993</v>
      </c>
      <c r="AM74" s="197">
        <f t="shared" si="163"/>
        <v>1033.7576827368421</v>
      </c>
      <c r="AN74" s="197">
        <f t="shared" si="164"/>
        <v>-291.775182736842</v>
      </c>
      <c r="AO74" s="197">
        <f t="shared" si="165"/>
        <v>38.224817263158002</v>
      </c>
      <c r="AP74" s="196">
        <f t="shared" si="166"/>
        <v>536.02394486394121</v>
      </c>
      <c r="AQ74" s="197">
        <f t="shared" si="167"/>
        <v>238.39902127759154</v>
      </c>
      <c r="AR74" s="197">
        <f t="shared" si="168"/>
        <v>746.80854485652776</v>
      </c>
      <c r="AS74" s="197">
        <f t="shared" si="169"/>
        <v>-210.78459999258655</v>
      </c>
      <c r="AT74" s="199">
        <f t="shared" si="170"/>
        <v>27.614421285005012</v>
      </c>
      <c r="AU74" s="196">
        <f t="shared" si="171"/>
        <v>13830.575537301611</v>
      </c>
      <c r="AV74" s="197">
        <f t="shared" si="171"/>
        <v>3383.3659574136159</v>
      </c>
      <c r="AW74" s="197">
        <f t="shared" si="171"/>
        <v>12069.134343942011</v>
      </c>
      <c r="AX74" s="197">
        <f t="shared" si="171"/>
        <v>1761.4411933596029</v>
      </c>
      <c r="AY74" s="199">
        <f t="shared" si="171"/>
        <v>5144.8071507732184</v>
      </c>
      <c r="BB74" s="204">
        <f t="shared" si="205"/>
        <v>12</v>
      </c>
      <c r="BC74" s="219" t="s">
        <v>560</v>
      </c>
      <c r="BD74" s="760">
        <f>'Arable Inputs'!$G$18-0.5*'Arable Inputs'!$G$18</f>
        <v>1.05</v>
      </c>
      <c r="BE74" s="760">
        <f>'Arable Inputs'!$G$25</f>
        <v>235.55</v>
      </c>
      <c r="BH74" s="762">
        <f>BD74*BE74</f>
        <v>247.32750000000001</v>
      </c>
      <c r="BI74" s="197">
        <f>'Arable NPV'!$E154</f>
        <v>330</v>
      </c>
      <c r="BJ74" s="197">
        <f t="shared" si="172"/>
        <v>577.32749999999999</v>
      </c>
      <c r="BK74" s="197">
        <f>'Arable NPV'!$G154</f>
        <v>255.07731473684206</v>
      </c>
      <c r="BL74" s="197">
        <f>'Arable NPV'!$H154</f>
        <v>778.68036799999993</v>
      </c>
      <c r="BM74" s="197">
        <f t="shared" si="173"/>
        <v>1033.7576827368421</v>
      </c>
      <c r="BN74" s="197">
        <f t="shared" si="174"/>
        <v>-786.43018273684208</v>
      </c>
      <c r="BO74" s="197">
        <f t="shared" si="175"/>
        <v>-456.43018273684208</v>
      </c>
      <c r="BP74" s="196">
        <f t="shared" si="176"/>
        <v>178.6746482879804</v>
      </c>
      <c r="BQ74" s="197">
        <f t="shared" si="177"/>
        <v>238.39902127759154</v>
      </c>
      <c r="BR74" s="197">
        <f t="shared" si="178"/>
        <v>746.80854485652776</v>
      </c>
      <c r="BS74" s="197">
        <f t="shared" si="179"/>
        <v>-568.13389656854736</v>
      </c>
      <c r="BT74" s="199">
        <f t="shared" si="180"/>
        <v>-329.73487529095581</v>
      </c>
      <c r="BU74" s="196">
        <f t="shared" si="181"/>
        <v>4610.1918457672045</v>
      </c>
      <c r="BV74" s="197">
        <f t="shared" si="181"/>
        <v>3383.3659574136159</v>
      </c>
      <c r="BW74" s="197">
        <f t="shared" si="181"/>
        <v>12069.134343942011</v>
      </c>
      <c r="BX74" s="197">
        <f t="shared" si="181"/>
        <v>-7458.9424981748061</v>
      </c>
      <c r="BY74" s="199">
        <f t="shared" si="181"/>
        <v>-4075.5765407611898</v>
      </c>
      <c r="BZ74" s="197"/>
      <c r="CB74" s="204">
        <f t="shared" si="206"/>
        <v>12</v>
      </c>
      <c r="CC74" s="219" t="s">
        <v>560</v>
      </c>
      <c r="CD74" s="760">
        <f>'Arable Inputs'!$G$18+'Arable Inputs'!$G$18</f>
        <v>4.2</v>
      </c>
      <c r="CE74" s="760">
        <f>'Arable Inputs'!$G$25</f>
        <v>235.55</v>
      </c>
      <c r="CH74" s="762">
        <f>CD74*CE74</f>
        <v>989.31000000000006</v>
      </c>
      <c r="CI74" s="197">
        <f>'Arable NPV'!$E154</f>
        <v>330</v>
      </c>
      <c r="CJ74" s="197">
        <f t="shared" si="182"/>
        <v>1319.31</v>
      </c>
      <c r="CK74" s="197">
        <f>'Arable NPV'!$G154</f>
        <v>255.07731473684206</v>
      </c>
      <c r="CL74" s="197">
        <f>'Arable NPV'!$H154</f>
        <v>778.68036799999993</v>
      </c>
      <c r="CM74" s="197">
        <f t="shared" si="183"/>
        <v>1033.7576827368421</v>
      </c>
      <c r="CN74" s="197">
        <f t="shared" si="184"/>
        <v>-44.447682736842012</v>
      </c>
      <c r="CO74" s="197">
        <f t="shared" si="185"/>
        <v>285.55231726315787</v>
      </c>
      <c r="CP74" s="196">
        <f t="shared" si="186"/>
        <v>714.69859315192161</v>
      </c>
      <c r="CQ74" s="197">
        <f t="shared" si="187"/>
        <v>238.39902127759154</v>
      </c>
      <c r="CR74" s="197">
        <f t="shared" si="188"/>
        <v>746.80854485652776</v>
      </c>
      <c r="CS74" s="197">
        <f t="shared" si="189"/>
        <v>-32.109951704606175</v>
      </c>
      <c r="CT74" s="199">
        <f t="shared" si="190"/>
        <v>206.28906957298531</v>
      </c>
      <c r="CU74" s="196">
        <f t="shared" si="191"/>
        <v>18440.767383068818</v>
      </c>
      <c r="CV74" s="197">
        <f t="shared" si="191"/>
        <v>3383.3659574136159</v>
      </c>
      <c r="CW74" s="197">
        <f t="shared" si="191"/>
        <v>12069.134343942011</v>
      </c>
      <c r="CX74" s="197">
        <f t="shared" si="191"/>
        <v>6371.6330391268057</v>
      </c>
      <c r="CY74" s="199">
        <f t="shared" si="192"/>
        <v>9754.9989965404202</v>
      </c>
      <c r="DB74" s="204">
        <f t="shared" si="207"/>
        <v>12</v>
      </c>
      <c r="DC74" s="219" t="s">
        <v>560</v>
      </c>
      <c r="DD74" s="760">
        <f>'Arable Inputs'!$G$18-'Arable Inputs'!$G$18</f>
        <v>0</v>
      </c>
      <c r="DE74" s="760">
        <f>'Arable Inputs'!$G$25</f>
        <v>235.55</v>
      </c>
      <c r="DH74" s="762">
        <f>DD74*DE74</f>
        <v>0</v>
      </c>
      <c r="DI74" s="197">
        <f>'Arable NPV'!$E154</f>
        <v>330</v>
      </c>
      <c r="DJ74" s="197">
        <f t="shared" si="193"/>
        <v>330</v>
      </c>
      <c r="DK74" s="197">
        <f>'Arable NPV'!$G154</f>
        <v>255.07731473684206</v>
      </c>
      <c r="DL74" s="197">
        <f>'Arable NPV'!$H154</f>
        <v>778.68036799999993</v>
      </c>
      <c r="DM74" s="197">
        <f t="shared" si="194"/>
        <v>1033.7576827368421</v>
      </c>
      <c r="DN74" s="197">
        <f t="shared" si="195"/>
        <v>-1033.7576827368421</v>
      </c>
      <c r="DO74" s="197">
        <f t="shared" si="196"/>
        <v>-703.75768273684207</v>
      </c>
      <c r="DP74" s="196">
        <f t="shared" si="197"/>
        <v>0</v>
      </c>
      <c r="DQ74" s="197">
        <f t="shared" si="198"/>
        <v>238.39902127759154</v>
      </c>
      <c r="DR74" s="197">
        <f t="shared" si="199"/>
        <v>746.80854485652776</v>
      </c>
      <c r="DS74" s="197">
        <f t="shared" si="200"/>
        <v>-746.80854485652776</v>
      </c>
      <c r="DT74" s="199">
        <f t="shared" si="201"/>
        <v>-508.40952357893616</v>
      </c>
      <c r="DU74" s="196">
        <f t="shared" si="202"/>
        <v>0</v>
      </c>
      <c r="DV74" s="197">
        <f t="shared" si="202"/>
        <v>3383.3659574136159</v>
      </c>
      <c r="DW74" s="197">
        <f t="shared" si="202"/>
        <v>12069.134343942011</v>
      </c>
      <c r="DX74" s="197">
        <f t="shared" si="202"/>
        <v>-12069.134343942011</v>
      </c>
      <c r="DY74" s="199">
        <f t="shared" si="202"/>
        <v>-8685.7683865283943</v>
      </c>
    </row>
    <row r="75" spans="2:129" x14ac:dyDescent="0.3">
      <c r="B75" s="204">
        <f t="shared" si="203"/>
        <v>13</v>
      </c>
      <c r="C75" s="219" t="s">
        <v>255</v>
      </c>
      <c r="D75" s="760">
        <f>'Arable Inputs'!$H$18</f>
        <v>9.4</v>
      </c>
      <c r="E75" s="760">
        <f>'Arable Inputs'!$H$25</f>
        <v>94.285714285714292</v>
      </c>
      <c r="H75" s="762">
        <f>D75*E75</f>
        <v>886.28571428571433</v>
      </c>
      <c r="I75" s="197">
        <f>'Arable NPV'!$E155</f>
        <v>330</v>
      </c>
      <c r="J75" s="197">
        <f t="shared" si="152"/>
        <v>1216.2857142857142</v>
      </c>
      <c r="K75" s="197">
        <f>'Arable NPV'!$G155</f>
        <v>566.71194999999989</v>
      </c>
      <c r="L75" s="197">
        <f>'Arable NPV'!$H155</f>
        <v>691.46913599999993</v>
      </c>
      <c r="M75" s="197">
        <f t="shared" si="153"/>
        <v>1258.1810859999998</v>
      </c>
      <c r="N75" s="197">
        <f t="shared" si="154"/>
        <v>-371.89537171428549</v>
      </c>
      <c r="O75" s="197">
        <f t="shared" si="155"/>
        <v>-41.895371714285602</v>
      </c>
      <c r="P75" s="196">
        <f t="shared" si="156"/>
        <v>621.622968102458</v>
      </c>
      <c r="Q75" s="197">
        <f t="shared" si="157"/>
        <v>231.45536046368116</v>
      </c>
      <c r="R75" s="197">
        <f t="shared" si="158"/>
        <v>882.46289935974482</v>
      </c>
      <c r="S75" s="197">
        <f t="shared" si="159"/>
        <v>-260.83993125728682</v>
      </c>
      <c r="T75" s="199">
        <f t="shared" si="160"/>
        <v>-29.384570793605715</v>
      </c>
      <c r="U75" s="196">
        <f t="shared" si="161"/>
        <v>9842.006659636867</v>
      </c>
      <c r="V75" s="197">
        <f t="shared" si="161"/>
        <v>3614.8213178772971</v>
      </c>
      <c r="W75" s="197">
        <f t="shared" si="161"/>
        <v>12951.597243301756</v>
      </c>
      <c r="X75" s="197">
        <f t="shared" si="161"/>
        <v>-3109.590583664889</v>
      </c>
      <c r="Y75" s="199">
        <f t="shared" si="161"/>
        <v>505.23073421240781</v>
      </c>
      <c r="AB75" s="204">
        <f t="shared" si="204"/>
        <v>13</v>
      </c>
      <c r="AC75" s="219" t="s">
        <v>28</v>
      </c>
      <c r="AD75" s="760">
        <f>'Arable Inputs'!$H$18+0.5*'Arable Inputs'!$H$18</f>
        <v>14.100000000000001</v>
      </c>
      <c r="AE75" s="760">
        <f>'Arable Inputs'!$H$25</f>
        <v>94.285714285714292</v>
      </c>
      <c r="AH75" s="762">
        <f>AD75*AE75</f>
        <v>1329.4285714285716</v>
      </c>
      <c r="AI75" s="197">
        <f>'Arable NPV'!$E155</f>
        <v>330</v>
      </c>
      <c r="AJ75" s="197">
        <f t="shared" si="162"/>
        <v>1659.4285714285716</v>
      </c>
      <c r="AK75" s="197">
        <f>'Arable NPV'!$G155</f>
        <v>566.71194999999989</v>
      </c>
      <c r="AL75" s="197">
        <f>'Arable NPV'!$H155</f>
        <v>691.46913599999993</v>
      </c>
      <c r="AM75" s="197">
        <f t="shared" si="163"/>
        <v>1258.1810859999998</v>
      </c>
      <c r="AN75" s="197">
        <f t="shared" si="164"/>
        <v>71.247485428571736</v>
      </c>
      <c r="AO75" s="197">
        <f t="shared" si="165"/>
        <v>401.24748542857174</v>
      </c>
      <c r="AP75" s="196">
        <f t="shared" si="166"/>
        <v>932.43445215368706</v>
      </c>
      <c r="AQ75" s="197">
        <f t="shared" si="167"/>
        <v>231.45536046368116</v>
      </c>
      <c r="AR75" s="197">
        <f t="shared" si="168"/>
        <v>882.46289935974482</v>
      </c>
      <c r="AS75" s="197">
        <f t="shared" si="169"/>
        <v>49.971552793942251</v>
      </c>
      <c r="AT75" s="199">
        <f t="shared" si="170"/>
        <v>281.42691325762343</v>
      </c>
      <c r="AU75" s="196">
        <f t="shared" si="171"/>
        <v>14763.009989455299</v>
      </c>
      <c r="AV75" s="197">
        <f t="shared" si="171"/>
        <v>3614.8213178772971</v>
      </c>
      <c r="AW75" s="197">
        <f t="shared" si="171"/>
        <v>12951.597243301756</v>
      </c>
      <c r="AX75" s="197">
        <f t="shared" si="171"/>
        <v>1811.4127461535452</v>
      </c>
      <c r="AY75" s="199">
        <f t="shared" si="171"/>
        <v>5426.2340640308421</v>
      </c>
      <c r="BB75" s="204">
        <f t="shared" si="205"/>
        <v>13</v>
      </c>
      <c r="BC75" s="219" t="s">
        <v>28</v>
      </c>
      <c r="BD75" s="760">
        <f>'Arable Inputs'!$H$18-0.5*'Arable Inputs'!$H$18</f>
        <v>4.7</v>
      </c>
      <c r="BE75" s="760">
        <f>'Arable Inputs'!$H$25</f>
        <v>94.285714285714292</v>
      </c>
      <c r="BH75" s="762">
        <f>BD75*BE75</f>
        <v>443.14285714285717</v>
      </c>
      <c r="BI75" s="197">
        <f>'Arable NPV'!$E155</f>
        <v>330</v>
      </c>
      <c r="BJ75" s="197">
        <f t="shared" si="172"/>
        <v>773.14285714285711</v>
      </c>
      <c r="BK75" s="197">
        <f>'Arable NPV'!$G155</f>
        <v>566.71194999999989</v>
      </c>
      <c r="BL75" s="197">
        <f>'Arable NPV'!$H155</f>
        <v>691.46913599999993</v>
      </c>
      <c r="BM75" s="197">
        <f t="shared" si="173"/>
        <v>1258.1810859999998</v>
      </c>
      <c r="BN75" s="197">
        <f t="shared" si="174"/>
        <v>-815.03822885714271</v>
      </c>
      <c r="BO75" s="197">
        <f t="shared" si="175"/>
        <v>-485.03822885714271</v>
      </c>
      <c r="BP75" s="196">
        <f t="shared" si="176"/>
        <v>310.811484051229</v>
      </c>
      <c r="BQ75" s="197">
        <f t="shared" si="177"/>
        <v>231.45536046368116</v>
      </c>
      <c r="BR75" s="197">
        <f t="shared" si="178"/>
        <v>882.46289935974482</v>
      </c>
      <c r="BS75" s="197">
        <f t="shared" si="179"/>
        <v>-571.65141530851588</v>
      </c>
      <c r="BT75" s="199">
        <f t="shared" si="180"/>
        <v>-340.19605484483469</v>
      </c>
      <c r="BU75" s="196">
        <f t="shared" si="181"/>
        <v>4921.0033298184335</v>
      </c>
      <c r="BV75" s="197">
        <f t="shared" si="181"/>
        <v>3614.8213178772971</v>
      </c>
      <c r="BW75" s="197">
        <f t="shared" si="181"/>
        <v>12951.597243301756</v>
      </c>
      <c r="BX75" s="197">
        <f t="shared" si="181"/>
        <v>-8030.5939134833225</v>
      </c>
      <c r="BY75" s="199">
        <f t="shared" si="181"/>
        <v>-4415.7725956060249</v>
      </c>
      <c r="BZ75" s="197"/>
      <c r="CB75" s="204">
        <f t="shared" si="206"/>
        <v>13</v>
      </c>
      <c r="CC75" s="219" t="s">
        <v>28</v>
      </c>
      <c r="CD75" s="760">
        <f>'Arable Inputs'!$H$18+'Arable Inputs'!$H$18</f>
        <v>18.8</v>
      </c>
      <c r="CE75" s="760">
        <f>'Arable Inputs'!$H$25</f>
        <v>94.285714285714292</v>
      </c>
      <c r="CH75" s="762">
        <f>CD75*CE75</f>
        <v>1772.5714285714287</v>
      </c>
      <c r="CI75" s="197">
        <f>'Arable NPV'!$E155</f>
        <v>330</v>
      </c>
      <c r="CJ75" s="197">
        <f t="shared" si="182"/>
        <v>2102.5714285714284</v>
      </c>
      <c r="CK75" s="197">
        <f>'Arable NPV'!$G155</f>
        <v>566.71194999999989</v>
      </c>
      <c r="CL75" s="197">
        <f>'Arable NPV'!$H155</f>
        <v>691.46913599999993</v>
      </c>
      <c r="CM75" s="197">
        <f t="shared" si="183"/>
        <v>1258.1810859999998</v>
      </c>
      <c r="CN75" s="197">
        <f t="shared" si="184"/>
        <v>514.39034257142885</v>
      </c>
      <c r="CO75" s="197">
        <f t="shared" si="185"/>
        <v>844.39034257142862</v>
      </c>
      <c r="CP75" s="196">
        <f t="shared" si="186"/>
        <v>1243.245936204916</v>
      </c>
      <c r="CQ75" s="197">
        <f t="shared" si="187"/>
        <v>231.45536046368116</v>
      </c>
      <c r="CR75" s="197">
        <f t="shared" si="188"/>
        <v>882.46289935974482</v>
      </c>
      <c r="CS75" s="197">
        <f t="shared" si="189"/>
        <v>360.78303684517118</v>
      </c>
      <c r="CT75" s="199">
        <f t="shared" si="190"/>
        <v>592.2383973088522</v>
      </c>
      <c r="CU75" s="196">
        <f t="shared" si="191"/>
        <v>19684.013319273734</v>
      </c>
      <c r="CV75" s="197">
        <f t="shared" si="191"/>
        <v>3614.8213178772971</v>
      </c>
      <c r="CW75" s="197">
        <f t="shared" si="191"/>
        <v>12951.597243301756</v>
      </c>
      <c r="CX75" s="197">
        <f t="shared" si="191"/>
        <v>6732.4160759719771</v>
      </c>
      <c r="CY75" s="199">
        <f t="shared" si="192"/>
        <v>10347.237393849273</v>
      </c>
      <c r="DB75" s="204">
        <f t="shared" si="207"/>
        <v>13</v>
      </c>
      <c r="DC75" s="219" t="s">
        <v>28</v>
      </c>
      <c r="DD75" s="760">
        <f>'Arable Inputs'!$H$18-'Arable Inputs'!$H$18</f>
        <v>0</v>
      </c>
      <c r="DE75" s="760">
        <f>'Arable Inputs'!$H$25</f>
        <v>94.285714285714292</v>
      </c>
      <c r="DH75" s="762">
        <f>DD75*DE75</f>
        <v>0</v>
      </c>
      <c r="DI75" s="197">
        <f>'Arable NPV'!$E155</f>
        <v>330</v>
      </c>
      <c r="DJ75" s="197">
        <f t="shared" si="193"/>
        <v>330</v>
      </c>
      <c r="DK75" s="197">
        <f>'Arable NPV'!$G155</f>
        <v>566.71194999999989</v>
      </c>
      <c r="DL75" s="197">
        <f>'Arable NPV'!$H155</f>
        <v>691.46913599999993</v>
      </c>
      <c r="DM75" s="197">
        <f t="shared" si="194"/>
        <v>1258.1810859999998</v>
      </c>
      <c r="DN75" s="197">
        <f t="shared" si="195"/>
        <v>-1258.1810859999998</v>
      </c>
      <c r="DO75" s="197">
        <f t="shared" si="196"/>
        <v>-928.18108599999982</v>
      </c>
      <c r="DP75" s="196">
        <f t="shared" si="197"/>
        <v>0</v>
      </c>
      <c r="DQ75" s="197">
        <f t="shared" si="198"/>
        <v>231.45536046368116</v>
      </c>
      <c r="DR75" s="197">
        <f t="shared" si="199"/>
        <v>882.46289935974482</v>
      </c>
      <c r="DS75" s="197">
        <f t="shared" si="200"/>
        <v>-882.46289935974482</v>
      </c>
      <c r="DT75" s="199">
        <f t="shared" si="201"/>
        <v>-651.00753889606369</v>
      </c>
      <c r="DU75" s="196">
        <f t="shared" si="202"/>
        <v>0</v>
      </c>
      <c r="DV75" s="197">
        <f t="shared" si="202"/>
        <v>3614.8213178772971</v>
      </c>
      <c r="DW75" s="197">
        <f t="shared" si="202"/>
        <v>12951.597243301756</v>
      </c>
      <c r="DX75" s="197">
        <f t="shared" si="202"/>
        <v>-12951.597243301756</v>
      </c>
      <c r="DY75" s="199">
        <f t="shared" si="202"/>
        <v>-9336.7759254244575</v>
      </c>
    </row>
    <row r="76" spans="2:129" x14ac:dyDescent="0.3">
      <c r="B76" s="204">
        <f t="shared" si="203"/>
        <v>14</v>
      </c>
      <c r="C76" s="219" t="s">
        <v>5</v>
      </c>
      <c r="D76" s="760">
        <f>'Arable Inputs'!$F$18</f>
        <v>2.6</v>
      </c>
      <c r="E76" s="760">
        <f>'Arable Inputs'!$F$25</f>
        <v>196.99</v>
      </c>
      <c r="F76" s="760">
        <f>'Arable Inputs'!$F$19</f>
        <v>2.6</v>
      </c>
      <c r="G76" s="760">
        <f>'Arable Inputs'!$F$26</f>
        <v>42.374999999999993</v>
      </c>
      <c r="H76" s="762">
        <f>D76*E76+F76*G76</f>
        <v>622.34900000000005</v>
      </c>
      <c r="I76" s="197">
        <f>'Arable NPV'!$E156</f>
        <v>330</v>
      </c>
      <c r="J76" s="197">
        <f t="shared" si="152"/>
        <v>952.34900000000005</v>
      </c>
      <c r="K76" s="197">
        <f>'Arable NPV'!$G156</f>
        <v>327.77441459954235</v>
      </c>
      <c r="L76" s="197">
        <f>'Arable NPV'!$H156</f>
        <v>704.91322685714283</v>
      </c>
      <c r="M76" s="197">
        <f t="shared" si="153"/>
        <v>1032.6876414566852</v>
      </c>
      <c r="N76" s="197">
        <f t="shared" si="154"/>
        <v>-410.3386414566852</v>
      </c>
      <c r="O76" s="197">
        <f t="shared" si="155"/>
        <v>-80.338641456685195</v>
      </c>
      <c r="P76" s="196">
        <f t="shared" si="156"/>
        <v>423.78938549341433</v>
      </c>
      <c r="Q76" s="197">
        <f t="shared" si="157"/>
        <v>224.71394219774871</v>
      </c>
      <c r="R76" s="197">
        <f t="shared" si="158"/>
        <v>703.21003324432422</v>
      </c>
      <c r="S76" s="197">
        <f t="shared" si="159"/>
        <v>-279.42064775090995</v>
      </c>
      <c r="T76" s="199">
        <f t="shared" si="160"/>
        <v>-54.706705553161257</v>
      </c>
      <c r="U76" s="196">
        <f t="shared" si="161"/>
        <v>10265.796045130281</v>
      </c>
      <c r="V76" s="197">
        <f t="shared" si="161"/>
        <v>3839.5352600750457</v>
      </c>
      <c r="W76" s="197">
        <f t="shared" si="161"/>
        <v>13654.80727654608</v>
      </c>
      <c r="X76" s="197">
        <f t="shared" si="161"/>
        <v>-3389.0112314157991</v>
      </c>
      <c r="Y76" s="199">
        <f t="shared" si="161"/>
        <v>450.52402865924654</v>
      </c>
      <c r="AB76" s="204">
        <f t="shared" si="204"/>
        <v>14</v>
      </c>
      <c r="AC76" s="219" t="s">
        <v>5</v>
      </c>
      <c r="AD76" s="760">
        <f>'Arable Inputs'!$F$18+0.5*'Arable Inputs'!$F$18</f>
        <v>3.9000000000000004</v>
      </c>
      <c r="AE76" s="760">
        <f>'Arable Inputs'!$F$25</f>
        <v>196.99</v>
      </c>
      <c r="AF76" s="760">
        <f>'Arable Inputs'!$F$19+0.5*'Arable Inputs'!$F$19</f>
        <v>3.9000000000000004</v>
      </c>
      <c r="AG76" s="760">
        <f>'Arable Inputs'!$F$26</f>
        <v>42.374999999999993</v>
      </c>
      <c r="AH76" s="762">
        <f>AD76*AE76+AF76*AG76</f>
        <v>933.52350000000001</v>
      </c>
      <c r="AI76" s="197">
        <f>'Arable NPV'!$E156</f>
        <v>330</v>
      </c>
      <c r="AJ76" s="197">
        <f t="shared" si="162"/>
        <v>1263.5235</v>
      </c>
      <c r="AK76" s="197">
        <f>'Arable NPV'!$G156</f>
        <v>327.77441459954235</v>
      </c>
      <c r="AL76" s="197">
        <f>'Arable NPV'!$H156</f>
        <v>704.91322685714283</v>
      </c>
      <c r="AM76" s="197">
        <f t="shared" si="163"/>
        <v>1032.6876414566852</v>
      </c>
      <c r="AN76" s="197">
        <f t="shared" si="164"/>
        <v>-99.164141456685229</v>
      </c>
      <c r="AO76" s="197">
        <f t="shared" si="165"/>
        <v>230.83585854331477</v>
      </c>
      <c r="AP76" s="196">
        <f t="shared" si="166"/>
        <v>635.68407824012138</v>
      </c>
      <c r="AQ76" s="197">
        <f t="shared" si="167"/>
        <v>224.71394219774871</v>
      </c>
      <c r="AR76" s="197">
        <f t="shared" si="168"/>
        <v>703.21003324432422</v>
      </c>
      <c r="AS76" s="197">
        <f t="shared" si="169"/>
        <v>-67.525955004202856</v>
      </c>
      <c r="AT76" s="199">
        <f t="shared" si="170"/>
        <v>157.18798719354587</v>
      </c>
      <c r="AU76" s="196">
        <f t="shared" si="171"/>
        <v>15398.69406769542</v>
      </c>
      <c r="AV76" s="197">
        <f t="shared" si="171"/>
        <v>3839.5352600750457</v>
      </c>
      <c r="AW76" s="197">
        <f t="shared" si="171"/>
        <v>13654.80727654608</v>
      </c>
      <c r="AX76" s="197">
        <f t="shared" si="171"/>
        <v>1743.8867911493423</v>
      </c>
      <c r="AY76" s="199">
        <f t="shared" si="171"/>
        <v>5583.4220512243883</v>
      </c>
      <c r="BB76" s="204">
        <f t="shared" si="205"/>
        <v>14</v>
      </c>
      <c r="BC76" s="219" t="s">
        <v>5</v>
      </c>
      <c r="BD76" s="760">
        <f>'Arable Inputs'!$F$18-0.5*'Arable Inputs'!$F$18</f>
        <v>1.3</v>
      </c>
      <c r="BE76" s="760">
        <f>'Arable Inputs'!$F$25</f>
        <v>196.99</v>
      </c>
      <c r="BF76" s="760">
        <f>'Arable Inputs'!$F$19-0.5*'Arable Inputs'!$F$19</f>
        <v>1.3</v>
      </c>
      <c r="BG76" s="760">
        <f>'Arable Inputs'!$F$26</f>
        <v>42.374999999999993</v>
      </c>
      <c r="BH76" s="762">
        <f>BD76*BE76+BF76*BG76</f>
        <v>311.17450000000002</v>
      </c>
      <c r="BI76" s="197">
        <f>'Arable NPV'!$E156</f>
        <v>330</v>
      </c>
      <c r="BJ76" s="197">
        <f t="shared" si="172"/>
        <v>641.17450000000008</v>
      </c>
      <c r="BK76" s="197">
        <f>'Arable NPV'!$G156</f>
        <v>327.77441459954235</v>
      </c>
      <c r="BL76" s="197">
        <f>'Arable NPV'!$H156</f>
        <v>704.91322685714283</v>
      </c>
      <c r="BM76" s="197">
        <f t="shared" si="173"/>
        <v>1032.6876414566852</v>
      </c>
      <c r="BN76" s="197">
        <f t="shared" si="174"/>
        <v>-721.51314145668516</v>
      </c>
      <c r="BO76" s="197">
        <f t="shared" si="175"/>
        <v>-391.51314145668516</v>
      </c>
      <c r="BP76" s="196">
        <f t="shared" si="176"/>
        <v>211.89469274670716</v>
      </c>
      <c r="BQ76" s="197">
        <f t="shared" si="177"/>
        <v>224.71394219774871</v>
      </c>
      <c r="BR76" s="197">
        <f t="shared" si="178"/>
        <v>703.21003324432422</v>
      </c>
      <c r="BS76" s="197">
        <f t="shared" si="179"/>
        <v>-491.31534049761706</v>
      </c>
      <c r="BT76" s="199">
        <f t="shared" si="180"/>
        <v>-266.60139829986838</v>
      </c>
      <c r="BU76" s="196">
        <f t="shared" si="181"/>
        <v>5132.8980225651403</v>
      </c>
      <c r="BV76" s="197">
        <f t="shared" si="181"/>
        <v>3839.5352600750457</v>
      </c>
      <c r="BW76" s="197">
        <f t="shared" si="181"/>
        <v>13654.80727654608</v>
      </c>
      <c r="BX76" s="197">
        <f t="shared" si="181"/>
        <v>-8521.909253980939</v>
      </c>
      <c r="BY76" s="199">
        <f t="shared" si="181"/>
        <v>-4682.3739939058933</v>
      </c>
      <c r="BZ76" s="197"/>
      <c r="CB76" s="204">
        <f t="shared" si="206"/>
        <v>14</v>
      </c>
      <c r="CC76" s="219" t="s">
        <v>5</v>
      </c>
      <c r="CD76" s="760">
        <f>'Arable Inputs'!$F$18+'Arable Inputs'!$F$18</f>
        <v>5.2</v>
      </c>
      <c r="CE76" s="760">
        <f>'Arable Inputs'!$F$25</f>
        <v>196.99</v>
      </c>
      <c r="CF76" s="760">
        <f>'Arable Inputs'!$F$19+'Arable Inputs'!$F$19</f>
        <v>5.2</v>
      </c>
      <c r="CG76" s="760">
        <f>'Arable Inputs'!$F$26</f>
        <v>42.374999999999993</v>
      </c>
      <c r="CH76" s="762">
        <f>CD76*CE76+CF76*CG76</f>
        <v>1244.6980000000001</v>
      </c>
      <c r="CI76" s="197">
        <f>'Arable NPV'!$E156</f>
        <v>330</v>
      </c>
      <c r="CJ76" s="197">
        <f t="shared" si="182"/>
        <v>1574.6980000000001</v>
      </c>
      <c r="CK76" s="197">
        <f>'Arable NPV'!$G156</f>
        <v>327.77441459954235</v>
      </c>
      <c r="CL76" s="197">
        <f>'Arable NPV'!$H156</f>
        <v>704.91322685714283</v>
      </c>
      <c r="CM76" s="197">
        <f t="shared" si="183"/>
        <v>1032.6876414566852</v>
      </c>
      <c r="CN76" s="197">
        <f t="shared" si="184"/>
        <v>212.01035854331485</v>
      </c>
      <c r="CO76" s="197">
        <f t="shared" si="185"/>
        <v>542.01035854331485</v>
      </c>
      <c r="CP76" s="196">
        <f t="shared" si="186"/>
        <v>847.57877098682866</v>
      </c>
      <c r="CQ76" s="197">
        <f t="shared" si="187"/>
        <v>224.71394219774871</v>
      </c>
      <c r="CR76" s="197">
        <f t="shared" si="188"/>
        <v>703.21003324432422</v>
      </c>
      <c r="CS76" s="197">
        <f t="shared" si="189"/>
        <v>144.36873774250435</v>
      </c>
      <c r="CT76" s="199">
        <f t="shared" si="190"/>
        <v>369.08267994025306</v>
      </c>
      <c r="CU76" s="196">
        <f t="shared" si="191"/>
        <v>20531.592090260561</v>
      </c>
      <c r="CV76" s="197">
        <f t="shared" si="191"/>
        <v>3839.5352600750457</v>
      </c>
      <c r="CW76" s="197">
        <f t="shared" si="191"/>
        <v>13654.80727654608</v>
      </c>
      <c r="CX76" s="197">
        <f t="shared" si="191"/>
        <v>6876.7848137144811</v>
      </c>
      <c r="CY76" s="199">
        <f t="shared" si="192"/>
        <v>10716.320073789526</v>
      </c>
      <c r="DB76" s="204">
        <f t="shared" si="207"/>
        <v>14</v>
      </c>
      <c r="DC76" s="219" t="s">
        <v>5</v>
      </c>
      <c r="DD76" s="760">
        <f>'Arable Inputs'!$F$18-'Arable Inputs'!$F$18</f>
        <v>0</v>
      </c>
      <c r="DE76" s="760">
        <f>'Arable Inputs'!$F$25</f>
        <v>196.99</v>
      </c>
      <c r="DF76" s="760">
        <f>'Arable Inputs'!$F$19-'Arable Inputs'!$F$19</f>
        <v>0</v>
      </c>
      <c r="DG76" s="760">
        <f>'Arable Inputs'!$F$26</f>
        <v>42.374999999999993</v>
      </c>
      <c r="DH76" s="762">
        <f>DD76*DE76+DF76*DG76</f>
        <v>0</v>
      </c>
      <c r="DI76" s="197">
        <f>'Arable NPV'!$E156</f>
        <v>330</v>
      </c>
      <c r="DJ76" s="197">
        <f t="shared" si="193"/>
        <v>330</v>
      </c>
      <c r="DK76" s="197">
        <f>'Arable NPV'!$G156</f>
        <v>327.77441459954235</v>
      </c>
      <c r="DL76" s="197">
        <f>'Arable NPV'!$H156</f>
        <v>704.91322685714283</v>
      </c>
      <c r="DM76" s="197">
        <f t="shared" si="194"/>
        <v>1032.6876414566852</v>
      </c>
      <c r="DN76" s="197">
        <f t="shared" si="195"/>
        <v>-1032.6876414566852</v>
      </c>
      <c r="DO76" s="197">
        <f t="shared" si="196"/>
        <v>-702.68764145668524</v>
      </c>
      <c r="DP76" s="196">
        <f t="shared" si="197"/>
        <v>0</v>
      </c>
      <c r="DQ76" s="197">
        <f t="shared" si="198"/>
        <v>224.71394219774871</v>
      </c>
      <c r="DR76" s="197">
        <f t="shared" si="199"/>
        <v>703.21003324432422</v>
      </c>
      <c r="DS76" s="197">
        <f t="shared" si="200"/>
        <v>-703.21003324432422</v>
      </c>
      <c r="DT76" s="199">
        <f t="shared" si="201"/>
        <v>-478.49609104657554</v>
      </c>
      <c r="DU76" s="196">
        <f t="shared" si="202"/>
        <v>0</v>
      </c>
      <c r="DV76" s="197">
        <f t="shared" si="202"/>
        <v>3839.5352600750457</v>
      </c>
      <c r="DW76" s="197">
        <f t="shared" si="202"/>
        <v>13654.80727654608</v>
      </c>
      <c r="DX76" s="197">
        <f t="shared" si="202"/>
        <v>-13654.80727654608</v>
      </c>
      <c r="DY76" s="199">
        <f t="shared" si="202"/>
        <v>-9815.2720164710336</v>
      </c>
    </row>
    <row r="77" spans="2:129" x14ac:dyDescent="0.3">
      <c r="B77" s="204">
        <f t="shared" si="203"/>
        <v>15</v>
      </c>
      <c r="C77" s="219" t="s">
        <v>559</v>
      </c>
      <c r="D77" s="760">
        <f>'Arable Inputs'!$E$18</f>
        <v>3.1</v>
      </c>
      <c r="E77" s="760">
        <f>'Arable Inputs'!$E$25</f>
        <v>310.75</v>
      </c>
      <c r="H77" s="762">
        <f>D77*E77</f>
        <v>963.32500000000005</v>
      </c>
      <c r="I77" s="197">
        <f>'Arable NPV'!$E157</f>
        <v>330</v>
      </c>
      <c r="J77" s="197">
        <f t="shared" si="152"/>
        <v>1293.325</v>
      </c>
      <c r="K77" s="197">
        <f>'Arable NPV'!$G157</f>
        <v>300.32802631578949</v>
      </c>
      <c r="L77" s="197">
        <f>'Arable NPV'!$H157</f>
        <v>547.62448399999994</v>
      </c>
      <c r="M77" s="197">
        <f t="shared" si="153"/>
        <v>847.95251031578937</v>
      </c>
      <c r="N77" s="197">
        <f t="shared" si="154"/>
        <v>115.37248968421068</v>
      </c>
      <c r="O77" s="197">
        <f t="shared" si="155"/>
        <v>445.37248968421068</v>
      </c>
      <c r="P77" s="196">
        <f t="shared" si="156"/>
        <v>636.87131029022146</v>
      </c>
      <c r="Q77" s="197">
        <f t="shared" si="157"/>
        <v>218.16887592014436</v>
      </c>
      <c r="R77" s="197">
        <f t="shared" si="158"/>
        <v>560.59650305836476</v>
      </c>
      <c r="S77" s="197">
        <f t="shared" si="159"/>
        <v>76.274807231856641</v>
      </c>
      <c r="T77" s="199">
        <f t="shared" si="160"/>
        <v>294.44368315200097</v>
      </c>
      <c r="U77" s="196">
        <f t="shared" si="161"/>
        <v>10902.667355420503</v>
      </c>
      <c r="V77" s="197">
        <f t="shared" si="161"/>
        <v>4057.70413599519</v>
      </c>
      <c r="W77" s="197">
        <f t="shared" si="161"/>
        <v>14215.403779604445</v>
      </c>
      <c r="X77" s="197">
        <f t="shared" si="161"/>
        <v>-3312.7364241839423</v>
      </c>
      <c r="Y77" s="199">
        <f t="shared" si="161"/>
        <v>744.96771181124745</v>
      </c>
      <c r="AB77" s="204">
        <f t="shared" si="204"/>
        <v>15</v>
      </c>
      <c r="AC77" s="219" t="s">
        <v>559</v>
      </c>
      <c r="AD77" s="760">
        <f>'Arable Inputs'!$E$18+0.5*'Arable Inputs'!$E$18</f>
        <v>4.6500000000000004</v>
      </c>
      <c r="AE77" s="760">
        <f>'Arable Inputs'!$E$25</f>
        <v>310.75</v>
      </c>
      <c r="AH77" s="762">
        <f>AD77*AE77</f>
        <v>1444.9875000000002</v>
      </c>
      <c r="AI77" s="197">
        <f>'Arable NPV'!$E157</f>
        <v>330</v>
      </c>
      <c r="AJ77" s="197">
        <f t="shared" si="162"/>
        <v>1774.9875000000002</v>
      </c>
      <c r="AK77" s="197">
        <f>'Arable NPV'!$G157</f>
        <v>300.32802631578949</v>
      </c>
      <c r="AL77" s="197">
        <f>'Arable NPV'!$H157</f>
        <v>547.62448399999994</v>
      </c>
      <c r="AM77" s="197">
        <f t="shared" si="163"/>
        <v>847.95251031578937</v>
      </c>
      <c r="AN77" s="197">
        <f t="shared" si="164"/>
        <v>597.03498968421081</v>
      </c>
      <c r="AO77" s="197">
        <f t="shared" si="165"/>
        <v>927.03498968421081</v>
      </c>
      <c r="AP77" s="196">
        <f t="shared" si="166"/>
        <v>955.30696543533224</v>
      </c>
      <c r="AQ77" s="197">
        <f t="shared" si="167"/>
        <v>218.16887592014436</v>
      </c>
      <c r="AR77" s="197">
        <f t="shared" si="168"/>
        <v>560.59650305836476</v>
      </c>
      <c r="AS77" s="197">
        <f t="shared" si="169"/>
        <v>394.71046237696743</v>
      </c>
      <c r="AT77" s="199">
        <f t="shared" si="170"/>
        <v>612.87933829711176</v>
      </c>
      <c r="AU77" s="196">
        <f t="shared" si="171"/>
        <v>16354.001033130753</v>
      </c>
      <c r="AV77" s="197">
        <f t="shared" si="171"/>
        <v>4057.70413599519</v>
      </c>
      <c r="AW77" s="197">
        <f t="shared" si="171"/>
        <v>14215.403779604445</v>
      </c>
      <c r="AX77" s="197">
        <f t="shared" si="171"/>
        <v>2138.5972535263099</v>
      </c>
      <c r="AY77" s="199">
        <f t="shared" si="171"/>
        <v>6196.3013895214999</v>
      </c>
      <c r="BB77" s="204">
        <f t="shared" si="205"/>
        <v>15</v>
      </c>
      <c r="BC77" s="219" t="s">
        <v>559</v>
      </c>
      <c r="BD77" s="760">
        <f>'Arable Inputs'!$E$18-0.5*'Arable Inputs'!$E$18</f>
        <v>1.55</v>
      </c>
      <c r="BE77" s="760">
        <f>'Arable Inputs'!$E$25</f>
        <v>310.75</v>
      </c>
      <c r="BH77" s="762">
        <f>BD77*BE77</f>
        <v>481.66250000000002</v>
      </c>
      <c r="BI77" s="197">
        <f>'Arable NPV'!$E157</f>
        <v>330</v>
      </c>
      <c r="BJ77" s="197">
        <f t="shared" si="172"/>
        <v>811.66250000000002</v>
      </c>
      <c r="BK77" s="197">
        <f>'Arable NPV'!$G157</f>
        <v>300.32802631578949</v>
      </c>
      <c r="BL77" s="197">
        <f>'Arable NPV'!$H157</f>
        <v>547.62448399999994</v>
      </c>
      <c r="BM77" s="197">
        <f t="shared" si="173"/>
        <v>847.95251031578937</v>
      </c>
      <c r="BN77" s="197">
        <f t="shared" si="174"/>
        <v>-366.29001031578935</v>
      </c>
      <c r="BO77" s="197">
        <f t="shared" si="175"/>
        <v>-36.290010315789345</v>
      </c>
      <c r="BP77" s="196">
        <f t="shared" si="176"/>
        <v>318.43565514511073</v>
      </c>
      <c r="BQ77" s="197">
        <f t="shared" si="177"/>
        <v>218.16887592014436</v>
      </c>
      <c r="BR77" s="197">
        <f t="shared" si="178"/>
        <v>560.59650305836476</v>
      </c>
      <c r="BS77" s="197">
        <f t="shared" si="179"/>
        <v>-242.16084791325406</v>
      </c>
      <c r="BT77" s="199">
        <f t="shared" si="180"/>
        <v>-23.991971993109711</v>
      </c>
      <c r="BU77" s="196">
        <f t="shared" si="181"/>
        <v>5451.3336777102513</v>
      </c>
      <c r="BV77" s="197">
        <f t="shared" si="181"/>
        <v>4057.70413599519</v>
      </c>
      <c r="BW77" s="197">
        <f t="shared" si="181"/>
        <v>14215.403779604445</v>
      </c>
      <c r="BX77" s="197">
        <f t="shared" si="181"/>
        <v>-8764.0701018941927</v>
      </c>
      <c r="BY77" s="199">
        <f t="shared" si="181"/>
        <v>-4706.3659658990027</v>
      </c>
      <c r="BZ77" s="197"/>
      <c r="CB77" s="204">
        <f t="shared" si="206"/>
        <v>15</v>
      </c>
      <c r="CC77" s="219" t="s">
        <v>559</v>
      </c>
      <c r="CD77" s="760">
        <f>'Arable Inputs'!$E$18+'Arable Inputs'!$E$18</f>
        <v>6.2</v>
      </c>
      <c r="CE77" s="760">
        <f>'Arable Inputs'!$E$25</f>
        <v>310.75</v>
      </c>
      <c r="CH77" s="762">
        <f>CD77*CE77</f>
        <v>1926.65</v>
      </c>
      <c r="CI77" s="197">
        <f>'Arable NPV'!$E157</f>
        <v>330</v>
      </c>
      <c r="CJ77" s="197">
        <f t="shared" si="182"/>
        <v>2256.65</v>
      </c>
      <c r="CK77" s="197">
        <f>'Arable NPV'!$G157</f>
        <v>300.32802631578949</v>
      </c>
      <c r="CL77" s="197">
        <f>'Arable NPV'!$H157</f>
        <v>547.62448399999994</v>
      </c>
      <c r="CM77" s="197">
        <f t="shared" si="183"/>
        <v>847.95251031578937</v>
      </c>
      <c r="CN77" s="197">
        <f t="shared" si="184"/>
        <v>1078.6974896842107</v>
      </c>
      <c r="CO77" s="197">
        <f t="shared" si="185"/>
        <v>1408.6974896842107</v>
      </c>
      <c r="CP77" s="196">
        <f t="shared" si="186"/>
        <v>1273.7426205804429</v>
      </c>
      <c r="CQ77" s="197">
        <f t="shared" si="187"/>
        <v>218.16887592014436</v>
      </c>
      <c r="CR77" s="197">
        <f t="shared" si="188"/>
        <v>560.59650305836476</v>
      </c>
      <c r="CS77" s="197">
        <f t="shared" si="189"/>
        <v>713.14611752207804</v>
      </c>
      <c r="CT77" s="199">
        <f t="shared" si="190"/>
        <v>931.31499344222243</v>
      </c>
      <c r="CU77" s="196">
        <f t="shared" si="191"/>
        <v>21805.334710841005</v>
      </c>
      <c r="CV77" s="197">
        <f t="shared" si="191"/>
        <v>4057.70413599519</v>
      </c>
      <c r="CW77" s="197">
        <f t="shared" si="191"/>
        <v>14215.403779604445</v>
      </c>
      <c r="CX77" s="197">
        <f t="shared" si="191"/>
        <v>7589.9309312365594</v>
      </c>
      <c r="CY77" s="199">
        <f t="shared" si="192"/>
        <v>11647.635067231748</v>
      </c>
      <c r="DB77" s="204">
        <f t="shared" si="207"/>
        <v>15</v>
      </c>
      <c r="DC77" s="219" t="s">
        <v>559</v>
      </c>
      <c r="DD77" s="760">
        <f>'Arable Inputs'!$E$18-'Arable Inputs'!$E$18</f>
        <v>0</v>
      </c>
      <c r="DE77" s="760">
        <f>'Arable Inputs'!$E$25</f>
        <v>310.75</v>
      </c>
      <c r="DH77" s="762">
        <f>DD77*DE77</f>
        <v>0</v>
      </c>
      <c r="DI77" s="197">
        <f>'Arable NPV'!$E157</f>
        <v>330</v>
      </c>
      <c r="DJ77" s="197">
        <f t="shared" si="193"/>
        <v>330</v>
      </c>
      <c r="DK77" s="197">
        <f>'Arable NPV'!$G157</f>
        <v>300.32802631578949</v>
      </c>
      <c r="DL77" s="197">
        <f>'Arable NPV'!$H157</f>
        <v>547.62448399999994</v>
      </c>
      <c r="DM77" s="197">
        <f t="shared" si="194"/>
        <v>847.95251031578937</v>
      </c>
      <c r="DN77" s="197">
        <f t="shared" si="195"/>
        <v>-847.95251031578937</v>
      </c>
      <c r="DO77" s="197">
        <f t="shared" si="196"/>
        <v>-517.95251031578937</v>
      </c>
      <c r="DP77" s="196">
        <f t="shared" si="197"/>
        <v>0</v>
      </c>
      <c r="DQ77" s="197">
        <f t="shared" si="198"/>
        <v>218.16887592014436</v>
      </c>
      <c r="DR77" s="197">
        <f t="shared" si="199"/>
        <v>560.59650305836476</v>
      </c>
      <c r="DS77" s="197">
        <f t="shared" si="200"/>
        <v>-560.59650305836476</v>
      </c>
      <c r="DT77" s="199">
        <f t="shared" si="201"/>
        <v>-342.42762713822043</v>
      </c>
      <c r="DU77" s="196">
        <f t="shared" si="202"/>
        <v>0</v>
      </c>
      <c r="DV77" s="197">
        <f t="shared" si="202"/>
        <v>4057.70413599519</v>
      </c>
      <c r="DW77" s="197">
        <f t="shared" si="202"/>
        <v>14215.403779604445</v>
      </c>
      <c r="DX77" s="197">
        <f t="shared" si="202"/>
        <v>-14215.403779604445</v>
      </c>
      <c r="DY77" s="199">
        <f t="shared" si="202"/>
        <v>-10157.699643609254</v>
      </c>
    </row>
    <row r="78" spans="2:129" x14ac:dyDescent="0.3">
      <c r="B78" s="206">
        <f t="shared" si="203"/>
        <v>16</v>
      </c>
      <c r="C78" s="220" t="s">
        <v>4</v>
      </c>
      <c r="D78" s="761">
        <f>'Arable Inputs'!$D$18</f>
        <v>5.5</v>
      </c>
      <c r="E78" s="761">
        <f>'Arable Inputs'!$D$25</f>
        <v>210</v>
      </c>
      <c r="F78" s="761">
        <f>'Arable Inputs'!$D$19</f>
        <v>3.9</v>
      </c>
      <c r="G78" s="761">
        <f>'Arable Inputs'!$D$26</f>
        <v>73.449999999999989</v>
      </c>
      <c r="H78" s="207">
        <f>D78*E78+F78*G78</f>
        <v>1441.4549999999999</v>
      </c>
      <c r="I78" s="207">
        <f>'Arable NPV'!$E158</f>
        <v>330</v>
      </c>
      <c r="J78" s="207">
        <f t="shared" si="152"/>
        <v>1771.4549999999999</v>
      </c>
      <c r="K78" s="207">
        <f>'Arable NPV'!$G158</f>
        <v>622.34710631578946</v>
      </c>
      <c r="L78" s="207">
        <f>'Arable NPV'!$H158</f>
        <v>943.00233600000001</v>
      </c>
      <c r="M78" s="207">
        <f t="shared" si="153"/>
        <v>1565.3494423157895</v>
      </c>
      <c r="N78" s="207">
        <f t="shared" si="154"/>
        <v>-123.89444231578955</v>
      </c>
      <c r="O78" s="207">
        <f t="shared" si="155"/>
        <v>206.10555768421045</v>
      </c>
      <c r="P78" s="208">
        <f t="shared" si="156"/>
        <v>925.21511338473567</v>
      </c>
      <c r="Q78" s="207">
        <f t="shared" si="157"/>
        <v>211.81444264091684</v>
      </c>
      <c r="R78" s="207">
        <f t="shared" si="158"/>
        <v>1004.7382414011786</v>
      </c>
      <c r="S78" s="207">
        <f t="shared" si="159"/>
        <v>-79.523128016442982</v>
      </c>
      <c r="T78" s="209">
        <f>O78/(1+$B$4)^(B78-1)</f>
        <v>132.29131462447384</v>
      </c>
      <c r="U78" s="208">
        <f t="shared" si="161"/>
        <v>11827.882468805239</v>
      </c>
      <c r="V78" s="207">
        <f t="shared" si="161"/>
        <v>4269.5185786361071</v>
      </c>
      <c r="W78" s="207">
        <f t="shared" si="161"/>
        <v>15220.142021005624</v>
      </c>
      <c r="X78" s="207">
        <f t="shared" si="161"/>
        <v>-3392.2595522003853</v>
      </c>
      <c r="Y78" s="209">
        <f t="shared" si="161"/>
        <v>877.25902643572135</v>
      </c>
      <c r="AB78" s="206">
        <f t="shared" si="204"/>
        <v>16</v>
      </c>
      <c r="AC78" s="220" t="s">
        <v>4</v>
      </c>
      <c r="AD78" s="761">
        <f>'Arable Inputs'!$D$18+0.5*'Arable Inputs'!$D$18</f>
        <v>8.25</v>
      </c>
      <c r="AE78" s="761">
        <f>'Arable Inputs'!$D$25</f>
        <v>210</v>
      </c>
      <c r="AF78" s="761">
        <f>'Arable Inputs'!$D$19+0.5*'Arable Inputs'!$D$19</f>
        <v>5.85</v>
      </c>
      <c r="AG78" s="761">
        <f>'Arable Inputs'!$D$26</f>
        <v>73.449999999999989</v>
      </c>
      <c r="AH78" s="207">
        <f>AD78*AE78+AF78*AG78</f>
        <v>2162.1824999999999</v>
      </c>
      <c r="AI78" s="207">
        <f>'Arable NPV'!$E158</f>
        <v>330</v>
      </c>
      <c r="AJ78" s="207">
        <f t="shared" si="162"/>
        <v>2492.1824999999999</v>
      </c>
      <c r="AK78" s="207">
        <f>'Arable NPV'!$G158</f>
        <v>622.34710631578946</v>
      </c>
      <c r="AL78" s="207">
        <f>'Arable NPV'!$H158</f>
        <v>943.00233600000001</v>
      </c>
      <c r="AM78" s="207">
        <f t="shared" si="163"/>
        <v>1565.3494423157895</v>
      </c>
      <c r="AN78" s="207">
        <f t="shared" si="164"/>
        <v>596.83305768421042</v>
      </c>
      <c r="AO78" s="207">
        <f t="shared" si="165"/>
        <v>926.83305768421042</v>
      </c>
      <c r="AP78" s="208">
        <f t="shared" si="166"/>
        <v>1387.8226700771036</v>
      </c>
      <c r="AQ78" s="207">
        <f t="shared" si="167"/>
        <v>211.81444264091684</v>
      </c>
      <c r="AR78" s="207">
        <f t="shared" si="168"/>
        <v>1004.7382414011786</v>
      </c>
      <c r="AS78" s="207">
        <f t="shared" si="169"/>
        <v>383.08442867592481</v>
      </c>
      <c r="AT78" s="209">
        <f>AO78/(1+$B$4)^(AB78-1)</f>
        <v>594.89887131684168</v>
      </c>
      <c r="AU78" s="208">
        <f t="shared" si="171"/>
        <v>17741.823703207858</v>
      </c>
      <c r="AV78" s="207">
        <f t="shared" si="171"/>
        <v>4269.5185786361071</v>
      </c>
      <c r="AW78" s="207">
        <f t="shared" si="171"/>
        <v>15220.142021005624</v>
      </c>
      <c r="AX78" s="207">
        <f t="shared" si="171"/>
        <v>2521.6816822022347</v>
      </c>
      <c r="AY78" s="209">
        <f t="shared" si="171"/>
        <v>6791.2002608383418</v>
      </c>
      <c r="BB78" s="206">
        <f t="shared" si="205"/>
        <v>16</v>
      </c>
      <c r="BC78" s="220" t="s">
        <v>4</v>
      </c>
      <c r="BD78" s="761">
        <f>'Arable Inputs'!$D$18-0.5*'Arable Inputs'!$D$18</f>
        <v>2.75</v>
      </c>
      <c r="BE78" s="761">
        <f>'Arable Inputs'!$D$25</f>
        <v>210</v>
      </c>
      <c r="BF78" s="761">
        <f>'Arable Inputs'!$D$19-0.5*'Arable Inputs'!$D$19</f>
        <v>1.95</v>
      </c>
      <c r="BG78" s="761">
        <f>'Arable Inputs'!$D$26</f>
        <v>73.449999999999989</v>
      </c>
      <c r="BH78" s="207">
        <f>BD78*BE78+BF78*BG78</f>
        <v>720.72749999999996</v>
      </c>
      <c r="BI78" s="207">
        <f>'Arable NPV'!$E158</f>
        <v>330</v>
      </c>
      <c r="BJ78" s="207">
        <f t="shared" si="172"/>
        <v>1050.7275</v>
      </c>
      <c r="BK78" s="207">
        <f>'Arable NPV'!$G158</f>
        <v>622.34710631578946</v>
      </c>
      <c r="BL78" s="207">
        <f>'Arable NPV'!$H158</f>
        <v>943.00233600000001</v>
      </c>
      <c r="BM78" s="207">
        <f t="shared" si="173"/>
        <v>1565.3494423157895</v>
      </c>
      <c r="BN78" s="207">
        <f t="shared" si="174"/>
        <v>-844.62194231578951</v>
      </c>
      <c r="BO78" s="207">
        <f t="shared" si="175"/>
        <v>-514.62194231578951</v>
      </c>
      <c r="BP78" s="208">
        <f t="shared" si="176"/>
        <v>462.60755669236784</v>
      </c>
      <c r="BQ78" s="207">
        <f t="shared" si="177"/>
        <v>211.81444264091684</v>
      </c>
      <c r="BR78" s="207">
        <f t="shared" si="178"/>
        <v>1004.7382414011786</v>
      </c>
      <c r="BS78" s="207">
        <f t="shared" si="179"/>
        <v>-542.1306847088108</v>
      </c>
      <c r="BT78" s="209">
        <f>BO78/(1+$B$4)^(BB78-1)</f>
        <v>-330.316242067894</v>
      </c>
      <c r="BU78" s="208">
        <f t="shared" si="181"/>
        <v>5913.9412344026196</v>
      </c>
      <c r="BV78" s="207">
        <f t="shared" si="181"/>
        <v>4269.5185786361071</v>
      </c>
      <c r="BW78" s="207">
        <f t="shared" si="181"/>
        <v>15220.142021005624</v>
      </c>
      <c r="BX78" s="207">
        <f t="shared" si="181"/>
        <v>-9306.2007866030035</v>
      </c>
      <c r="BY78" s="209">
        <f t="shared" si="181"/>
        <v>-5036.6822079668964</v>
      </c>
      <c r="BZ78" s="197"/>
      <c r="CB78" s="206">
        <f t="shared" si="206"/>
        <v>16</v>
      </c>
      <c r="CC78" s="220" t="s">
        <v>4</v>
      </c>
      <c r="CD78" s="761">
        <f>'Arable Inputs'!$D$18+'Arable Inputs'!$D$18</f>
        <v>11</v>
      </c>
      <c r="CE78" s="761">
        <f>'Arable Inputs'!$D$25</f>
        <v>210</v>
      </c>
      <c r="CF78" s="761">
        <f>'Arable Inputs'!$D$19+'Arable Inputs'!$D$19</f>
        <v>7.8</v>
      </c>
      <c r="CG78" s="761">
        <f>'Arable Inputs'!$D$26</f>
        <v>73.449999999999989</v>
      </c>
      <c r="CH78" s="207">
        <f>CD78*CE78+CF78*CG78</f>
        <v>2882.91</v>
      </c>
      <c r="CI78" s="207">
        <f>'Arable NPV'!$E158</f>
        <v>330</v>
      </c>
      <c r="CJ78" s="207">
        <f t="shared" si="182"/>
        <v>3212.91</v>
      </c>
      <c r="CK78" s="207">
        <f>'Arable NPV'!$G158</f>
        <v>622.34710631578946</v>
      </c>
      <c r="CL78" s="207">
        <f>'Arable NPV'!$H158</f>
        <v>943.00233600000001</v>
      </c>
      <c r="CM78" s="207">
        <f t="shared" si="183"/>
        <v>1565.3494423157895</v>
      </c>
      <c r="CN78" s="207">
        <f t="shared" si="184"/>
        <v>1317.5605576842104</v>
      </c>
      <c r="CO78" s="207">
        <f t="shared" si="185"/>
        <v>1647.5605576842104</v>
      </c>
      <c r="CP78" s="208">
        <f t="shared" si="186"/>
        <v>1850.4302267694713</v>
      </c>
      <c r="CQ78" s="207">
        <f t="shared" si="187"/>
        <v>211.81444264091684</v>
      </c>
      <c r="CR78" s="207">
        <f t="shared" si="188"/>
        <v>1004.7382414011786</v>
      </c>
      <c r="CS78" s="207">
        <f t="shared" si="189"/>
        <v>845.69198536829265</v>
      </c>
      <c r="CT78" s="209">
        <f>CO78/(1+$B$4)^(CB78-1)</f>
        <v>1057.5064280092095</v>
      </c>
      <c r="CU78" s="208">
        <f t="shared" si="191"/>
        <v>23655.764937610478</v>
      </c>
      <c r="CV78" s="207">
        <f t="shared" si="191"/>
        <v>4269.5185786361071</v>
      </c>
      <c r="CW78" s="207">
        <f t="shared" si="191"/>
        <v>15220.142021005624</v>
      </c>
      <c r="CX78" s="207">
        <f t="shared" si="191"/>
        <v>8435.6229166048524</v>
      </c>
      <c r="CY78" s="209">
        <f t="shared" si="192"/>
        <v>12705.141495240958</v>
      </c>
      <c r="DB78" s="206">
        <f t="shared" si="207"/>
        <v>16</v>
      </c>
      <c r="DC78" s="220" t="s">
        <v>4</v>
      </c>
      <c r="DD78" s="761">
        <f>'Arable Inputs'!$D$18-'Arable Inputs'!$D$18</f>
        <v>0</v>
      </c>
      <c r="DE78" s="761">
        <f>'Arable Inputs'!$D$25</f>
        <v>210</v>
      </c>
      <c r="DF78" s="761">
        <f>'Arable Inputs'!$D$19-'Arable Inputs'!$D$19</f>
        <v>0</v>
      </c>
      <c r="DG78" s="761">
        <f>'Arable Inputs'!$D$26</f>
        <v>73.449999999999989</v>
      </c>
      <c r="DH78" s="207">
        <f>DD78*DE78+DF78*DG78</f>
        <v>0</v>
      </c>
      <c r="DI78" s="207">
        <f>'Arable NPV'!$E158</f>
        <v>330</v>
      </c>
      <c r="DJ78" s="207">
        <f t="shared" si="193"/>
        <v>330</v>
      </c>
      <c r="DK78" s="207">
        <f>'Arable NPV'!$G158</f>
        <v>622.34710631578946</v>
      </c>
      <c r="DL78" s="207">
        <f>'Arable NPV'!$H158</f>
        <v>943.00233600000001</v>
      </c>
      <c r="DM78" s="207">
        <f t="shared" si="194"/>
        <v>1565.3494423157895</v>
      </c>
      <c r="DN78" s="207">
        <f t="shared" si="195"/>
        <v>-1565.3494423157895</v>
      </c>
      <c r="DO78" s="207">
        <f t="shared" si="196"/>
        <v>-1235.3494423157895</v>
      </c>
      <c r="DP78" s="208">
        <f t="shared" si="197"/>
        <v>0</v>
      </c>
      <c r="DQ78" s="207">
        <f t="shared" si="198"/>
        <v>211.81444264091684</v>
      </c>
      <c r="DR78" s="207">
        <f t="shared" si="199"/>
        <v>1004.7382414011786</v>
      </c>
      <c r="DS78" s="207">
        <f t="shared" si="200"/>
        <v>-1004.7382414011786</v>
      </c>
      <c r="DT78" s="209">
        <f>DO78/(1+$B$4)^(DB78-1)</f>
        <v>-792.92379876026177</v>
      </c>
      <c r="DU78" s="208">
        <f t="shared" si="202"/>
        <v>0</v>
      </c>
      <c r="DV78" s="207">
        <f t="shared" si="202"/>
        <v>4269.5185786361071</v>
      </c>
      <c r="DW78" s="207">
        <f t="shared" si="202"/>
        <v>15220.142021005624</v>
      </c>
      <c r="DX78" s="207">
        <f t="shared" si="202"/>
        <v>-15220.142021005624</v>
      </c>
      <c r="DY78" s="209">
        <f t="shared" si="202"/>
        <v>-10950.623442369515</v>
      </c>
    </row>
    <row r="84" spans="2:119" x14ac:dyDescent="0.3">
      <c r="B84" s="211" t="s">
        <v>91</v>
      </c>
      <c r="C84" s="763" t="s">
        <v>408</v>
      </c>
      <c r="D84" s="269" t="s">
        <v>395</v>
      </c>
      <c r="E84" s="906">
        <v>1</v>
      </c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Z84" s="211" t="s">
        <v>91</v>
      </c>
      <c r="AA84" s="211" t="s">
        <v>318</v>
      </c>
      <c r="AB84" s="906">
        <v>1.5</v>
      </c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91</v>
      </c>
      <c r="AY84" s="211" t="s">
        <v>319</v>
      </c>
      <c r="AZ84" s="906">
        <v>0.5</v>
      </c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91</v>
      </c>
      <c r="BW84" s="211" t="s">
        <v>320</v>
      </c>
      <c r="BX84" s="906">
        <v>2</v>
      </c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91</v>
      </c>
      <c r="CU84" s="211" t="s">
        <v>321</v>
      </c>
      <c r="CV84" s="906">
        <v>0</v>
      </c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108"/>
      <c r="F85" s="1108"/>
      <c r="G85" s="1108"/>
      <c r="H85" s="148"/>
      <c r="I85" s="931"/>
      <c r="J85" s="1108"/>
      <c r="K85" s="1108"/>
      <c r="L85" s="148"/>
      <c r="M85" s="148"/>
      <c r="N85" s="1109" t="s">
        <v>270</v>
      </c>
      <c r="O85" s="1110"/>
      <c r="P85" s="1110"/>
      <c r="Q85" s="1110"/>
      <c r="R85" s="1111"/>
      <c r="S85" s="1109" t="s">
        <v>271</v>
      </c>
      <c r="T85" s="1110"/>
      <c r="U85" s="1110"/>
      <c r="V85" s="1110"/>
      <c r="W85" s="1111"/>
      <c r="Z85" s="203"/>
      <c r="AA85" s="148"/>
      <c r="AB85" s="148"/>
      <c r="AC85" s="992"/>
      <c r="AD85" s="992"/>
      <c r="AE85" s="992"/>
      <c r="AF85" s="148"/>
      <c r="AG85" s="931"/>
      <c r="AH85" s="992"/>
      <c r="AI85" s="992"/>
      <c r="AJ85" s="148"/>
      <c r="AK85" s="148"/>
      <c r="AL85" s="993" t="s">
        <v>270</v>
      </c>
      <c r="AM85" s="994"/>
      <c r="AN85" s="994"/>
      <c r="AO85" s="994"/>
      <c r="AP85" s="995"/>
      <c r="AQ85" s="993" t="s">
        <v>271</v>
      </c>
      <c r="AR85" s="994"/>
      <c r="AS85" s="994"/>
      <c r="AT85" s="994"/>
      <c r="AU85" s="995"/>
      <c r="AX85" s="203"/>
      <c r="AY85" s="148"/>
      <c r="AZ85" s="148"/>
      <c r="BA85" s="992"/>
      <c r="BB85" s="992"/>
      <c r="BC85" s="992"/>
      <c r="BD85" s="148"/>
      <c r="BE85" s="931"/>
      <c r="BF85" s="992"/>
      <c r="BG85" s="992"/>
      <c r="BH85" s="148"/>
      <c r="BI85" s="148"/>
      <c r="BJ85" s="993" t="s">
        <v>270</v>
      </c>
      <c r="BK85" s="994"/>
      <c r="BL85" s="994"/>
      <c r="BM85" s="994"/>
      <c r="BN85" s="995"/>
      <c r="BO85" s="993" t="s">
        <v>271</v>
      </c>
      <c r="BP85" s="994"/>
      <c r="BQ85" s="994"/>
      <c r="BR85" s="994"/>
      <c r="BS85" s="995"/>
      <c r="BV85" s="203"/>
      <c r="BW85" s="148"/>
      <c r="BX85" s="148"/>
      <c r="BY85" s="992"/>
      <c r="BZ85" s="992"/>
      <c r="CA85" s="992"/>
      <c r="CB85" s="148"/>
      <c r="CC85" s="931"/>
      <c r="CD85" s="992"/>
      <c r="CE85" s="992"/>
      <c r="CF85" s="148"/>
      <c r="CG85" s="148"/>
      <c r="CH85" s="993" t="s">
        <v>270</v>
      </c>
      <c r="CI85" s="994"/>
      <c r="CJ85" s="994"/>
      <c r="CK85" s="994"/>
      <c r="CL85" s="995"/>
      <c r="CM85" s="993" t="s">
        <v>271</v>
      </c>
      <c r="CN85" s="994"/>
      <c r="CO85" s="994"/>
      <c r="CP85" s="994"/>
      <c r="CQ85" s="995"/>
      <c r="CT85" s="203"/>
      <c r="CU85" s="148"/>
      <c r="CV85" s="148"/>
      <c r="CW85" s="992"/>
      <c r="CX85" s="992"/>
      <c r="CY85" s="992"/>
      <c r="CZ85" s="148"/>
      <c r="DA85" s="931"/>
      <c r="DB85" s="992"/>
      <c r="DC85" s="992"/>
      <c r="DD85" s="148"/>
      <c r="DE85" s="148"/>
      <c r="DF85" s="993" t="s">
        <v>270</v>
      </c>
      <c r="DG85" s="994"/>
      <c r="DH85" s="994"/>
      <c r="DI85" s="994"/>
      <c r="DJ85" s="995"/>
      <c r="DK85" s="993" t="s">
        <v>271</v>
      </c>
      <c r="DL85" s="994"/>
      <c r="DM85" s="994"/>
      <c r="DN85" s="994"/>
      <c r="DO85" s="995"/>
    </row>
    <row r="86" spans="2:119" ht="51" x14ac:dyDescent="0.3">
      <c r="B86" s="204" t="s">
        <v>272</v>
      </c>
      <c r="C86" s="205" t="s">
        <v>289</v>
      </c>
      <c r="D86" s="205" t="s">
        <v>290</v>
      </c>
      <c r="E86" s="171" t="s">
        <v>676</v>
      </c>
      <c r="F86" s="171" t="s">
        <v>672</v>
      </c>
      <c r="G86" s="171" t="s">
        <v>677</v>
      </c>
      <c r="H86" s="205" t="s">
        <v>287</v>
      </c>
      <c r="I86" s="935" t="str">
        <f>'Energy NPV'!U11</f>
        <v>Total Recurring Costs</v>
      </c>
      <c r="J86" s="205" t="s">
        <v>291</v>
      </c>
      <c r="K86" s="171" t="s">
        <v>276</v>
      </c>
      <c r="L86" s="171" t="s">
        <v>678</v>
      </c>
      <c r="M86" s="171" t="s">
        <v>679</v>
      </c>
      <c r="N86" s="195" t="s">
        <v>277</v>
      </c>
      <c r="O86" s="171" t="s">
        <v>680</v>
      </c>
      <c r="P86" s="171" t="s">
        <v>278</v>
      </c>
      <c r="Q86" s="171" t="s">
        <v>681</v>
      </c>
      <c r="R86" s="198" t="s">
        <v>279</v>
      </c>
      <c r="S86" s="195" t="s">
        <v>280</v>
      </c>
      <c r="T86" s="171" t="s">
        <v>682</v>
      </c>
      <c r="U86" s="171" t="s">
        <v>281</v>
      </c>
      <c r="V86" s="171" t="s">
        <v>683</v>
      </c>
      <c r="W86" s="198" t="s">
        <v>282</v>
      </c>
      <c r="Z86" s="204" t="s">
        <v>272</v>
      </c>
      <c r="AA86" s="205" t="s">
        <v>289</v>
      </c>
      <c r="AB86" s="205" t="s">
        <v>290</v>
      </c>
      <c r="AC86" s="171" t="s">
        <v>676</v>
      </c>
      <c r="AD86" s="171" t="s">
        <v>672</v>
      </c>
      <c r="AE86" s="171" t="s">
        <v>677</v>
      </c>
      <c r="AF86" s="205" t="s">
        <v>287</v>
      </c>
      <c r="AG86" s="935" t="str">
        <f>'Energy NPV'!U11</f>
        <v>Total Recurring Costs</v>
      </c>
      <c r="AH86" s="205" t="s">
        <v>291</v>
      </c>
      <c r="AI86" s="171" t="s">
        <v>276</v>
      </c>
      <c r="AJ86" s="171" t="s">
        <v>678</v>
      </c>
      <c r="AK86" s="171" t="s">
        <v>679</v>
      </c>
      <c r="AL86" s="195" t="s">
        <v>277</v>
      </c>
      <c r="AM86" s="171" t="s">
        <v>680</v>
      </c>
      <c r="AN86" s="171" t="s">
        <v>278</v>
      </c>
      <c r="AO86" s="171" t="s">
        <v>681</v>
      </c>
      <c r="AP86" s="198" t="s">
        <v>279</v>
      </c>
      <c r="AQ86" s="195" t="s">
        <v>280</v>
      </c>
      <c r="AR86" s="171" t="s">
        <v>682</v>
      </c>
      <c r="AS86" s="171" t="s">
        <v>281</v>
      </c>
      <c r="AT86" s="171" t="s">
        <v>683</v>
      </c>
      <c r="AU86" s="198" t="s">
        <v>282</v>
      </c>
      <c r="AX86" s="204" t="s">
        <v>272</v>
      </c>
      <c r="AY86" s="205" t="s">
        <v>289</v>
      </c>
      <c r="AZ86" s="205" t="s">
        <v>290</v>
      </c>
      <c r="BA86" s="171" t="s">
        <v>676</v>
      </c>
      <c r="BB86" s="171" t="s">
        <v>672</v>
      </c>
      <c r="BC86" s="171" t="s">
        <v>677</v>
      </c>
      <c r="BD86" s="205" t="s">
        <v>287</v>
      </c>
      <c r="BE86" s="935" t="str">
        <f>'Energy NPV'!U11</f>
        <v>Total Recurring Costs</v>
      </c>
      <c r="BF86" s="205" t="s">
        <v>291</v>
      </c>
      <c r="BG86" s="171" t="s">
        <v>276</v>
      </c>
      <c r="BH86" s="171" t="s">
        <v>678</v>
      </c>
      <c r="BI86" s="171" t="s">
        <v>679</v>
      </c>
      <c r="BJ86" s="195" t="s">
        <v>277</v>
      </c>
      <c r="BK86" s="171" t="s">
        <v>680</v>
      </c>
      <c r="BL86" s="171" t="s">
        <v>278</v>
      </c>
      <c r="BM86" s="171" t="s">
        <v>681</v>
      </c>
      <c r="BN86" s="198" t="s">
        <v>279</v>
      </c>
      <c r="BO86" s="195" t="s">
        <v>280</v>
      </c>
      <c r="BP86" s="171" t="s">
        <v>682</v>
      </c>
      <c r="BQ86" s="171" t="s">
        <v>281</v>
      </c>
      <c r="BR86" s="171" t="s">
        <v>683</v>
      </c>
      <c r="BS86" s="198" t="s">
        <v>282</v>
      </c>
      <c r="BV86" s="204" t="s">
        <v>272</v>
      </c>
      <c r="BW86" s="205" t="s">
        <v>289</v>
      </c>
      <c r="BX86" s="205" t="s">
        <v>290</v>
      </c>
      <c r="BY86" s="171" t="s">
        <v>676</v>
      </c>
      <c r="BZ86" s="171" t="s">
        <v>672</v>
      </c>
      <c r="CA86" s="171" t="s">
        <v>677</v>
      </c>
      <c r="CB86" s="205" t="s">
        <v>287</v>
      </c>
      <c r="CC86" s="935" t="str">
        <f>'Energy NPV'!U11</f>
        <v>Total Recurring Costs</v>
      </c>
      <c r="CD86" s="205" t="s">
        <v>291</v>
      </c>
      <c r="CE86" s="171" t="s">
        <v>276</v>
      </c>
      <c r="CF86" s="171" t="s">
        <v>678</v>
      </c>
      <c r="CG86" s="171" t="s">
        <v>679</v>
      </c>
      <c r="CH86" s="195" t="s">
        <v>277</v>
      </c>
      <c r="CI86" s="171" t="s">
        <v>680</v>
      </c>
      <c r="CJ86" s="171" t="s">
        <v>278</v>
      </c>
      <c r="CK86" s="171" t="s">
        <v>681</v>
      </c>
      <c r="CL86" s="198" t="s">
        <v>279</v>
      </c>
      <c r="CM86" s="195" t="s">
        <v>280</v>
      </c>
      <c r="CN86" s="171" t="s">
        <v>682</v>
      </c>
      <c r="CO86" s="171" t="s">
        <v>281</v>
      </c>
      <c r="CP86" s="171" t="s">
        <v>683</v>
      </c>
      <c r="CQ86" s="198" t="s">
        <v>282</v>
      </c>
      <c r="CT86" s="204" t="s">
        <v>272</v>
      </c>
      <c r="CU86" s="205" t="s">
        <v>289</v>
      </c>
      <c r="CV86" s="205" t="s">
        <v>290</v>
      </c>
      <c r="CW86" s="171" t="s">
        <v>676</v>
      </c>
      <c r="CX86" s="171" t="s">
        <v>672</v>
      </c>
      <c r="CY86" s="171" t="s">
        <v>677</v>
      </c>
      <c r="CZ86" s="205" t="s">
        <v>287</v>
      </c>
      <c r="DA86" s="935" t="str">
        <f>'Energy NPV'!U11</f>
        <v>Total Recurring Costs</v>
      </c>
      <c r="DB86" s="205" t="s">
        <v>291</v>
      </c>
      <c r="DC86" s="171" t="s">
        <v>276</v>
      </c>
      <c r="DD86" s="171" t="s">
        <v>678</v>
      </c>
      <c r="DE86" s="171" t="s">
        <v>679</v>
      </c>
      <c r="DF86" s="195" t="s">
        <v>277</v>
      </c>
      <c r="DG86" s="171" t="s">
        <v>680</v>
      </c>
      <c r="DH86" s="171" t="s">
        <v>278</v>
      </c>
      <c r="DI86" s="171" t="s">
        <v>681</v>
      </c>
      <c r="DJ86" s="198" t="s">
        <v>279</v>
      </c>
      <c r="DK86" s="195" t="s">
        <v>280</v>
      </c>
      <c r="DL86" s="171" t="s">
        <v>682</v>
      </c>
      <c r="DM86" s="171" t="s">
        <v>281</v>
      </c>
      <c r="DN86" s="171" t="s">
        <v>683</v>
      </c>
      <c r="DO86" s="198" t="s">
        <v>282</v>
      </c>
    </row>
    <row r="87" spans="2:119" x14ac:dyDescent="0.3">
      <c r="B87" s="173"/>
      <c r="C87" s="226" t="s">
        <v>332</v>
      </c>
      <c r="D87" s="226" t="s">
        <v>569</v>
      </c>
      <c r="E87" s="201" t="s">
        <v>567</v>
      </c>
      <c r="F87" s="201" t="s">
        <v>567</v>
      </c>
      <c r="G87" s="201" t="s">
        <v>567</v>
      </c>
      <c r="H87" s="201" t="s">
        <v>567</v>
      </c>
      <c r="I87" s="969" t="str">
        <f>'Energy NPV'!U12</f>
        <v>(€ ha-1)</v>
      </c>
      <c r="J87" s="201" t="s">
        <v>567</v>
      </c>
      <c r="K87" s="201" t="s">
        <v>567</v>
      </c>
      <c r="L87" s="201" t="s">
        <v>567</v>
      </c>
      <c r="M87" s="202" t="s">
        <v>567</v>
      </c>
      <c r="N87" s="201" t="s">
        <v>567</v>
      </c>
      <c r="O87" s="201" t="s">
        <v>567</v>
      </c>
      <c r="P87" s="201" t="s">
        <v>567</v>
      </c>
      <c r="Q87" s="201" t="s">
        <v>567</v>
      </c>
      <c r="R87" s="202" t="s">
        <v>567</v>
      </c>
      <c r="S87" s="201" t="s">
        <v>567</v>
      </c>
      <c r="T87" s="201" t="s">
        <v>567</v>
      </c>
      <c r="U87" s="201" t="s">
        <v>567</v>
      </c>
      <c r="V87" s="201" t="s">
        <v>567</v>
      </c>
      <c r="W87" s="202" t="s">
        <v>567</v>
      </c>
      <c r="Z87" s="173"/>
      <c r="AA87" s="226" t="s">
        <v>332</v>
      </c>
      <c r="AB87" s="226" t="s">
        <v>569</v>
      </c>
      <c r="AC87" s="201" t="s">
        <v>567</v>
      </c>
      <c r="AD87" s="201" t="s">
        <v>567</v>
      </c>
      <c r="AE87" s="201" t="s">
        <v>567</v>
      </c>
      <c r="AF87" s="201" t="s">
        <v>567</v>
      </c>
      <c r="AG87" s="969" t="str">
        <f>'Energy NPV'!U12</f>
        <v>(€ ha-1)</v>
      </c>
      <c r="AH87" s="201" t="s">
        <v>567</v>
      </c>
      <c r="AI87" s="201" t="s">
        <v>567</v>
      </c>
      <c r="AJ87" s="201" t="s">
        <v>567</v>
      </c>
      <c r="AK87" s="202" t="s">
        <v>567</v>
      </c>
      <c r="AL87" s="201" t="s">
        <v>567</v>
      </c>
      <c r="AM87" s="201" t="s">
        <v>567</v>
      </c>
      <c r="AN87" s="201" t="s">
        <v>567</v>
      </c>
      <c r="AO87" s="201" t="s">
        <v>567</v>
      </c>
      <c r="AP87" s="202" t="s">
        <v>567</v>
      </c>
      <c r="AQ87" s="201" t="s">
        <v>567</v>
      </c>
      <c r="AR87" s="201" t="s">
        <v>567</v>
      </c>
      <c r="AS87" s="201" t="s">
        <v>567</v>
      </c>
      <c r="AT87" s="201" t="s">
        <v>567</v>
      </c>
      <c r="AU87" s="202" t="s">
        <v>567</v>
      </c>
      <c r="AX87" s="173"/>
      <c r="AY87" s="226" t="s">
        <v>332</v>
      </c>
      <c r="AZ87" s="226" t="s">
        <v>569</v>
      </c>
      <c r="BA87" s="201" t="s">
        <v>567</v>
      </c>
      <c r="BB87" s="201" t="s">
        <v>567</v>
      </c>
      <c r="BC87" s="201" t="s">
        <v>567</v>
      </c>
      <c r="BD87" s="201" t="s">
        <v>567</v>
      </c>
      <c r="BE87" s="969" t="str">
        <f>'Energy NPV'!U12</f>
        <v>(€ ha-1)</v>
      </c>
      <c r="BF87" s="201" t="s">
        <v>567</v>
      </c>
      <c r="BG87" s="201" t="s">
        <v>567</v>
      </c>
      <c r="BH87" s="201" t="s">
        <v>567</v>
      </c>
      <c r="BI87" s="202" t="s">
        <v>567</v>
      </c>
      <c r="BJ87" s="201" t="s">
        <v>567</v>
      </c>
      <c r="BK87" s="201" t="s">
        <v>567</v>
      </c>
      <c r="BL87" s="201" t="s">
        <v>567</v>
      </c>
      <c r="BM87" s="201" t="s">
        <v>567</v>
      </c>
      <c r="BN87" s="202" t="s">
        <v>567</v>
      </c>
      <c r="BO87" s="201" t="s">
        <v>567</v>
      </c>
      <c r="BP87" s="201" t="s">
        <v>567</v>
      </c>
      <c r="BQ87" s="201" t="s">
        <v>567</v>
      </c>
      <c r="BR87" s="201" t="s">
        <v>567</v>
      </c>
      <c r="BS87" s="202" t="s">
        <v>567</v>
      </c>
      <c r="BV87" s="173"/>
      <c r="BW87" s="226" t="s">
        <v>332</v>
      </c>
      <c r="BX87" s="226" t="s">
        <v>569</v>
      </c>
      <c r="BY87" s="201" t="s">
        <v>567</v>
      </c>
      <c r="BZ87" s="201" t="s">
        <v>567</v>
      </c>
      <c r="CA87" s="201" t="s">
        <v>567</v>
      </c>
      <c r="CB87" s="201" t="s">
        <v>567</v>
      </c>
      <c r="CC87" s="969" t="str">
        <f>'Energy NPV'!U12</f>
        <v>(€ ha-1)</v>
      </c>
      <c r="CD87" s="201" t="s">
        <v>567</v>
      </c>
      <c r="CE87" s="201" t="s">
        <v>567</v>
      </c>
      <c r="CF87" s="201" t="s">
        <v>567</v>
      </c>
      <c r="CG87" s="202" t="s">
        <v>567</v>
      </c>
      <c r="CH87" s="201" t="s">
        <v>567</v>
      </c>
      <c r="CI87" s="201" t="s">
        <v>567</v>
      </c>
      <c r="CJ87" s="201" t="s">
        <v>567</v>
      </c>
      <c r="CK87" s="201" t="s">
        <v>567</v>
      </c>
      <c r="CL87" s="202" t="s">
        <v>567</v>
      </c>
      <c r="CM87" s="201" t="s">
        <v>567</v>
      </c>
      <c r="CN87" s="201" t="s">
        <v>567</v>
      </c>
      <c r="CO87" s="201" t="s">
        <v>567</v>
      </c>
      <c r="CP87" s="201" t="s">
        <v>567</v>
      </c>
      <c r="CQ87" s="202" t="s">
        <v>567</v>
      </c>
      <c r="CT87" s="173"/>
      <c r="CU87" s="226" t="s">
        <v>332</v>
      </c>
      <c r="CV87" s="226" t="s">
        <v>569</v>
      </c>
      <c r="CW87" s="201" t="s">
        <v>567</v>
      </c>
      <c r="CX87" s="201" t="s">
        <v>567</v>
      </c>
      <c r="CY87" s="201" t="s">
        <v>567</v>
      </c>
      <c r="CZ87" s="201" t="s">
        <v>567</v>
      </c>
      <c r="DA87" s="969" t="str">
        <f>'Energy NPV'!U12</f>
        <v>(€ ha-1)</v>
      </c>
      <c r="DB87" s="201" t="s">
        <v>567</v>
      </c>
      <c r="DC87" s="201" t="s">
        <v>567</v>
      </c>
      <c r="DD87" s="201" t="s">
        <v>567</v>
      </c>
      <c r="DE87" s="202" t="s">
        <v>567</v>
      </c>
      <c r="DF87" s="201" t="s">
        <v>567</v>
      </c>
      <c r="DG87" s="201" t="s">
        <v>567</v>
      </c>
      <c r="DH87" s="201" t="s">
        <v>567</v>
      </c>
      <c r="DI87" s="201" t="s">
        <v>567</v>
      </c>
      <c r="DJ87" s="202" t="s">
        <v>567</v>
      </c>
      <c r="DK87" s="201" t="s">
        <v>567</v>
      </c>
      <c r="DL87" s="201" t="s">
        <v>567</v>
      </c>
      <c r="DM87" s="201" t="s">
        <v>567</v>
      </c>
      <c r="DN87" s="201" t="s">
        <v>567</v>
      </c>
      <c r="DO87" s="202" t="s">
        <v>567</v>
      </c>
    </row>
    <row r="88" spans="2:119" x14ac:dyDescent="0.3">
      <c r="B88" s="204">
        <v>1</v>
      </c>
      <c r="C88" s="759">
        <f>'Energy NPV'!$D13*$E$84</f>
        <v>0</v>
      </c>
      <c r="D88" s="197">
        <f>'Energy margins'!$E$12</f>
        <v>43.75</v>
      </c>
      <c r="E88" s="197">
        <f>C88*D88</f>
        <v>0</v>
      </c>
      <c r="F88" s="197">
        <f>'Margins summary'!$Q$14</f>
        <v>330</v>
      </c>
      <c r="G88" s="197">
        <f>E88+F88</f>
        <v>330</v>
      </c>
      <c r="H88" s="197">
        <f>'Margins summary'!$P$20</f>
        <v>1887.233334</v>
      </c>
      <c r="I88" s="918">
        <f>'Energy NPV'!U13</f>
        <v>0</v>
      </c>
      <c r="J88" s="197"/>
      <c r="K88" s="197">
        <f>H88+I88+J88</f>
        <v>1887.233334</v>
      </c>
      <c r="L88" s="197">
        <f t="shared" ref="L88:L103" si="208">E88-K88</f>
        <v>-1887.233334</v>
      </c>
      <c r="M88" s="197">
        <f t="shared" ref="M88:M103" si="209">G88-K88</f>
        <v>-1557.233334</v>
      </c>
      <c r="N88" s="1033">
        <f>E88/((1+$B$4)^(B88-1))</f>
        <v>0</v>
      </c>
      <c r="O88" s="213">
        <f>F88/((1+$B$4)^(B88-1))</f>
        <v>330</v>
      </c>
      <c r="P88" s="213">
        <f>K88/((1+$B$4)^(B88-1))</f>
        <v>1887.233334</v>
      </c>
      <c r="Q88" s="213">
        <f>L88/((1+$B$4)^(B88-1))</f>
        <v>-1887.233334</v>
      </c>
      <c r="R88" s="929">
        <f>M88/((1+$B$4)^(B88-1))</f>
        <v>-1557.233334</v>
      </c>
      <c r="S88" s="196">
        <f>N88</f>
        <v>0</v>
      </c>
      <c r="T88" s="197">
        <f>O88</f>
        <v>330</v>
      </c>
      <c r="U88" s="197">
        <f>P88</f>
        <v>1887.233334</v>
      </c>
      <c r="V88" s="197">
        <f>Q88</f>
        <v>-1887.233334</v>
      </c>
      <c r="W88" s="199">
        <f>R88</f>
        <v>-1557.233334</v>
      </c>
      <c r="Z88" s="204">
        <v>1</v>
      </c>
      <c r="AA88" s="759">
        <f>'Energy NPV'!$D13*$AB$84</f>
        <v>0</v>
      </c>
      <c r="AB88" s="197">
        <f>'Energy margins'!$E$12</f>
        <v>43.75</v>
      </c>
      <c r="AC88" s="197">
        <f>AA88*AB88</f>
        <v>0</v>
      </c>
      <c r="AD88" s="197">
        <f>'Margins summary'!$Q$14</f>
        <v>330</v>
      </c>
      <c r="AE88" s="197">
        <f>AC88+AD88</f>
        <v>330</v>
      </c>
      <c r="AF88" s="197">
        <f>'Margins summary'!$P$20</f>
        <v>1887.233334</v>
      </c>
      <c r="AG88" s="918">
        <f>'Energy NPV'!U13</f>
        <v>0</v>
      </c>
      <c r="AH88" s="197"/>
      <c r="AI88" s="197">
        <f>AF88+AG88+AH88</f>
        <v>1887.233334</v>
      </c>
      <c r="AJ88" s="197">
        <f t="shared" ref="AJ88:AJ103" si="210">AC88-AI88</f>
        <v>-1887.233334</v>
      </c>
      <c r="AK88" s="197">
        <f t="shared" ref="AK88:AK103" si="211">AE88-AI88</f>
        <v>-1557.233334</v>
      </c>
      <c r="AL88" s="1033">
        <f>AC88/((1+$B$4)^(Z88-1))</f>
        <v>0</v>
      </c>
      <c r="AM88" s="213">
        <f>AD88/((1+$B$4)^(Z88-1))</f>
        <v>330</v>
      </c>
      <c r="AN88" s="213">
        <f>AI88/((1+$B$4)^(Z88-1))</f>
        <v>1887.233334</v>
      </c>
      <c r="AO88" s="213">
        <f>AJ88/((1+$B$4)^(Z88-1))</f>
        <v>-1887.233334</v>
      </c>
      <c r="AP88" s="929">
        <f>AK88/((1+$B$4)^(Z88-1))</f>
        <v>-1557.233334</v>
      </c>
      <c r="AQ88" s="196">
        <f>AL88</f>
        <v>0</v>
      </c>
      <c r="AR88" s="197">
        <f>AM88</f>
        <v>330</v>
      </c>
      <c r="AS88" s="197">
        <f>AN88</f>
        <v>1887.233334</v>
      </c>
      <c r="AT88" s="197">
        <f>AO88</f>
        <v>-1887.233334</v>
      </c>
      <c r="AU88" s="199">
        <f>AP88</f>
        <v>-1557.233334</v>
      </c>
      <c r="AX88" s="204">
        <v>1</v>
      </c>
      <c r="AY88" s="759">
        <f>'Energy NPV'!$D13*$AZ$84</f>
        <v>0</v>
      </c>
      <c r="AZ88" s="197">
        <f>'Energy margins'!$E$12</f>
        <v>43.75</v>
      </c>
      <c r="BA88" s="197">
        <f>AY88*AZ88</f>
        <v>0</v>
      </c>
      <c r="BB88" s="197">
        <f>'Margins summary'!$Q$14</f>
        <v>330</v>
      </c>
      <c r="BC88" s="197">
        <f>BA88+BB88</f>
        <v>330</v>
      </c>
      <c r="BD88" s="197">
        <f>'Margins summary'!$P$20</f>
        <v>1887.233334</v>
      </c>
      <c r="BE88" s="918">
        <f>'Energy NPV'!U13</f>
        <v>0</v>
      </c>
      <c r="BF88" s="197"/>
      <c r="BG88" s="197">
        <f>BD88+BE88+BF88</f>
        <v>1887.233334</v>
      </c>
      <c r="BH88" s="197">
        <f t="shared" ref="BH88:BH103" si="212">BA88-BG88</f>
        <v>-1887.233334</v>
      </c>
      <c r="BI88" s="197">
        <f t="shared" ref="BI88:BI103" si="213">BC88-BG88</f>
        <v>-1557.233334</v>
      </c>
      <c r="BJ88" s="1033">
        <f>BA88/((1+$B$4)^(AX88-1))</f>
        <v>0</v>
      </c>
      <c r="BK88" s="213">
        <f>BB88/((1+$B$4)^(AX88-1))</f>
        <v>330</v>
      </c>
      <c r="BL88" s="213">
        <f>BG88/((1+$B$4)^(AX88-1))</f>
        <v>1887.233334</v>
      </c>
      <c r="BM88" s="213">
        <f>BH88/((1+$B$4)^(AX88-1))</f>
        <v>-1887.233334</v>
      </c>
      <c r="BN88" s="929">
        <f>BI88/((1+$B$4)^(AX88-1))</f>
        <v>-1557.233334</v>
      </c>
      <c r="BO88" s="196">
        <f>BJ88</f>
        <v>0</v>
      </c>
      <c r="BP88" s="197">
        <f>BK88</f>
        <v>330</v>
      </c>
      <c r="BQ88" s="197">
        <f>BL88</f>
        <v>1887.233334</v>
      </c>
      <c r="BR88" s="197">
        <f>BM88</f>
        <v>-1887.233334</v>
      </c>
      <c r="BS88" s="199">
        <f>BN88</f>
        <v>-1557.233334</v>
      </c>
      <c r="BV88" s="204">
        <v>1</v>
      </c>
      <c r="BW88" s="759">
        <f>'Energy NPV'!$D13*$BX$84</f>
        <v>0</v>
      </c>
      <c r="BX88" s="197">
        <f>'Energy margins'!$E$12</f>
        <v>43.75</v>
      </c>
      <c r="BY88" s="197">
        <f>BW88*BX88</f>
        <v>0</v>
      </c>
      <c r="BZ88" s="197">
        <f>'Margins summary'!$Q$14</f>
        <v>330</v>
      </c>
      <c r="CA88" s="197">
        <f>BY88+BZ88</f>
        <v>330</v>
      </c>
      <c r="CB88" s="197">
        <f>'Margins summary'!$P$20</f>
        <v>1887.233334</v>
      </c>
      <c r="CC88" s="918">
        <f>'Energy NPV'!U13</f>
        <v>0</v>
      </c>
      <c r="CD88" s="197"/>
      <c r="CE88" s="197">
        <f>CB88+CC88+CD88</f>
        <v>1887.233334</v>
      </c>
      <c r="CF88" s="197">
        <f t="shared" ref="CF88:CF103" si="214">BY88-CE88</f>
        <v>-1887.233334</v>
      </c>
      <c r="CG88" s="197">
        <f t="shared" ref="CG88:CG103" si="215">CA88-CE88</f>
        <v>-1557.233334</v>
      </c>
      <c r="CH88" s="1033">
        <f>BY88/((1+$B$4)^(BV88-1))</f>
        <v>0</v>
      </c>
      <c r="CI88" s="213">
        <f>BZ88/((1+$B$4)^(BV88-1))</f>
        <v>330</v>
      </c>
      <c r="CJ88" s="213">
        <f>CE88/((1+$B$4)^(BV88-1))</f>
        <v>1887.233334</v>
      </c>
      <c r="CK88" s="213">
        <f>CF88/((1+$B$4)^(BV88-1))</f>
        <v>-1887.233334</v>
      </c>
      <c r="CL88" s="929">
        <f>CG88/((1+$B$4)^(BV88-1))</f>
        <v>-1557.233334</v>
      </c>
      <c r="CM88" s="196">
        <f>CH88</f>
        <v>0</v>
      </c>
      <c r="CN88" s="197">
        <f>CI88</f>
        <v>330</v>
      </c>
      <c r="CO88" s="197">
        <f>CJ88</f>
        <v>1887.233334</v>
      </c>
      <c r="CP88" s="197">
        <f>CK88</f>
        <v>-1887.233334</v>
      </c>
      <c r="CQ88" s="199">
        <f>CL88</f>
        <v>-1557.233334</v>
      </c>
      <c r="CT88" s="204">
        <v>1</v>
      </c>
      <c r="CU88" s="759">
        <f>'Energy NPV'!$D13*$CV$84</f>
        <v>0</v>
      </c>
      <c r="CV88" s="197">
        <f>'Energy margins'!$E$12</f>
        <v>43.75</v>
      </c>
      <c r="CW88" s="197">
        <f>CU88*CV88</f>
        <v>0</v>
      </c>
      <c r="CX88" s="197">
        <f>'Margins summary'!$Q$14</f>
        <v>330</v>
      </c>
      <c r="CY88" s="197">
        <f>CW88+CX88</f>
        <v>330</v>
      </c>
      <c r="CZ88" s="197">
        <f>'Margins summary'!$P$20</f>
        <v>1887.233334</v>
      </c>
      <c r="DA88" s="918">
        <f>'Energy NPV'!U13</f>
        <v>0</v>
      </c>
      <c r="DB88" s="197"/>
      <c r="DC88" s="197">
        <f>CZ88+DA88+DB88</f>
        <v>1887.233334</v>
      </c>
      <c r="DD88" s="197">
        <f t="shared" ref="DD88:DD103" si="216">CW88-DC88</f>
        <v>-1887.233334</v>
      </c>
      <c r="DE88" s="197">
        <f t="shared" ref="DE88:DE103" si="217">CY88-DC88</f>
        <v>-1557.233334</v>
      </c>
      <c r="DF88" s="1033">
        <f>CW88/((1+$B$4)^(CT88-1))</f>
        <v>0</v>
      </c>
      <c r="DG88" s="213">
        <f>CX88/((1+$B$4)^(CT88-1))</f>
        <v>330</v>
      </c>
      <c r="DH88" s="213">
        <f>DC88/((1+$B$4)^(CT88-1))</f>
        <v>1887.233334</v>
      </c>
      <c r="DI88" s="213">
        <f>DD88/((1+$B$4)^(CT88-1))</f>
        <v>-1887.233334</v>
      </c>
      <c r="DJ88" s="929">
        <f>DE88/((1+$B$4)^(CT88-1))</f>
        <v>-1557.233334</v>
      </c>
      <c r="DK88" s="196">
        <f>DF88</f>
        <v>0</v>
      </c>
      <c r="DL88" s="197">
        <f>DG88</f>
        <v>330</v>
      </c>
      <c r="DM88" s="197">
        <f>DH88</f>
        <v>1887.233334</v>
      </c>
      <c r="DN88" s="197">
        <f>DI88</f>
        <v>-1887.233334</v>
      </c>
      <c r="DO88" s="199">
        <f>DJ88</f>
        <v>-1557.233334</v>
      </c>
    </row>
    <row r="89" spans="2:119" x14ac:dyDescent="0.3">
      <c r="B89" s="204">
        <v>2</v>
      </c>
      <c r="C89" s="759">
        <f>'Energy NPV'!$D14*$E$84</f>
        <v>26</v>
      </c>
      <c r="D89" s="197">
        <f>'Energy margins'!$E$12</f>
        <v>43.75</v>
      </c>
      <c r="E89" s="197">
        <f>C89*D89</f>
        <v>1137.5</v>
      </c>
      <c r="F89" s="197">
        <f>'Margins summary'!$Q$14</f>
        <v>330</v>
      </c>
      <c r="G89" s="197">
        <f t="shared" ref="G89:G103" si="218">E89+F89</f>
        <v>1467.5</v>
      </c>
      <c r="H89" s="197"/>
      <c r="I89" s="918">
        <f>'Energy NPV'!U14</f>
        <v>748.272334</v>
      </c>
      <c r="J89" s="197"/>
      <c r="K89" s="197">
        <f t="shared" ref="K89:K103" si="219">H89+I89+J89</f>
        <v>748.272334</v>
      </c>
      <c r="L89" s="197">
        <f t="shared" si="208"/>
        <v>389.227666</v>
      </c>
      <c r="M89" s="197">
        <f t="shared" si="209"/>
        <v>719.227666</v>
      </c>
      <c r="N89" s="196">
        <f t="shared" ref="N89:N103" si="220">E89/((1+$B$4)^(B89-1))</f>
        <v>1104.3689320388348</v>
      </c>
      <c r="O89" s="197">
        <f t="shared" ref="O89:O103" si="221">F89/((1+$B$4)^(B89-1))</f>
        <v>320.38834951456312</v>
      </c>
      <c r="P89" s="197">
        <f t="shared" ref="P89:P103" si="222">K89/((1+$B$4)^(B89-1))</f>
        <v>726.47799417475721</v>
      </c>
      <c r="Q89" s="197">
        <f t="shared" ref="Q89:Q103" si="223">L89/((1+$B$4)^(B89-1))</f>
        <v>377.89093786407767</v>
      </c>
      <c r="R89" s="199">
        <f t="shared" ref="R89:R103" si="224">M89/((1+$B$4)^(B89-1))</f>
        <v>698.27928737864079</v>
      </c>
      <c r="S89" s="196">
        <f>S88+N89</f>
        <v>1104.3689320388348</v>
      </c>
      <c r="T89" s="197">
        <f t="shared" ref="T89:W103" si="225">T88+O89</f>
        <v>650.38834951456306</v>
      </c>
      <c r="U89" s="197">
        <f t="shared" si="225"/>
        <v>2613.711328174757</v>
      </c>
      <c r="V89" s="197">
        <f t="shared" si="225"/>
        <v>-1509.3423961359224</v>
      </c>
      <c r="W89" s="199">
        <f t="shared" si="225"/>
        <v>-858.95404662135923</v>
      </c>
      <c r="Z89" s="204">
        <v>2</v>
      </c>
      <c r="AA89" s="759">
        <f>'Energy NPV'!$D14*$AB$84</f>
        <v>39</v>
      </c>
      <c r="AB89" s="197">
        <f>'Energy margins'!$E$12</f>
        <v>43.75</v>
      </c>
      <c r="AC89" s="197">
        <f>AA89*AB89</f>
        <v>1706.25</v>
      </c>
      <c r="AD89" s="197">
        <f>'Margins summary'!$Q$14</f>
        <v>330</v>
      </c>
      <c r="AE89" s="197">
        <f t="shared" ref="AE89:AE103" si="226">AC89+AD89</f>
        <v>2036.25</v>
      </c>
      <c r="AF89" s="197"/>
      <c r="AG89" s="918">
        <f>'Energy NPV'!U14</f>
        <v>748.272334</v>
      </c>
      <c r="AH89" s="197"/>
      <c r="AI89" s="197">
        <f t="shared" ref="AI89:AI103" si="227">AF89+AG89+AH89</f>
        <v>748.272334</v>
      </c>
      <c r="AJ89" s="197">
        <f t="shared" si="210"/>
        <v>957.977666</v>
      </c>
      <c r="AK89" s="197">
        <f t="shared" si="211"/>
        <v>1287.977666</v>
      </c>
      <c r="AL89" s="196">
        <f t="shared" ref="AL89:AL103" si="228">AC89/((1+$B$4)^(Z89-1))</f>
        <v>1656.5533980582525</v>
      </c>
      <c r="AM89" s="197">
        <f t="shared" ref="AM89:AM103" si="229">AD89/((1+$B$4)^(Z89-1))</f>
        <v>320.38834951456312</v>
      </c>
      <c r="AN89" s="197">
        <f t="shared" ref="AN89:AN103" si="230">AI89/((1+$B$4)^(Z89-1))</f>
        <v>726.47799417475721</v>
      </c>
      <c r="AO89" s="197">
        <f t="shared" ref="AO89:AO103" si="231">AJ89/((1+$B$4)^(Z89-1))</f>
        <v>930.07540388349514</v>
      </c>
      <c r="AP89" s="199">
        <f t="shared" ref="AP89:AP103" si="232">AK89/((1+$B$4)^(Z89-1))</f>
        <v>1250.4637533980583</v>
      </c>
      <c r="AQ89" s="196">
        <f>AQ88+AL89</f>
        <v>1656.5533980582525</v>
      </c>
      <c r="AR89" s="197">
        <f t="shared" ref="AR89:AU103" si="233">AR88+AM89</f>
        <v>650.38834951456306</v>
      </c>
      <c r="AS89" s="197">
        <f t="shared" si="233"/>
        <v>2613.711328174757</v>
      </c>
      <c r="AT89" s="197">
        <f t="shared" si="233"/>
        <v>-957.15793011650487</v>
      </c>
      <c r="AU89" s="199">
        <f t="shared" si="233"/>
        <v>-306.7695806019417</v>
      </c>
      <c r="AX89" s="204">
        <v>2</v>
      </c>
      <c r="AY89" s="759">
        <f>'Energy NPV'!$D14*$AZ$84</f>
        <v>13</v>
      </c>
      <c r="AZ89" s="197">
        <f>'Energy margins'!$E$12</f>
        <v>43.75</v>
      </c>
      <c r="BA89" s="197">
        <f>AY89*AZ89</f>
        <v>568.75</v>
      </c>
      <c r="BB89" s="197">
        <f>'Margins summary'!$Q$14</f>
        <v>330</v>
      </c>
      <c r="BC89" s="197">
        <f t="shared" ref="BC89:BC103" si="234">BA89+BB89</f>
        <v>898.75</v>
      </c>
      <c r="BD89" s="197"/>
      <c r="BE89" s="918">
        <f>'Energy NPV'!U14</f>
        <v>748.272334</v>
      </c>
      <c r="BF89" s="197"/>
      <c r="BG89" s="197">
        <f t="shared" ref="BG89:BG103" si="235">BD89+BE89+BF89</f>
        <v>748.272334</v>
      </c>
      <c r="BH89" s="197">
        <f t="shared" si="212"/>
        <v>-179.522334</v>
      </c>
      <c r="BI89" s="197">
        <f t="shared" si="213"/>
        <v>150.477666</v>
      </c>
      <c r="BJ89" s="196">
        <f t="shared" ref="BJ89:BJ103" si="236">BA89/((1+$B$4)^(AX89-1))</f>
        <v>552.18446601941741</v>
      </c>
      <c r="BK89" s="197">
        <f t="shared" ref="BK89:BK103" si="237">BB89/((1+$B$4)^(AX89-1))</f>
        <v>320.38834951456312</v>
      </c>
      <c r="BL89" s="197">
        <f t="shared" ref="BL89:BL103" si="238">BG89/((1+$B$4)^(AX89-1))</f>
        <v>726.47799417475721</v>
      </c>
      <c r="BM89" s="197">
        <f t="shared" ref="BM89:BM103" si="239">BH89/((1+$B$4)^(AX89-1))</f>
        <v>-174.2935281553398</v>
      </c>
      <c r="BN89" s="199">
        <f t="shared" ref="BN89:BN103" si="240">BI89/((1+$B$4)^(AX89-1))</f>
        <v>146.09482135922329</v>
      </c>
      <c r="BO89" s="196">
        <f>BO88+BJ89</f>
        <v>552.18446601941741</v>
      </c>
      <c r="BP89" s="197">
        <f t="shared" ref="BP89:BS103" si="241">BP88+BK89</f>
        <v>650.38834951456306</v>
      </c>
      <c r="BQ89" s="197">
        <f t="shared" si="241"/>
        <v>2613.711328174757</v>
      </c>
      <c r="BR89" s="197">
        <f t="shared" si="241"/>
        <v>-2061.5268621553396</v>
      </c>
      <c r="BS89" s="199">
        <f t="shared" si="241"/>
        <v>-1411.1385126407768</v>
      </c>
      <c r="BV89" s="204">
        <v>2</v>
      </c>
      <c r="BW89" s="759">
        <f>'Energy NPV'!$D14*$BX$84</f>
        <v>52</v>
      </c>
      <c r="BX89" s="197">
        <f>'Energy margins'!$E$12</f>
        <v>43.75</v>
      </c>
      <c r="BY89" s="197">
        <f>BW89*BX89</f>
        <v>2275</v>
      </c>
      <c r="BZ89" s="197">
        <f>'Margins summary'!$Q$14</f>
        <v>330</v>
      </c>
      <c r="CA89" s="197">
        <f t="shared" ref="CA89:CA103" si="242">BY89+BZ89</f>
        <v>2605</v>
      </c>
      <c r="CB89" s="197"/>
      <c r="CC89" s="918">
        <f>'Energy NPV'!U14</f>
        <v>748.272334</v>
      </c>
      <c r="CD89" s="197"/>
      <c r="CE89" s="197">
        <f t="shared" ref="CE89:CE103" si="243">CB89+CC89+CD89</f>
        <v>748.272334</v>
      </c>
      <c r="CF89" s="197">
        <f t="shared" si="214"/>
        <v>1526.727666</v>
      </c>
      <c r="CG89" s="197">
        <f t="shared" si="215"/>
        <v>1856.727666</v>
      </c>
      <c r="CH89" s="196">
        <f t="shared" ref="CH89:CH103" si="244">BY89/((1+$B$4)^(BV89-1))</f>
        <v>2208.7378640776697</v>
      </c>
      <c r="CI89" s="197">
        <f t="shared" ref="CI89:CI103" si="245">BZ89/((1+$B$4)^(BV89-1))</f>
        <v>320.38834951456312</v>
      </c>
      <c r="CJ89" s="197">
        <f t="shared" ref="CJ89:CJ103" si="246">CE89/((1+$B$4)^(BV89-1))</f>
        <v>726.47799417475721</v>
      </c>
      <c r="CK89" s="197">
        <f t="shared" ref="CK89:CK103" si="247">CF89/((1+$B$4)^(BV89-1))</f>
        <v>1482.2598699029127</v>
      </c>
      <c r="CL89" s="199">
        <f t="shared" ref="CL89:CL103" si="248">CG89/((1+$B$4)^(BV89-1))</f>
        <v>1802.6482194174757</v>
      </c>
      <c r="CM89" s="196">
        <f>CM88+CH89</f>
        <v>2208.7378640776697</v>
      </c>
      <c r="CN89" s="197">
        <f t="shared" ref="CN89:CQ103" si="249">CN88+CI89</f>
        <v>650.38834951456306</v>
      </c>
      <c r="CO89" s="197">
        <f t="shared" si="249"/>
        <v>2613.711328174757</v>
      </c>
      <c r="CP89" s="197">
        <f t="shared" si="249"/>
        <v>-404.97346409708734</v>
      </c>
      <c r="CQ89" s="199">
        <f t="shared" si="249"/>
        <v>245.41488541747572</v>
      </c>
      <c r="CT89" s="204">
        <v>2</v>
      </c>
      <c r="CU89" s="759">
        <f>'Energy NPV'!$D14*$CV$84</f>
        <v>0</v>
      </c>
      <c r="CV89" s="197">
        <f>'Energy margins'!$E$12</f>
        <v>43.75</v>
      </c>
      <c r="CW89" s="197">
        <f>CU89*CV89</f>
        <v>0</v>
      </c>
      <c r="CX89" s="197">
        <f>'Margins summary'!$Q$14</f>
        <v>330</v>
      </c>
      <c r="CY89" s="197">
        <f t="shared" ref="CY89:CY103" si="250">CW89+CX89</f>
        <v>330</v>
      </c>
      <c r="CZ89" s="197"/>
      <c r="DA89" s="918">
        <f>'Energy NPV'!U14</f>
        <v>748.272334</v>
      </c>
      <c r="DB89" s="197"/>
      <c r="DC89" s="197">
        <f t="shared" ref="DC89:DC103" si="251">CZ89+DA89+DB89</f>
        <v>748.272334</v>
      </c>
      <c r="DD89" s="197">
        <f t="shared" si="216"/>
        <v>-748.272334</v>
      </c>
      <c r="DE89" s="197">
        <f t="shared" si="217"/>
        <v>-418.272334</v>
      </c>
      <c r="DF89" s="196">
        <f t="shared" ref="DF89:DF103" si="252">CW89/((1+$B$4)^(CT89-1))</f>
        <v>0</v>
      </c>
      <c r="DG89" s="197">
        <f t="shared" ref="DG89:DG103" si="253">CX89/((1+$B$4)^(CT89-1))</f>
        <v>320.38834951456312</v>
      </c>
      <c r="DH89" s="197">
        <f t="shared" ref="DH89:DH103" si="254">DC89/((1+$B$4)^(CT89-1))</f>
        <v>726.47799417475721</v>
      </c>
      <c r="DI89" s="197">
        <f t="shared" ref="DI89:DI103" si="255">DD89/((1+$B$4)^(CT89-1))</f>
        <v>-726.47799417475721</v>
      </c>
      <c r="DJ89" s="199">
        <f t="shared" ref="DJ89:DJ102" si="256">DE89/((1+$B$4)^(CT89-1))</f>
        <v>-406.08964466019415</v>
      </c>
      <c r="DK89" s="196">
        <f>DK88+DF89</f>
        <v>0</v>
      </c>
      <c r="DL89" s="197">
        <f t="shared" ref="DL89:DO103" si="257">DL88+DG89</f>
        <v>650.38834951456306</v>
      </c>
      <c r="DM89" s="197">
        <f t="shared" si="257"/>
        <v>2613.711328174757</v>
      </c>
      <c r="DN89" s="197">
        <f t="shared" si="257"/>
        <v>-2613.711328174757</v>
      </c>
      <c r="DO89" s="199">
        <f t="shared" si="257"/>
        <v>-1963.3229786601942</v>
      </c>
    </row>
    <row r="90" spans="2:119" x14ac:dyDescent="0.3">
      <c r="B90" s="204">
        <f t="shared" ref="B90:B103" si="258">B89+1</f>
        <v>3</v>
      </c>
      <c r="C90" s="759">
        <f>'Energy NPV'!$D15*$E$84</f>
        <v>0</v>
      </c>
      <c r="D90" s="197">
        <f>'Energy margins'!$E$12</f>
        <v>43.75</v>
      </c>
      <c r="E90" s="197">
        <f t="shared" ref="E90:E103" si="259">C90*D90</f>
        <v>0</v>
      </c>
      <c r="F90" s="197">
        <f>'Margins summary'!$Q$14</f>
        <v>330</v>
      </c>
      <c r="G90" s="197">
        <f t="shared" si="218"/>
        <v>330</v>
      </c>
      <c r="H90" s="197"/>
      <c r="I90" s="918">
        <f>'Energy NPV'!U15</f>
        <v>110.53899999999999</v>
      </c>
      <c r="J90" s="197"/>
      <c r="K90" s="197">
        <f t="shared" si="219"/>
        <v>110.53899999999999</v>
      </c>
      <c r="L90" s="197">
        <f t="shared" si="208"/>
        <v>-110.53899999999999</v>
      </c>
      <c r="M90" s="197">
        <f t="shared" si="209"/>
        <v>219.46100000000001</v>
      </c>
      <c r="N90" s="196">
        <f t="shared" si="220"/>
        <v>0</v>
      </c>
      <c r="O90" s="197">
        <f t="shared" si="221"/>
        <v>311.05665001413894</v>
      </c>
      <c r="P90" s="197">
        <f t="shared" si="222"/>
        <v>104.19360919973606</v>
      </c>
      <c r="Q90" s="197">
        <f t="shared" si="223"/>
        <v>-104.19360919973606</v>
      </c>
      <c r="R90" s="199">
        <f t="shared" si="224"/>
        <v>206.86304081440289</v>
      </c>
      <c r="S90" s="196">
        <f t="shared" ref="S90:S103" si="260">S89+N90</f>
        <v>1104.3689320388348</v>
      </c>
      <c r="T90" s="197">
        <f t="shared" si="225"/>
        <v>961.44499952870206</v>
      </c>
      <c r="U90" s="197">
        <f t="shared" si="225"/>
        <v>2717.9049373744929</v>
      </c>
      <c r="V90" s="197">
        <f t="shared" si="225"/>
        <v>-1613.5360053356585</v>
      </c>
      <c r="W90" s="199">
        <f t="shared" si="225"/>
        <v>-652.09100580695633</v>
      </c>
      <c r="Z90" s="204">
        <f t="shared" ref="Z90:Z103" si="261">Z89+1</f>
        <v>3</v>
      </c>
      <c r="AA90" s="759">
        <f>'Energy NPV'!$D15*$AB$84</f>
        <v>0</v>
      </c>
      <c r="AB90" s="197">
        <f>'Energy margins'!$E$12</f>
        <v>43.75</v>
      </c>
      <c r="AC90" s="197">
        <f t="shared" ref="AC90:AC103" si="262">AA90*AB90</f>
        <v>0</v>
      </c>
      <c r="AD90" s="197">
        <f>'Margins summary'!$Q$14</f>
        <v>330</v>
      </c>
      <c r="AE90" s="197">
        <f t="shared" si="226"/>
        <v>330</v>
      </c>
      <c r="AF90" s="197"/>
      <c r="AG90" s="918">
        <f>'Energy NPV'!U15</f>
        <v>110.53899999999999</v>
      </c>
      <c r="AH90" s="197"/>
      <c r="AI90" s="197">
        <f t="shared" si="227"/>
        <v>110.53899999999999</v>
      </c>
      <c r="AJ90" s="197">
        <f t="shared" si="210"/>
        <v>-110.53899999999999</v>
      </c>
      <c r="AK90" s="197">
        <f t="shared" si="211"/>
        <v>219.46100000000001</v>
      </c>
      <c r="AL90" s="196">
        <f t="shared" si="228"/>
        <v>0</v>
      </c>
      <c r="AM90" s="197">
        <f t="shared" si="229"/>
        <v>311.05665001413894</v>
      </c>
      <c r="AN90" s="197">
        <f t="shared" si="230"/>
        <v>104.19360919973606</v>
      </c>
      <c r="AO90" s="197">
        <f t="shared" si="231"/>
        <v>-104.19360919973606</v>
      </c>
      <c r="AP90" s="199">
        <f t="shared" si="232"/>
        <v>206.86304081440289</v>
      </c>
      <c r="AQ90" s="196">
        <f t="shared" ref="AQ90:AQ102" si="263">AQ89+AL90</f>
        <v>1656.5533980582525</v>
      </c>
      <c r="AR90" s="197">
        <f t="shared" si="233"/>
        <v>961.44499952870206</v>
      </c>
      <c r="AS90" s="197">
        <f t="shared" si="233"/>
        <v>2717.9049373744929</v>
      </c>
      <c r="AT90" s="197">
        <f t="shared" si="233"/>
        <v>-1061.3515393162409</v>
      </c>
      <c r="AU90" s="199">
        <f t="shared" si="233"/>
        <v>-99.906539787538804</v>
      </c>
      <c r="AX90" s="204">
        <f t="shared" ref="AX90:AX103" si="264">AX89+1</f>
        <v>3</v>
      </c>
      <c r="AY90" s="759">
        <f>'Energy NPV'!$D15*$AZ$84</f>
        <v>0</v>
      </c>
      <c r="AZ90" s="197">
        <f>'Energy margins'!$E$12</f>
        <v>43.75</v>
      </c>
      <c r="BA90" s="197">
        <f t="shared" ref="BA90:BA103" si="265">AY90*AZ90</f>
        <v>0</v>
      </c>
      <c r="BB90" s="197">
        <f>'Margins summary'!$Q$14</f>
        <v>330</v>
      </c>
      <c r="BC90" s="197">
        <f t="shared" si="234"/>
        <v>330</v>
      </c>
      <c r="BD90" s="197"/>
      <c r="BE90" s="918">
        <f>'Energy NPV'!U15</f>
        <v>110.53899999999999</v>
      </c>
      <c r="BF90" s="197"/>
      <c r="BG90" s="197">
        <f t="shared" si="235"/>
        <v>110.53899999999999</v>
      </c>
      <c r="BH90" s="197">
        <f t="shared" si="212"/>
        <v>-110.53899999999999</v>
      </c>
      <c r="BI90" s="197">
        <f t="shared" si="213"/>
        <v>219.46100000000001</v>
      </c>
      <c r="BJ90" s="196">
        <f t="shared" si="236"/>
        <v>0</v>
      </c>
      <c r="BK90" s="197">
        <f t="shared" si="237"/>
        <v>311.05665001413894</v>
      </c>
      <c r="BL90" s="197">
        <f t="shared" si="238"/>
        <v>104.19360919973606</v>
      </c>
      <c r="BM90" s="197">
        <f t="shared" si="239"/>
        <v>-104.19360919973606</v>
      </c>
      <c r="BN90" s="199">
        <f t="shared" si="240"/>
        <v>206.86304081440289</v>
      </c>
      <c r="BO90" s="196">
        <f t="shared" ref="BO90:BO103" si="266">BO89+BJ90</f>
        <v>552.18446601941741</v>
      </c>
      <c r="BP90" s="197">
        <f t="shared" si="241"/>
        <v>961.44499952870206</v>
      </c>
      <c r="BQ90" s="197">
        <f t="shared" si="241"/>
        <v>2717.9049373744929</v>
      </c>
      <c r="BR90" s="197">
        <f t="shared" si="241"/>
        <v>-2165.7204713550755</v>
      </c>
      <c r="BS90" s="199">
        <f t="shared" si="241"/>
        <v>-1204.2754718263739</v>
      </c>
      <c r="BV90" s="204">
        <f t="shared" ref="BV90:BV103" si="267">BV89+1</f>
        <v>3</v>
      </c>
      <c r="BW90" s="759">
        <f>'Energy NPV'!$D15*$BX$84</f>
        <v>0</v>
      </c>
      <c r="BX90" s="197">
        <f>'Energy margins'!$E$12</f>
        <v>43.75</v>
      </c>
      <c r="BY90" s="197">
        <f t="shared" ref="BY90:BY103" si="268">BW90*BX90</f>
        <v>0</v>
      </c>
      <c r="BZ90" s="197">
        <f>'Margins summary'!$Q$14</f>
        <v>330</v>
      </c>
      <c r="CA90" s="197">
        <f t="shared" si="242"/>
        <v>330</v>
      </c>
      <c r="CB90" s="197"/>
      <c r="CC90" s="918">
        <f>'Energy NPV'!U15</f>
        <v>110.53899999999999</v>
      </c>
      <c r="CD90" s="197"/>
      <c r="CE90" s="197">
        <f t="shared" si="243"/>
        <v>110.53899999999999</v>
      </c>
      <c r="CF90" s="197">
        <f t="shared" si="214"/>
        <v>-110.53899999999999</v>
      </c>
      <c r="CG90" s="197">
        <f t="shared" si="215"/>
        <v>219.46100000000001</v>
      </c>
      <c r="CH90" s="196">
        <f t="shared" si="244"/>
        <v>0</v>
      </c>
      <c r="CI90" s="197">
        <f t="shared" si="245"/>
        <v>311.05665001413894</v>
      </c>
      <c r="CJ90" s="197">
        <f t="shared" si="246"/>
        <v>104.19360919973606</v>
      </c>
      <c r="CK90" s="197">
        <f t="shared" si="247"/>
        <v>-104.19360919973606</v>
      </c>
      <c r="CL90" s="199">
        <f t="shared" si="248"/>
        <v>206.86304081440289</v>
      </c>
      <c r="CM90" s="196">
        <f t="shared" ref="CM90:CM103" si="269">CM89+CH90</f>
        <v>2208.7378640776697</v>
      </c>
      <c r="CN90" s="197">
        <f t="shared" si="249"/>
        <v>961.44499952870206</v>
      </c>
      <c r="CO90" s="197">
        <f t="shared" si="249"/>
        <v>2717.9049373744929</v>
      </c>
      <c r="CP90" s="197">
        <f t="shared" si="249"/>
        <v>-509.16707329682339</v>
      </c>
      <c r="CQ90" s="199">
        <f t="shared" si="249"/>
        <v>452.27792623187861</v>
      </c>
      <c r="CT90" s="204">
        <f t="shared" ref="CT90:CT103" si="270">CT89+1</f>
        <v>3</v>
      </c>
      <c r="CU90" s="759">
        <f>'Energy NPV'!$D15*$CV$84</f>
        <v>0</v>
      </c>
      <c r="CV90" s="197">
        <f>'Energy margins'!$E$12</f>
        <v>43.75</v>
      </c>
      <c r="CW90" s="197">
        <f t="shared" ref="CW90:CW103" si="271">CU90*CV90</f>
        <v>0</v>
      </c>
      <c r="CX90" s="197">
        <f>'Margins summary'!$Q$14</f>
        <v>330</v>
      </c>
      <c r="CY90" s="197">
        <f t="shared" si="250"/>
        <v>330</v>
      </c>
      <c r="CZ90" s="197"/>
      <c r="DA90" s="918">
        <f>'Energy NPV'!U15</f>
        <v>110.53899999999999</v>
      </c>
      <c r="DB90" s="197"/>
      <c r="DC90" s="197">
        <f t="shared" si="251"/>
        <v>110.53899999999999</v>
      </c>
      <c r="DD90" s="197">
        <f t="shared" si="216"/>
        <v>-110.53899999999999</v>
      </c>
      <c r="DE90" s="197">
        <f t="shared" si="217"/>
        <v>219.46100000000001</v>
      </c>
      <c r="DF90" s="196">
        <f t="shared" si="252"/>
        <v>0</v>
      </c>
      <c r="DG90" s="197">
        <f t="shared" si="253"/>
        <v>311.05665001413894</v>
      </c>
      <c r="DH90" s="197">
        <f t="shared" si="254"/>
        <v>104.19360919973606</v>
      </c>
      <c r="DI90" s="197">
        <f t="shared" si="255"/>
        <v>-104.19360919973606</v>
      </c>
      <c r="DJ90" s="199">
        <f t="shared" si="256"/>
        <v>206.86304081440289</v>
      </c>
      <c r="DK90" s="196">
        <f t="shared" ref="DK90:DK103" si="272">DK89+DF90</f>
        <v>0</v>
      </c>
      <c r="DL90" s="197">
        <f t="shared" si="257"/>
        <v>961.44499952870206</v>
      </c>
      <c r="DM90" s="197">
        <f t="shared" si="257"/>
        <v>2717.9049373744929</v>
      </c>
      <c r="DN90" s="197">
        <f t="shared" si="257"/>
        <v>-2717.9049373744929</v>
      </c>
      <c r="DO90" s="199">
        <f t="shared" si="257"/>
        <v>-1756.4599378457913</v>
      </c>
    </row>
    <row r="91" spans="2:119" x14ac:dyDescent="0.3">
      <c r="B91" s="204">
        <f t="shared" si="258"/>
        <v>4</v>
      </c>
      <c r="C91" s="759">
        <f>'Energy NPV'!$D16*$E$84</f>
        <v>26</v>
      </c>
      <c r="D91" s="197">
        <f>'Energy margins'!$E$12</f>
        <v>43.75</v>
      </c>
      <c r="E91" s="197">
        <f t="shared" si="259"/>
        <v>1137.5</v>
      </c>
      <c r="F91" s="197">
        <f>'Margins summary'!$Q$14</f>
        <v>330</v>
      </c>
      <c r="G91" s="197">
        <f t="shared" si="218"/>
        <v>1467.5</v>
      </c>
      <c r="H91" s="197"/>
      <c r="I91" s="918">
        <f>'Energy NPV'!U16</f>
        <v>637.73333400000001</v>
      </c>
      <c r="J91" s="197"/>
      <c r="K91" s="197">
        <f t="shared" si="219"/>
        <v>637.73333400000001</v>
      </c>
      <c r="L91" s="197">
        <f t="shared" si="208"/>
        <v>499.76666599999999</v>
      </c>
      <c r="M91" s="197">
        <f t="shared" si="209"/>
        <v>829.76666599999999</v>
      </c>
      <c r="N91" s="196">
        <f t="shared" si="220"/>
        <v>1040.973637514219</v>
      </c>
      <c r="O91" s="197">
        <f t="shared" si="221"/>
        <v>301.99674758654265</v>
      </c>
      <c r="P91" s="197">
        <f t="shared" si="222"/>
        <v>583.61634150158272</v>
      </c>
      <c r="Q91" s="197">
        <f t="shared" si="223"/>
        <v>457.35729601263625</v>
      </c>
      <c r="R91" s="199">
        <f t="shared" si="224"/>
        <v>759.35404359917891</v>
      </c>
      <c r="S91" s="196">
        <f t="shared" si="260"/>
        <v>2145.3425695530541</v>
      </c>
      <c r="T91" s="197">
        <f t="shared" si="225"/>
        <v>1263.4417471152447</v>
      </c>
      <c r="U91" s="197">
        <f t="shared" si="225"/>
        <v>3301.5212788760755</v>
      </c>
      <c r="V91" s="197">
        <f t="shared" si="225"/>
        <v>-1156.1787093230223</v>
      </c>
      <c r="W91" s="199">
        <f t="shared" si="225"/>
        <v>107.26303779222258</v>
      </c>
      <c r="Z91" s="204">
        <f t="shared" si="261"/>
        <v>4</v>
      </c>
      <c r="AA91" s="759">
        <f>'Energy NPV'!$D16*$AB$84</f>
        <v>39</v>
      </c>
      <c r="AB91" s="197">
        <f>'Energy margins'!$E$12</f>
        <v>43.75</v>
      </c>
      <c r="AC91" s="197">
        <f t="shared" si="262"/>
        <v>1706.25</v>
      </c>
      <c r="AD91" s="197">
        <f>'Margins summary'!$Q$14</f>
        <v>330</v>
      </c>
      <c r="AE91" s="197">
        <f t="shared" si="226"/>
        <v>2036.25</v>
      </c>
      <c r="AF91" s="197"/>
      <c r="AG91" s="918">
        <f>'Energy NPV'!U16</f>
        <v>637.73333400000001</v>
      </c>
      <c r="AH91" s="197"/>
      <c r="AI91" s="197">
        <f t="shared" si="227"/>
        <v>637.73333400000001</v>
      </c>
      <c r="AJ91" s="197">
        <f t="shared" si="210"/>
        <v>1068.516666</v>
      </c>
      <c r="AK91" s="197">
        <f t="shared" si="211"/>
        <v>1398.516666</v>
      </c>
      <c r="AL91" s="196">
        <f t="shared" si="228"/>
        <v>1561.4604562713284</v>
      </c>
      <c r="AM91" s="197">
        <f t="shared" si="229"/>
        <v>301.99674758654265</v>
      </c>
      <c r="AN91" s="197">
        <f t="shared" si="230"/>
        <v>583.61634150158272</v>
      </c>
      <c r="AO91" s="197">
        <f t="shared" si="231"/>
        <v>977.84411476974572</v>
      </c>
      <c r="AP91" s="199">
        <f t="shared" si="232"/>
        <v>1279.8408623562884</v>
      </c>
      <c r="AQ91" s="196">
        <f t="shared" si="263"/>
        <v>3218.0138543295807</v>
      </c>
      <c r="AR91" s="197">
        <f t="shared" si="233"/>
        <v>1263.4417471152447</v>
      </c>
      <c r="AS91" s="197">
        <f t="shared" si="233"/>
        <v>3301.5212788760755</v>
      </c>
      <c r="AT91" s="197">
        <f t="shared" si="233"/>
        <v>-83.507424546495145</v>
      </c>
      <c r="AU91" s="199">
        <f t="shared" si="233"/>
        <v>1179.9343225687496</v>
      </c>
      <c r="AX91" s="204">
        <f t="shared" si="264"/>
        <v>4</v>
      </c>
      <c r="AY91" s="759">
        <f>'Energy NPV'!$D16*$AZ$84</f>
        <v>13</v>
      </c>
      <c r="AZ91" s="197">
        <f>'Energy margins'!$E$12</f>
        <v>43.75</v>
      </c>
      <c r="BA91" s="197">
        <f t="shared" si="265"/>
        <v>568.75</v>
      </c>
      <c r="BB91" s="197">
        <f>'Margins summary'!$Q$14</f>
        <v>330</v>
      </c>
      <c r="BC91" s="197">
        <f t="shared" si="234"/>
        <v>898.75</v>
      </c>
      <c r="BD91" s="197"/>
      <c r="BE91" s="918">
        <f>'Energy NPV'!U16</f>
        <v>637.73333400000001</v>
      </c>
      <c r="BF91" s="197"/>
      <c r="BG91" s="197">
        <f t="shared" si="235"/>
        <v>637.73333400000001</v>
      </c>
      <c r="BH91" s="197">
        <f t="shared" si="212"/>
        <v>-68.983334000000013</v>
      </c>
      <c r="BI91" s="197">
        <f t="shared" si="213"/>
        <v>261.01666599999999</v>
      </c>
      <c r="BJ91" s="196">
        <f t="shared" si="236"/>
        <v>520.48681875710952</v>
      </c>
      <c r="BK91" s="197">
        <f t="shared" si="237"/>
        <v>301.99674758654265</v>
      </c>
      <c r="BL91" s="197">
        <f t="shared" si="238"/>
        <v>583.61634150158272</v>
      </c>
      <c r="BM91" s="197">
        <f t="shared" si="239"/>
        <v>-63.129522744473242</v>
      </c>
      <c r="BN91" s="199">
        <f t="shared" si="240"/>
        <v>238.86722484206942</v>
      </c>
      <c r="BO91" s="196">
        <f t="shared" si="266"/>
        <v>1072.671284776527</v>
      </c>
      <c r="BP91" s="197">
        <f t="shared" si="241"/>
        <v>1263.4417471152447</v>
      </c>
      <c r="BQ91" s="197">
        <f t="shared" si="241"/>
        <v>3301.5212788760755</v>
      </c>
      <c r="BR91" s="197">
        <f t="shared" si="241"/>
        <v>-2228.8499940995489</v>
      </c>
      <c r="BS91" s="199">
        <f t="shared" si="241"/>
        <v>-965.40824698430447</v>
      </c>
      <c r="BV91" s="204">
        <f t="shared" si="267"/>
        <v>4</v>
      </c>
      <c r="BW91" s="759">
        <f>'Energy NPV'!$D16*$BX$84</f>
        <v>52</v>
      </c>
      <c r="BX91" s="197">
        <f>'Energy margins'!$E$12</f>
        <v>43.75</v>
      </c>
      <c r="BY91" s="197">
        <f t="shared" si="268"/>
        <v>2275</v>
      </c>
      <c r="BZ91" s="197">
        <f>'Margins summary'!$Q$14</f>
        <v>330</v>
      </c>
      <c r="CA91" s="197">
        <f t="shared" si="242"/>
        <v>2605</v>
      </c>
      <c r="CB91" s="197"/>
      <c r="CC91" s="918">
        <f>'Energy NPV'!U16</f>
        <v>637.73333400000001</v>
      </c>
      <c r="CD91" s="197"/>
      <c r="CE91" s="197">
        <f t="shared" si="243"/>
        <v>637.73333400000001</v>
      </c>
      <c r="CF91" s="197">
        <f t="shared" si="214"/>
        <v>1637.266666</v>
      </c>
      <c r="CG91" s="197">
        <f t="shared" si="215"/>
        <v>1967.266666</v>
      </c>
      <c r="CH91" s="196">
        <f t="shared" si="244"/>
        <v>2081.9472750284381</v>
      </c>
      <c r="CI91" s="197">
        <f t="shared" si="245"/>
        <v>301.99674758654265</v>
      </c>
      <c r="CJ91" s="197">
        <f t="shared" si="246"/>
        <v>583.61634150158272</v>
      </c>
      <c r="CK91" s="197">
        <f t="shared" si="247"/>
        <v>1498.3309335268552</v>
      </c>
      <c r="CL91" s="199">
        <f t="shared" si="248"/>
        <v>1800.3276811133978</v>
      </c>
      <c r="CM91" s="196">
        <f t="shared" si="269"/>
        <v>4290.6851391061082</v>
      </c>
      <c r="CN91" s="197">
        <f t="shared" si="249"/>
        <v>1263.4417471152447</v>
      </c>
      <c r="CO91" s="197">
        <f t="shared" si="249"/>
        <v>3301.5212788760755</v>
      </c>
      <c r="CP91" s="197">
        <f t="shared" si="249"/>
        <v>989.16386023003179</v>
      </c>
      <c r="CQ91" s="199">
        <f t="shared" si="249"/>
        <v>2252.6056073452764</v>
      </c>
      <c r="CT91" s="204">
        <f t="shared" si="270"/>
        <v>4</v>
      </c>
      <c r="CU91" s="759">
        <f>'Energy NPV'!$D16*$CV$84</f>
        <v>0</v>
      </c>
      <c r="CV91" s="197">
        <f>'Energy margins'!$E$12</f>
        <v>43.75</v>
      </c>
      <c r="CW91" s="197">
        <f t="shared" si="271"/>
        <v>0</v>
      </c>
      <c r="CX91" s="197">
        <f>'Margins summary'!$Q$14</f>
        <v>330</v>
      </c>
      <c r="CY91" s="197">
        <f t="shared" si="250"/>
        <v>330</v>
      </c>
      <c r="CZ91" s="197"/>
      <c r="DA91" s="918">
        <f>'Energy NPV'!U16</f>
        <v>637.73333400000001</v>
      </c>
      <c r="DB91" s="197"/>
      <c r="DC91" s="197">
        <f t="shared" si="251"/>
        <v>637.73333400000001</v>
      </c>
      <c r="DD91" s="197">
        <f t="shared" si="216"/>
        <v>-637.73333400000001</v>
      </c>
      <c r="DE91" s="197">
        <f t="shared" si="217"/>
        <v>-307.73333400000001</v>
      </c>
      <c r="DF91" s="196">
        <f t="shared" si="252"/>
        <v>0</v>
      </c>
      <c r="DG91" s="197">
        <f t="shared" si="253"/>
        <v>301.99674758654265</v>
      </c>
      <c r="DH91" s="197">
        <f t="shared" si="254"/>
        <v>583.61634150158272</v>
      </c>
      <c r="DI91" s="197">
        <f t="shared" si="255"/>
        <v>-583.61634150158272</v>
      </c>
      <c r="DJ91" s="199">
        <f t="shared" si="256"/>
        <v>-281.61959391504007</v>
      </c>
      <c r="DK91" s="196">
        <f t="shared" si="272"/>
        <v>0</v>
      </c>
      <c r="DL91" s="197">
        <f t="shared" si="257"/>
        <v>1263.4417471152447</v>
      </c>
      <c r="DM91" s="197">
        <f t="shared" si="257"/>
        <v>3301.5212788760755</v>
      </c>
      <c r="DN91" s="197">
        <f t="shared" si="257"/>
        <v>-3301.5212788760755</v>
      </c>
      <c r="DO91" s="199">
        <f t="shared" si="257"/>
        <v>-2038.0795317608313</v>
      </c>
    </row>
    <row r="92" spans="2:119" x14ac:dyDescent="0.3">
      <c r="B92" s="204">
        <f t="shared" si="258"/>
        <v>5</v>
      </c>
      <c r="C92" s="759">
        <f>'Energy NPV'!$D17*$E$84</f>
        <v>0</v>
      </c>
      <c r="D92" s="197">
        <f>'Energy margins'!$E$12</f>
        <v>43.75</v>
      </c>
      <c r="E92" s="197">
        <f t="shared" si="259"/>
        <v>0</v>
      </c>
      <c r="F92" s="197">
        <f>'Margins summary'!$Q$14</f>
        <v>330</v>
      </c>
      <c r="G92" s="197">
        <f t="shared" si="218"/>
        <v>330</v>
      </c>
      <c r="H92" s="197"/>
      <c r="I92" s="918">
        <f>'Energy NPV'!U17</f>
        <v>0</v>
      </c>
      <c r="J92" s="197"/>
      <c r="K92" s="197">
        <f t="shared" si="219"/>
        <v>0</v>
      </c>
      <c r="L92" s="197">
        <f t="shared" si="208"/>
        <v>0</v>
      </c>
      <c r="M92" s="197">
        <f t="shared" si="209"/>
        <v>330</v>
      </c>
      <c r="N92" s="196">
        <f t="shared" si="220"/>
        <v>0</v>
      </c>
      <c r="O92" s="197">
        <f t="shared" si="221"/>
        <v>293.20072581217738</v>
      </c>
      <c r="P92" s="197">
        <f t="shared" si="222"/>
        <v>0</v>
      </c>
      <c r="Q92" s="197">
        <f t="shared" si="223"/>
        <v>0</v>
      </c>
      <c r="R92" s="199">
        <f t="shared" si="224"/>
        <v>293.20072581217738</v>
      </c>
      <c r="S92" s="196">
        <f t="shared" si="260"/>
        <v>2145.3425695530541</v>
      </c>
      <c r="T92" s="197">
        <f t="shared" si="225"/>
        <v>1556.642472927422</v>
      </c>
      <c r="U92" s="197">
        <f t="shared" si="225"/>
        <v>3301.5212788760755</v>
      </c>
      <c r="V92" s="197">
        <f t="shared" si="225"/>
        <v>-1156.1787093230223</v>
      </c>
      <c r="W92" s="199">
        <f t="shared" si="225"/>
        <v>400.46376360439996</v>
      </c>
      <c r="Z92" s="204">
        <f t="shared" si="261"/>
        <v>5</v>
      </c>
      <c r="AA92" s="759">
        <f>'Energy NPV'!$D17*$AB$84</f>
        <v>0</v>
      </c>
      <c r="AB92" s="197">
        <f>'Energy margins'!$E$12</f>
        <v>43.75</v>
      </c>
      <c r="AC92" s="197">
        <f t="shared" si="262"/>
        <v>0</v>
      </c>
      <c r="AD92" s="197">
        <f>'Margins summary'!$Q$14</f>
        <v>330</v>
      </c>
      <c r="AE92" s="197">
        <f t="shared" si="226"/>
        <v>330</v>
      </c>
      <c r="AF92" s="197"/>
      <c r="AG92" s="918">
        <f>'Energy NPV'!U17</f>
        <v>0</v>
      </c>
      <c r="AH92" s="197"/>
      <c r="AI92" s="197">
        <f t="shared" si="227"/>
        <v>0</v>
      </c>
      <c r="AJ92" s="197">
        <f t="shared" si="210"/>
        <v>0</v>
      </c>
      <c r="AK92" s="197">
        <f t="shared" si="211"/>
        <v>330</v>
      </c>
      <c r="AL92" s="196">
        <f t="shared" si="228"/>
        <v>0</v>
      </c>
      <c r="AM92" s="197">
        <f t="shared" si="229"/>
        <v>293.20072581217738</v>
      </c>
      <c r="AN92" s="197">
        <f t="shared" si="230"/>
        <v>0</v>
      </c>
      <c r="AO92" s="197">
        <f t="shared" si="231"/>
        <v>0</v>
      </c>
      <c r="AP92" s="199">
        <f t="shared" si="232"/>
        <v>293.20072581217738</v>
      </c>
      <c r="AQ92" s="196">
        <f t="shared" si="263"/>
        <v>3218.0138543295807</v>
      </c>
      <c r="AR92" s="197">
        <f t="shared" si="233"/>
        <v>1556.642472927422</v>
      </c>
      <c r="AS92" s="197">
        <f t="shared" si="233"/>
        <v>3301.5212788760755</v>
      </c>
      <c r="AT92" s="197">
        <f t="shared" si="233"/>
        <v>-83.507424546495145</v>
      </c>
      <c r="AU92" s="199">
        <f t="shared" si="233"/>
        <v>1473.1350483809269</v>
      </c>
      <c r="AX92" s="204">
        <f t="shared" si="264"/>
        <v>5</v>
      </c>
      <c r="AY92" s="759">
        <f>'Energy NPV'!$D17*$AZ$84</f>
        <v>0</v>
      </c>
      <c r="AZ92" s="197">
        <f>'Energy margins'!$E$12</f>
        <v>43.75</v>
      </c>
      <c r="BA92" s="197">
        <f t="shared" si="265"/>
        <v>0</v>
      </c>
      <c r="BB92" s="197">
        <f>'Margins summary'!$Q$14</f>
        <v>330</v>
      </c>
      <c r="BC92" s="197">
        <f t="shared" si="234"/>
        <v>330</v>
      </c>
      <c r="BD92" s="197"/>
      <c r="BE92" s="918">
        <f>'Energy NPV'!U17</f>
        <v>0</v>
      </c>
      <c r="BF92" s="197"/>
      <c r="BG92" s="197">
        <f t="shared" si="235"/>
        <v>0</v>
      </c>
      <c r="BH92" s="197">
        <f t="shared" si="212"/>
        <v>0</v>
      </c>
      <c r="BI92" s="197">
        <f t="shared" si="213"/>
        <v>330</v>
      </c>
      <c r="BJ92" s="196">
        <f t="shared" si="236"/>
        <v>0</v>
      </c>
      <c r="BK92" s="197">
        <f t="shared" si="237"/>
        <v>293.20072581217738</v>
      </c>
      <c r="BL92" s="197">
        <f t="shared" si="238"/>
        <v>0</v>
      </c>
      <c r="BM92" s="197">
        <f t="shared" si="239"/>
        <v>0</v>
      </c>
      <c r="BN92" s="199">
        <f t="shared" si="240"/>
        <v>293.20072581217738</v>
      </c>
      <c r="BO92" s="196">
        <f t="shared" si="266"/>
        <v>1072.671284776527</v>
      </c>
      <c r="BP92" s="197">
        <f t="shared" si="241"/>
        <v>1556.642472927422</v>
      </c>
      <c r="BQ92" s="197">
        <f t="shared" si="241"/>
        <v>3301.5212788760755</v>
      </c>
      <c r="BR92" s="197">
        <f t="shared" si="241"/>
        <v>-2228.8499940995489</v>
      </c>
      <c r="BS92" s="199">
        <f t="shared" si="241"/>
        <v>-672.20752117212714</v>
      </c>
      <c r="BV92" s="204">
        <f t="shared" si="267"/>
        <v>5</v>
      </c>
      <c r="BW92" s="759">
        <f>'Energy NPV'!$D17*$BX$84</f>
        <v>0</v>
      </c>
      <c r="BX92" s="197">
        <f>'Energy margins'!$E$12</f>
        <v>43.75</v>
      </c>
      <c r="BY92" s="197">
        <f t="shared" si="268"/>
        <v>0</v>
      </c>
      <c r="BZ92" s="197">
        <f>'Margins summary'!$Q$14</f>
        <v>330</v>
      </c>
      <c r="CA92" s="197">
        <f t="shared" si="242"/>
        <v>330</v>
      </c>
      <c r="CB92" s="197"/>
      <c r="CC92" s="918">
        <f>'Energy NPV'!U17</f>
        <v>0</v>
      </c>
      <c r="CD92" s="197"/>
      <c r="CE92" s="197">
        <f t="shared" si="243"/>
        <v>0</v>
      </c>
      <c r="CF92" s="197">
        <f t="shared" si="214"/>
        <v>0</v>
      </c>
      <c r="CG92" s="197">
        <f t="shared" si="215"/>
        <v>330</v>
      </c>
      <c r="CH92" s="196">
        <f t="shared" si="244"/>
        <v>0</v>
      </c>
      <c r="CI92" s="197">
        <f t="shared" si="245"/>
        <v>293.20072581217738</v>
      </c>
      <c r="CJ92" s="197">
        <f t="shared" si="246"/>
        <v>0</v>
      </c>
      <c r="CK92" s="197">
        <f t="shared" si="247"/>
        <v>0</v>
      </c>
      <c r="CL92" s="199">
        <f t="shared" si="248"/>
        <v>293.20072581217738</v>
      </c>
      <c r="CM92" s="196">
        <f t="shared" si="269"/>
        <v>4290.6851391061082</v>
      </c>
      <c r="CN92" s="197">
        <f t="shared" si="249"/>
        <v>1556.642472927422</v>
      </c>
      <c r="CO92" s="197">
        <f t="shared" si="249"/>
        <v>3301.5212788760755</v>
      </c>
      <c r="CP92" s="197">
        <f t="shared" si="249"/>
        <v>989.16386023003179</v>
      </c>
      <c r="CQ92" s="199">
        <f t="shared" si="249"/>
        <v>2545.806333157454</v>
      </c>
      <c r="CT92" s="204">
        <f t="shared" si="270"/>
        <v>5</v>
      </c>
      <c r="CU92" s="759">
        <f>'Energy NPV'!$D17*$CV$84</f>
        <v>0</v>
      </c>
      <c r="CV92" s="197">
        <f>'Energy margins'!$E$12</f>
        <v>43.75</v>
      </c>
      <c r="CW92" s="197">
        <f t="shared" si="271"/>
        <v>0</v>
      </c>
      <c r="CX92" s="197">
        <f>'Margins summary'!$Q$14</f>
        <v>330</v>
      </c>
      <c r="CY92" s="197">
        <f t="shared" si="250"/>
        <v>330</v>
      </c>
      <c r="CZ92" s="197"/>
      <c r="DA92" s="918">
        <f>'Energy NPV'!U17</f>
        <v>0</v>
      </c>
      <c r="DB92" s="197"/>
      <c r="DC92" s="197">
        <f t="shared" si="251"/>
        <v>0</v>
      </c>
      <c r="DD92" s="197">
        <f t="shared" si="216"/>
        <v>0</v>
      </c>
      <c r="DE92" s="197">
        <f t="shared" si="217"/>
        <v>330</v>
      </c>
      <c r="DF92" s="196">
        <f t="shared" si="252"/>
        <v>0</v>
      </c>
      <c r="DG92" s="197">
        <f t="shared" si="253"/>
        <v>293.20072581217738</v>
      </c>
      <c r="DH92" s="197">
        <f t="shared" si="254"/>
        <v>0</v>
      </c>
      <c r="DI92" s="197">
        <f t="shared" si="255"/>
        <v>0</v>
      </c>
      <c r="DJ92" s="199">
        <f t="shared" si="256"/>
        <v>293.20072581217738</v>
      </c>
      <c r="DK92" s="196">
        <f t="shared" si="272"/>
        <v>0</v>
      </c>
      <c r="DL92" s="197">
        <f t="shared" si="257"/>
        <v>1556.642472927422</v>
      </c>
      <c r="DM92" s="197">
        <f t="shared" si="257"/>
        <v>3301.5212788760755</v>
      </c>
      <c r="DN92" s="197">
        <f t="shared" si="257"/>
        <v>-3301.5212788760755</v>
      </c>
      <c r="DO92" s="199">
        <f t="shared" si="257"/>
        <v>-1744.878805948654</v>
      </c>
    </row>
    <row r="93" spans="2:119" x14ac:dyDescent="0.3">
      <c r="B93" s="204">
        <f t="shared" si="258"/>
        <v>6</v>
      </c>
      <c r="C93" s="759">
        <f>'Energy NPV'!$D18*$E$84</f>
        <v>26</v>
      </c>
      <c r="D93" s="197">
        <f>'Energy margins'!$E$12</f>
        <v>43.75</v>
      </c>
      <c r="E93" s="197">
        <f t="shared" si="259"/>
        <v>1137.5</v>
      </c>
      <c r="F93" s="197">
        <f>'Margins summary'!$Q$14</f>
        <v>330</v>
      </c>
      <c r="G93" s="197">
        <f t="shared" si="218"/>
        <v>1467.5</v>
      </c>
      <c r="H93" s="197"/>
      <c r="I93" s="918">
        <f>'Energy NPV'!U18</f>
        <v>637.73333400000001</v>
      </c>
      <c r="J93" s="197"/>
      <c r="K93" s="197">
        <f t="shared" si="219"/>
        <v>637.73333400000001</v>
      </c>
      <c r="L93" s="197">
        <f t="shared" si="208"/>
        <v>499.76666599999999</v>
      </c>
      <c r="M93" s="197">
        <f t="shared" si="209"/>
        <v>829.76666599999999</v>
      </c>
      <c r="N93" s="196">
        <f t="shared" si="220"/>
        <v>981.21749223698669</v>
      </c>
      <c r="O93" s="197">
        <f t="shared" si="221"/>
        <v>284.66089884677416</v>
      </c>
      <c r="P93" s="197">
        <f t="shared" si="222"/>
        <v>550.11437600300007</v>
      </c>
      <c r="Q93" s="197">
        <f t="shared" si="223"/>
        <v>431.10311623398655</v>
      </c>
      <c r="R93" s="199">
        <f t="shared" si="224"/>
        <v>715.76401508076071</v>
      </c>
      <c r="S93" s="196">
        <f t="shared" si="260"/>
        <v>3126.5600617900409</v>
      </c>
      <c r="T93" s="197">
        <f t="shared" si="225"/>
        <v>1841.3033717741962</v>
      </c>
      <c r="U93" s="197">
        <f t="shared" si="225"/>
        <v>3851.6356548790754</v>
      </c>
      <c r="V93" s="197">
        <f t="shared" si="225"/>
        <v>-725.07559308903569</v>
      </c>
      <c r="W93" s="199">
        <f t="shared" si="225"/>
        <v>1116.2277786851607</v>
      </c>
      <c r="Z93" s="204">
        <f t="shared" si="261"/>
        <v>6</v>
      </c>
      <c r="AA93" s="759">
        <f>'Energy NPV'!$D18*$AB$84</f>
        <v>39</v>
      </c>
      <c r="AB93" s="197">
        <f>'Energy margins'!$E$12</f>
        <v>43.75</v>
      </c>
      <c r="AC93" s="197">
        <f t="shared" si="262"/>
        <v>1706.25</v>
      </c>
      <c r="AD93" s="197">
        <f>'Margins summary'!$Q$14</f>
        <v>330</v>
      </c>
      <c r="AE93" s="197">
        <f t="shared" si="226"/>
        <v>2036.25</v>
      </c>
      <c r="AF93" s="197"/>
      <c r="AG93" s="918">
        <f>'Energy NPV'!U18</f>
        <v>637.73333400000001</v>
      </c>
      <c r="AH93" s="197"/>
      <c r="AI93" s="197">
        <f t="shared" si="227"/>
        <v>637.73333400000001</v>
      </c>
      <c r="AJ93" s="197">
        <f t="shared" si="210"/>
        <v>1068.516666</v>
      </c>
      <c r="AK93" s="197">
        <f t="shared" si="211"/>
        <v>1398.516666</v>
      </c>
      <c r="AL93" s="196">
        <f t="shared" si="228"/>
        <v>1471.82623835548</v>
      </c>
      <c r="AM93" s="197">
        <f t="shared" si="229"/>
        <v>284.66089884677416</v>
      </c>
      <c r="AN93" s="197">
        <f t="shared" si="230"/>
        <v>550.11437600300007</v>
      </c>
      <c r="AO93" s="197">
        <f t="shared" si="231"/>
        <v>921.7118623524799</v>
      </c>
      <c r="AP93" s="199">
        <f t="shared" si="232"/>
        <v>1206.372761199254</v>
      </c>
      <c r="AQ93" s="196">
        <f t="shared" si="263"/>
        <v>4689.8400926850609</v>
      </c>
      <c r="AR93" s="197">
        <f t="shared" si="233"/>
        <v>1841.3033717741962</v>
      </c>
      <c r="AS93" s="197">
        <f t="shared" si="233"/>
        <v>3851.6356548790754</v>
      </c>
      <c r="AT93" s="197">
        <f t="shared" si="233"/>
        <v>838.20443780598475</v>
      </c>
      <c r="AU93" s="199">
        <f t="shared" si="233"/>
        <v>2679.5078095801809</v>
      </c>
      <c r="AX93" s="204">
        <f t="shared" si="264"/>
        <v>6</v>
      </c>
      <c r="AY93" s="759">
        <f>'Energy NPV'!$D18*$AZ$84</f>
        <v>13</v>
      </c>
      <c r="AZ93" s="197">
        <f>'Energy margins'!$E$12</f>
        <v>43.75</v>
      </c>
      <c r="BA93" s="197">
        <f t="shared" si="265"/>
        <v>568.75</v>
      </c>
      <c r="BB93" s="197">
        <f>'Margins summary'!$Q$14</f>
        <v>330</v>
      </c>
      <c r="BC93" s="197">
        <f t="shared" si="234"/>
        <v>898.75</v>
      </c>
      <c r="BD93" s="197"/>
      <c r="BE93" s="918">
        <f>'Energy NPV'!U18</f>
        <v>637.73333400000001</v>
      </c>
      <c r="BF93" s="197"/>
      <c r="BG93" s="197">
        <f t="shared" si="235"/>
        <v>637.73333400000001</v>
      </c>
      <c r="BH93" s="197">
        <f t="shared" si="212"/>
        <v>-68.983334000000013</v>
      </c>
      <c r="BI93" s="197">
        <f t="shared" si="213"/>
        <v>261.01666599999999</v>
      </c>
      <c r="BJ93" s="196">
        <f t="shared" si="236"/>
        <v>490.60874611849334</v>
      </c>
      <c r="BK93" s="197">
        <f t="shared" si="237"/>
        <v>284.66089884677416</v>
      </c>
      <c r="BL93" s="197">
        <f t="shared" si="238"/>
        <v>550.11437600300007</v>
      </c>
      <c r="BM93" s="197">
        <f t="shared" si="239"/>
        <v>-59.505629884506789</v>
      </c>
      <c r="BN93" s="199">
        <f t="shared" si="240"/>
        <v>225.15526896226737</v>
      </c>
      <c r="BO93" s="196">
        <f t="shared" si="266"/>
        <v>1563.2800308950204</v>
      </c>
      <c r="BP93" s="197">
        <f t="shared" si="241"/>
        <v>1841.3033717741962</v>
      </c>
      <c r="BQ93" s="197">
        <f t="shared" si="241"/>
        <v>3851.6356548790754</v>
      </c>
      <c r="BR93" s="197">
        <f t="shared" si="241"/>
        <v>-2288.3556239840555</v>
      </c>
      <c r="BS93" s="199">
        <f t="shared" si="241"/>
        <v>-447.05225220985977</v>
      </c>
      <c r="BV93" s="204">
        <f t="shared" si="267"/>
        <v>6</v>
      </c>
      <c r="BW93" s="759">
        <f>'Energy NPV'!$D18*$BX$84</f>
        <v>52</v>
      </c>
      <c r="BX93" s="197">
        <f>'Energy margins'!$E$12</f>
        <v>43.75</v>
      </c>
      <c r="BY93" s="197">
        <f t="shared" si="268"/>
        <v>2275</v>
      </c>
      <c r="BZ93" s="197">
        <f>'Margins summary'!$Q$14</f>
        <v>330</v>
      </c>
      <c r="CA93" s="197">
        <f t="shared" si="242"/>
        <v>2605</v>
      </c>
      <c r="CB93" s="197"/>
      <c r="CC93" s="918">
        <f>'Energy NPV'!U18</f>
        <v>637.73333400000001</v>
      </c>
      <c r="CD93" s="197"/>
      <c r="CE93" s="197">
        <f t="shared" si="243"/>
        <v>637.73333400000001</v>
      </c>
      <c r="CF93" s="197">
        <f t="shared" si="214"/>
        <v>1637.266666</v>
      </c>
      <c r="CG93" s="197">
        <f t="shared" si="215"/>
        <v>1967.266666</v>
      </c>
      <c r="CH93" s="196">
        <f t="shared" si="244"/>
        <v>1962.4349844739734</v>
      </c>
      <c r="CI93" s="197">
        <f t="shared" si="245"/>
        <v>284.66089884677416</v>
      </c>
      <c r="CJ93" s="197">
        <f t="shared" si="246"/>
        <v>550.11437600300007</v>
      </c>
      <c r="CK93" s="197">
        <f t="shared" si="247"/>
        <v>1412.3206084709732</v>
      </c>
      <c r="CL93" s="199">
        <f t="shared" si="248"/>
        <v>1696.9815073177474</v>
      </c>
      <c r="CM93" s="196">
        <f t="shared" si="269"/>
        <v>6253.1201235800818</v>
      </c>
      <c r="CN93" s="197">
        <f t="shared" si="249"/>
        <v>1841.3033717741962</v>
      </c>
      <c r="CO93" s="197">
        <f t="shared" si="249"/>
        <v>3851.6356548790754</v>
      </c>
      <c r="CP93" s="197">
        <f t="shared" si="249"/>
        <v>2401.484468701005</v>
      </c>
      <c r="CQ93" s="199">
        <f t="shared" si="249"/>
        <v>4242.7878404752009</v>
      </c>
      <c r="CT93" s="204">
        <f t="shared" si="270"/>
        <v>6</v>
      </c>
      <c r="CU93" s="759">
        <f>'Energy NPV'!$D18*$CV$84</f>
        <v>0</v>
      </c>
      <c r="CV93" s="197">
        <f>'Energy margins'!$E$12</f>
        <v>43.75</v>
      </c>
      <c r="CW93" s="197">
        <f t="shared" si="271"/>
        <v>0</v>
      </c>
      <c r="CX93" s="197">
        <f>'Margins summary'!$Q$14</f>
        <v>330</v>
      </c>
      <c r="CY93" s="197">
        <f t="shared" si="250"/>
        <v>330</v>
      </c>
      <c r="CZ93" s="197"/>
      <c r="DA93" s="918">
        <f>'Energy NPV'!U18</f>
        <v>637.73333400000001</v>
      </c>
      <c r="DB93" s="197"/>
      <c r="DC93" s="197">
        <f t="shared" si="251"/>
        <v>637.73333400000001</v>
      </c>
      <c r="DD93" s="197">
        <f t="shared" si="216"/>
        <v>-637.73333400000001</v>
      </c>
      <c r="DE93" s="197">
        <f t="shared" si="217"/>
        <v>-307.73333400000001</v>
      </c>
      <c r="DF93" s="196">
        <f t="shared" si="252"/>
        <v>0</v>
      </c>
      <c r="DG93" s="197">
        <f t="shared" si="253"/>
        <v>284.66089884677416</v>
      </c>
      <c r="DH93" s="197">
        <f t="shared" si="254"/>
        <v>550.11437600300007</v>
      </c>
      <c r="DI93" s="197">
        <f t="shared" si="255"/>
        <v>-550.11437600300007</v>
      </c>
      <c r="DJ93" s="199">
        <f t="shared" si="256"/>
        <v>-265.45347715622597</v>
      </c>
      <c r="DK93" s="196">
        <f t="shared" si="272"/>
        <v>0</v>
      </c>
      <c r="DL93" s="197">
        <f t="shared" si="257"/>
        <v>1841.3033717741962</v>
      </c>
      <c r="DM93" s="197">
        <f t="shared" si="257"/>
        <v>3851.6356548790754</v>
      </c>
      <c r="DN93" s="197">
        <f t="shared" si="257"/>
        <v>-3851.6356548790754</v>
      </c>
      <c r="DO93" s="199">
        <f t="shared" si="257"/>
        <v>-2010.3322831048799</v>
      </c>
    </row>
    <row r="94" spans="2:119" x14ac:dyDescent="0.3">
      <c r="B94" s="204">
        <f t="shared" si="258"/>
        <v>7</v>
      </c>
      <c r="C94" s="759">
        <f>'Energy NPV'!$D19*$E$84</f>
        <v>0</v>
      </c>
      <c r="D94" s="197">
        <f>'Energy margins'!$E$12</f>
        <v>43.75</v>
      </c>
      <c r="E94" s="197">
        <f t="shared" si="259"/>
        <v>0</v>
      </c>
      <c r="F94" s="197">
        <f>'Margins summary'!$Q$14</f>
        <v>330</v>
      </c>
      <c r="G94" s="197">
        <f t="shared" si="218"/>
        <v>330</v>
      </c>
      <c r="H94" s="197"/>
      <c r="I94" s="918">
        <f>'Energy NPV'!U19</f>
        <v>0</v>
      </c>
      <c r="J94" s="197"/>
      <c r="K94" s="197">
        <f t="shared" si="219"/>
        <v>0</v>
      </c>
      <c r="L94" s="197">
        <f t="shared" si="208"/>
        <v>0</v>
      </c>
      <c r="M94" s="197">
        <f t="shared" si="209"/>
        <v>330</v>
      </c>
      <c r="N94" s="196">
        <f t="shared" si="220"/>
        <v>0</v>
      </c>
      <c r="O94" s="197">
        <f t="shared" si="221"/>
        <v>276.36980470560593</v>
      </c>
      <c r="P94" s="197">
        <f t="shared" si="222"/>
        <v>0</v>
      </c>
      <c r="Q94" s="197">
        <f t="shared" si="223"/>
        <v>0</v>
      </c>
      <c r="R94" s="199">
        <f t="shared" si="224"/>
        <v>276.36980470560593</v>
      </c>
      <c r="S94" s="196">
        <f t="shared" si="260"/>
        <v>3126.5600617900409</v>
      </c>
      <c r="T94" s="197">
        <f t="shared" si="225"/>
        <v>2117.6731764798024</v>
      </c>
      <c r="U94" s="197">
        <f t="shared" si="225"/>
        <v>3851.6356548790754</v>
      </c>
      <c r="V94" s="197">
        <f t="shared" si="225"/>
        <v>-725.07559308903569</v>
      </c>
      <c r="W94" s="199">
        <f t="shared" si="225"/>
        <v>1392.5975833907667</v>
      </c>
      <c r="Z94" s="204">
        <f t="shared" si="261"/>
        <v>7</v>
      </c>
      <c r="AA94" s="759">
        <f>'Energy NPV'!$D19*$AB$84</f>
        <v>0</v>
      </c>
      <c r="AB94" s="197">
        <f>'Energy margins'!$E$12</f>
        <v>43.75</v>
      </c>
      <c r="AC94" s="197">
        <f t="shared" si="262"/>
        <v>0</v>
      </c>
      <c r="AD94" s="197">
        <f>'Margins summary'!$Q$14</f>
        <v>330</v>
      </c>
      <c r="AE94" s="197">
        <f t="shared" si="226"/>
        <v>330</v>
      </c>
      <c r="AF94" s="197"/>
      <c r="AG94" s="918">
        <f>'Energy NPV'!U19</f>
        <v>0</v>
      </c>
      <c r="AH94" s="197"/>
      <c r="AI94" s="197">
        <f t="shared" si="227"/>
        <v>0</v>
      </c>
      <c r="AJ94" s="197">
        <f t="shared" si="210"/>
        <v>0</v>
      </c>
      <c r="AK94" s="197">
        <f t="shared" si="211"/>
        <v>330</v>
      </c>
      <c r="AL94" s="196">
        <f t="shared" si="228"/>
        <v>0</v>
      </c>
      <c r="AM94" s="197">
        <f t="shared" si="229"/>
        <v>276.36980470560593</v>
      </c>
      <c r="AN94" s="197">
        <f t="shared" si="230"/>
        <v>0</v>
      </c>
      <c r="AO94" s="197">
        <f t="shared" si="231"/>
        <v>0</v>
      </c>
      <c r="AP94" s="199">
        <f t="shared" si="232"/>
        <v>276.36980470560593</v>
      </c>
      <c r="AQ94" s="196">
        <f t="shared" si="263"/>
        <v>4689.8400926850609</v>
      </c>
      <c r="AR94" s="197">
        <f t="shared" si="233"/>
        <v>2117.6731764798024</v>
      </c>
      <c r="AS94" s="197">
        <f t="shared" si="233"/>
        <v>3851.6356548790754</v>
      </c>
      <c r="AT94" s="197">
        <f t="shared" si="233"/>
        <v>838.20443780598475</v>
      </c>
      <c r="AU94" s="199">
        <f t="shared" si="233"/>
        <v>2955.8776142857869</v>
      </c>
      <c r="AX94" s="204">
        <f t="shared" si="264"/>
        <v>7</v>
      </c>
      <c r="AY94" s="759">
        <f>'Energy NPV'!$D19*$AZ$84</f>
        <v>0</v>
      </c>
      <c r="AZ94" s="197">
        <f>'Energy margins'!$E$12</f>
        <v>43.75</v>
      </c>
      <c r="BA94" s="197">
        <f t="shared" si="265"/>
        <v>0</v>
      </c>
      <c r="BB94" s="197">
        <f>'Margins summary'!$Q$14</f>
        <v>330</v>
      </c>
      <c r="BC94" s="197">
        <f t="shared" si="234"/>
        <v>330</v>
      </c>
      <c r="BD94" s="197"/>
      <c r="BE94" s="918">
        <f>'Energy NPV'!U19</f>
        <v>0</v>
      </c>
      <c r="BF94" s="197"/>
      <c r="BG94" s="197">
        <f t="shared" si="235"/>
        <v>0</v>
      </c>
      <c r="BH94" s="197">
        <f t="shared" si="212"/>
        <v>0</v>
      </c>
      <c r="BI94" s="197">
        <f t="shared" si="213"/>
        <v>330</v>
      </c>
      <c r="BJ94" s="196">
        <f t="shared" si="236"/>
        <v>0</v>
      </c>
      <c r="BK94" s="197">
        <f t="shared" si="237"/>
        <v>276.36980470560593</v>
      </c>
      <c r="BL94" s="197">
        <f t="shared" si="238"/>
        <v>0</v>
      </c>
      <c r="BM94" s="197">
        <f t="shared" si="239"/>
        <v>0</v>
      </c>
      <c r="BN94" s="199">
        <f t="shared" si="240"/>
        <v>276.36980470560593</v>
      </c>
      <c r="BO94" s="196">
        <f t="shared" si="266"/>
        <v>1563.2800308950204</v>
      </c>
      <c r="BP94" s="197">
        <f t="shared" si="241"/>
        <v>2117.6731764798024</v>
      </c>
      <c r="BQ94" s="197">
        <f t="shared" si="241"/>
        <v>3851.6356548790754</v>
      </c>
      <c r="BR94" s="197">
        <f t="shared" si="241"/>
        <v>-2288.3556239840555</v>
      </c>
      <c r="BS94" s="199">
        <f t="shared" si="241"/>
        <v>-170.68244750425384</v>
      </c>
      <c r="BV94" s="204">
        <f t="shared" si="267"/>
        <v>7</v>
      </c>
      <c r="BW94" s="759">
        <f>'Energy NPV'!$D19*$BX$84</f>
        <v>0</v>
      </c>
      <c r="BX94" s="197">
        <f>'Energy margins'!$E$12</f>
        <v>43.75</v>
      </c>
      <c r="BY94" s="197">
        <f t="shared" si="268"/>
        <v>0</v>
      </c>
      <c r="BZ94" s="197">
        <f>'Margins summary'!$Q$14</f>
        <v>330</v>
      </c>
      <c r="CA94" s="197">
        <f t="shared" si="242"/>
        <v>330</v>
      </c>
      <c r="CB94" s="197"/>
      <c r="CC94" s="918">
        <f>'Energy NPV'!U19</f>
        <v>0</v>
      </c>
      <c r="CD94" s="197"/>
      <c r="CE94" s="197">
        <f t="shared" si="243"/>
        <v>0</v>
      </c>
      <c r="CF94" s="197">
        <f t="shared" si="214"/>
        <v>0</v>
      </c>
      <c r="CG94" s="197">
        <f t="shared" si="215"/>
        <v>330</v>
      </c>
      <c r="CH94" s="196">
        <f t="shared" si="244"/>
        <v>0</v>
      </c>
      <c r="CI94" s="197">
        <f t="shared" si="245"/>
        <v>276.36980470560593</v>
      </c>
      <c r="CJ94" s="197">
        <f t="shared" si="246"/>
        <v>0</v>
      </c>
      <c r="CK94" s="197">
        <f t="shared" si="247"/>
        <v>0</v>
      </c>
      <c r="CL94" s="199">
        <f t="shared" si="248"/>
        <v>276.36980470560593</v>
      </c>
      <c r="CM94" s="196">
        <f t="shared" si="269"/>
        <v>6253.1201235800818</v>
      </c>
      <c r="CN94" s="197">
        <f t="shared" si="249"/>
        <v>2117.6731764798024</v>
      </c>
      <c r="CO94" s="197">
        <f t="shared" si="249"/>
        <v>3851.6356548790754</v>
      </c>
      <c r="CP94" s="197">
        <f t="shared" si="249"/>
        <v>2401.484468701005</v>
      </c>
      <c r="CQ94" s="199">
        <f t="shared" si="249"/>
        <v>4519.1576451808069</v>
      </c>
      <c r="CT94" s="204">
        <f t="shared" si="270"/>
        <v>7</v>
      </c>
      <c r="CU94" s="759">
        <f>'Energy NPV'!$D19*$CV$84</f>
        <v>0</v>
      </c>
      <c r="CV94" s="197">
        <f>'Energy margins'!$E$12</f>
        <v>43.75</v>
      </c>
      <c r="CW94" s="197">
        <f t="shared" si="271"/>
        <v>0</v>
      </c>
      <c r="CX94" s="197">
        <f>'Margins summary'!$Q$14</f>
        <v>330</v>
      </c>
      <c r="CY94" s="197">
        <f t="shared" si="250"/>
        <v>330</v>
      </c>
      <c r="CZ94" s="197"/>
      <c r="DA94" s="918">
        <f>'Energy NPV'!U19</f>
        <v>0</v>
      </c>
      <c r="DB94" s="197"/>
      <c r="DC94" s="197">
        <f t="shared" si="251"/>
        <v>0</v>
      </c>
      <c r="DD94" s="197">
        <f t="shared" si="216"/>
        <v>0</v>
      </c>
      <c r="DE94" s="197">
        <f t="shared" si="217"/>
        <v>330</v>
      </c>
      <c r="DF94" s="196">
        <f t="shared" si="252"/>
        <v>0</v>
      </c>
      <c r="DG94" s="197">
        <f t="shared" si="253"/>
        <v>276.36980470560593</v>
      </c>
      <c r="DH94" s="197">
        <f t="shared" si="254"/>
        <v>0</v>
      </c>
      <c r="DI94" s="197">
        <f t="shared" si="255"/>
        <v>0</v>
      </c>
      <c r="DJ94" s="199">
        <f t="shared" si="256"/>
        <v>276.36980470560593</v>
      </c>
      <c r="DK94" s="196">
        <f t="shared" si="272"/>
        <v>0</v>
      </c>
      <c r="DL94" s="197">
        <f t="shared" si="257"/>
        <v>2117.6731764798024</v>
      </c>
      <c r="DM94" s="197">
        <f t="shared" si="257"/>
        <v>3851.6356548790754</v>
      </c>
      <c r="DN94" s="197">
        <f t="shared" si="257"/>
        <v>-3851.6356548790754</v>
      </c>
      <c r="DO94" s="199">
        <f t="shared" si="257"/>
        <v>-1733.962478399274</v>
      </c>
    </row>
    <row r="95" spans="2:119" x14ac:dyDescent="0.3">
      <c r="B95" s="204">
        <f t="shared" si="258"/>
        <v>8</v>
      </c>
      <c r="C95" s="759">
        <f>'Energy NPV'!$D20*$E$84</f>
        <v>26</v>
      </c>
      <c r="D95" s="197">
        <f>'Energy margins'!$E$12</f>
        <v>43.75</v>
      </c>
      <c r="E95" s="197">
        <f t="shared" si="259"/>
        <v>1137.5</v>
      </c>
      <c r="F95" s="197">
        <f>'Margins summary'!$Q$14</f>
        <v>330</v>
      </c>
      <c r="G95" s="197">
        <f t="shared" si="218"/>
        <v>1467.5</v>
      </c>
      <c r="H95" s="197"/>
      <c r="I95" s="918">
        <f>'Energy NPV'!U20</f>
        <v>637.73333400000001</v>
      </c>
      <c r="J95" s="197"/>
      <c r="K95" s="197">
        <f t="shared" si="219"/>
        <v>637.73333400000001</v>
      </c>
      <c r="L95" s="197">
        <f t="shared" si="208"/>
        <v>499.76666599999999</v>
      </c>
      <c r="M95" s="197">
        <f t="shared" si="209"/>
        <v>829.76666599999999</v>
      </c>
      <c r="N95" s="196">
        <f t="shared" si="220"/>
        <v>924.89159415306494</v>
      </c>
      <c r="O95" s="197">
        <f t="shared" si="221"/>
        <v>268.32019874330672</v>
      </c>
      <c r="P95" s="197">
        <f t="shared" si="222"/>
        <v>518.53556037609587</v>
      </c>
      <c r="Q95" s="197">
        <f t="shared" si="223"/>
        <v>406.35603377696907</v>
      </c>
      <c r="R95" s="199">
        <f t="shared" si="224"/>
        <v>674.67623252027579</v>
      </c>
      <c r="S95" s="196">
        <f t="shared" si="260"/>
        <v>4051.4516559431058</v>
      </c>
      <c r="T95" s="197">
        <f t="shared" si="225"/>
        <v>2385.9933752231091</v>
      </c>
      <c r="U95" s="197">
        <f t="shared" si="225"/>
        <v>4370.1712152551718</v>
      </c>
      <c r="V95" s="197">
        <f t="shared" si="225"/>
        <v>-318.71955931206662</v>
      </c>
      <c r="W95" s="199">
        <f t="shared" si="225"/>
        <v>2067.2738159110422</v>
      </c>
      <c r="Z95" s="204">
        <f t="shared" si="261"/>
        <v>8</v>
      </c>
      <c r="AA95" s="759">
        <f>'Energy NPV'!$D20*$AB$84</f>
        <v>39</v>
      </c>
      <c r="AB95" s="197">
        <f>'Energy margins'!$E$12</f>
        <v>43.75</v>
      </c>
      <c r="AC95" s="197">
        <f t="shared" si="262"/>
        <v>1706.25</v>
      </c>
      <c r="AD95" s="197">
        <f>'Margins summary'!$Q$14</f>
        <v>330</v>
      </c>
      <c r="AE95" s="197">
        <f t="shared" si="226"/>
        <v>2036.25</v>
      </c>
      <c r="AF95" s="197"/>
      <c r="AG95" s="918">
        <f>'Energy NPV'!U20</f>
        <v>637.73333400000001</v>
      </c>
      <c r="AH95" s="197"/>
      <c r="AI95" s="197">
        <f t="shared" si="227"/>
        <v>637.73333400000001</v>
      </c>
      <c r="AJ95" s="197">
        <f t="shared" si="210"/>
        <v>1068.516666</v>
      </c>
      <c r="AK95" s="197">
        <f t="shared" si="211"/>
        <v>1398.516666</v>
      </c>
      <c r="AL95" s="196">
        <f t="shared" si="228"/>
        <v>1387.3373912295974</v>
      </c>
      <c r="AM95" s="197">
        <f t="shared" si="229"/>
        <v>268.32019874330672</v>
      </c>
      <c r="AN95" s="197">
        <f t="shared" si="230"/>
        <v>518.53556037609587</v>
      </c>
      <c r="AO95" s="197">
        <f t="shared" si="231"/>
        <v>868.80183085350154</v>
      </c>
      <c r="AP95" s="199">
        <f t="shared" si="232"/>
        <v>1137.1220295968083</v>
      </c>
      <c r="AQ95" s="196">
        <f t="shared" si="263"/>
        <v>6077.1774839146583</v>
      </c>
      <c r="AR95" s="197">
        <f t="shared" si="233"/>
        <v>2385.9933752231091</v>
      </c>
      <c r="AS95" s="197">
        <f t="shared" si="233"/>
        <v>4370.1712152551718</v>
      </c>
      <c r="AT95" s="197">
        <f t="shared" si="233"/>
        <v>1707.0062686594863</v>
      </c>
      <c r="AU95" s="199">
        <f t="shared" si="233"/>
        <v>4092.9996438825951</v>
      </c>
      <c r="AX95" s="204">
        <f t="shared" si="264"/>
        <v>8</v>
      </c>
      <c r="AY95" s="759">
        <f>'Energy NPV'!$D20*$AZ$84</f>
        <v>13</v>
      </c>
      <c r="AZ95" s="197">
        <f>'Energy margins'!$E$12</f>
        <v>43.75</v>
      </c>
      <c r="BA95" s="197">
        <f t="shared" si="265"/>
        <v>568.75</v>
      </c>
      <c r="BB95" s="197">
        <f>'Margins summary'!$Q$14</f>
        <v>330</v>
      </c>
      <c r="BC95" s="197">
        <f t="shared" si="234"/>
        <v>898.75</v>
      </c>
      <c r="BD95" s="197"/>
      <c r="BE95" s="918">
        <f>'Energy NPV'!U20</f>
        <v>637.73333400000001</v>
      </c>
      <c r="BF95" s="197"/>
      <c r="BG95" s="197">
        <f t="shared" si="235"/>
        <v>637.73333400000001</v>
      </c>
      <c r="BH95" s="197">
        <f t="shared" si="212"/>
        <v>-68.983334000000013</v>
      </c>
      <c r="BI95" s="197">
        <f t="shared" si="213"/>
        <v>261.01666599999999</v>
      </c>
      <c r="BJ95" s="196">
        <f t="shared" si="236"/>
        <v>462.44579707653247</v>
      </c>
      <c r="BK95" s="197">
        <f t="shared" si="237"/>
        <v>268.32019874330672</v>
      </c>
      <c r="BL95" s="197">
        <f t="shared" si="238"/>
        <v>518.53556037609587</v>
      </c>
      <c r="BM95" s="197">
        <f t="shared" si="239"/>
        <v>-56.089763299563373</v>
      </c>
      <c r="BN95" s="199">
        <f t="shared" si="240"/>
        <v>212.23043544374337</v>
      </c>
      <c r="BO95" s="196">
        <f t="shared" si="266"/>
        <v>2025.7258279715529</v>
      </c>
      <c r="BP95" s="197">
        <f t="shared" si="241"/>
        <v>2385.9933752231091</v>
      </c>
      <c r="BQ95" s="197">
        <f t="shared" si="241"/>
        <v>4370.1712152551718</v>
      </c>
      <c r="BR95" s="197">
        <f t="shared" si="241"/>
        <v>-2344.4453872836189</v>
      </c>
      <c r="BS95" s="199">
        <f t="shared" si="241"/>
        <v>41.547987939489531</v>
      </c>
      <c r="BV95" s="204">
        <f t="shared" si="267"/>
        <v>8</v>
      </c>
      <c r="BW95" s="759">
        <f>'Energy NPV'!$D20*$BX$84</f>
        <v>52</v>
      </c>
      <c r="BX95" s="197">
        <f>'Energy margins'!$E$12</f>
        <v>43.75</v>
      </c>
      <c r="BY95" s="197">
        <f t="shared" si="268"/>
        <v>2275</v>
      </c>
      <c r="BZ95" s="197">
        <f>'Margins summary'!$Q$14</f>
        <v>330</v>
      </c>
      <c r="CA95" s="197">
        <f t="shared" si="242"/>
        <v>2605</v>
      </c>
      <c r="CB95" s="197"/>
      <c r="CC95" s="918">
        <f>'Energy NPV'!U20</f>
        <v>637.73333400000001</v>
      </c>
      <c r="CD95" s="197"/>
      <c r="CE95" s="197">
        <f t="shared" si="243"/>
        <v>637.73333400000001</v>
      </c>
      <c r="CF95" s="197">
        <f t="shared" si="214"/>
        <v>1637.266666</v>
      </c>
      <c r="CG95" s="197">
        <f t="shared" si="215"/>
        <v>1967.266666</v>
      </c>
      <c r="CH95" s="196">
        <f t="shared" si="244"/>
        <v>1849.7831883061299</v>
      </c>
      <c r="CI95" s="197">
        <f t="shared" si="245"/>
        <v>268.32019874330672</v>
      </c>
      <c r="CJ95" s="197">
        <f t="shared" si="246"/>
        <v>518.53556037609587</v>
      </c>
      <c r="CK95" s="197">
        <f t="shared" si="247"/>
        <v>1331.247627930034</v>
      </c>
      <c r="CL95" s="199">
        <f t="shared" si="248"/>
        <v>1599.5678266733407</v>
      </c>
      <c r="CM95" s="196">
        <f t="shared" si="269"/>
        <v>8102.9033118862117</v>
      </c>
      <c r="CN95" s="197">
        <f t="shared" si="249"/>
        <v>2385.9933752231091</v>
      </c>
      <c r="CO95" s="197">
        <f t="shared" si="249"/>
        <v>4370.1712152551718</v>
      </c>
      <c r="CP95" s="197">
        <f t="shared" si="249"/>
        <v>3732.732096631039</v>
      </c>
      <c r="CQ95" s="199">
        <f t="shared" si="249"/>
        <v>6118.7254718541481</v>
      </c>
      <c r="CT95" s="204">
        <f t="shared" si="270"/>
        <v>8</v>
      </c>
      <c r="CU95" s="759">
        <f>'Energy NPV'!$D20*$CV$84</f>
        <v>0</v>
      </c>
      <c r="CV95" s="197">
        <f>'Energy margins'!$E$12</f>
        <v>43.75</v>
      </c>
      <c r="CW95" s="197">
        <f t="shared" si="271"/>
        <v>0</v>
      </c>
      <c r="CX95" s="197">
        <f>'Margins summary'!$Q$14</f>
        <v>330</v>
      </c>
      <c r="CY95" s="197">
        <f t="shared" si="250"/>
        <v>330</v>
      </c>
      <c r="CZ95" s="197"/>
      <c r="DA95" s="918">
        <f>'Energy NPV'!U20</f>
        <v>637.73333400000001</v>
      </c>
      <c r="DB95" s="197"/>
      <c r="DC95" s="197">
        <f t="shared" si="251"/>
        <v>637.73333400000001</v>
      </c>
      <c r="DD95" s="197">
        <f t="shared" si="216"/>
        <v>-637.73333400000001</v>
      </c>
      <c r="DE95" s="197">
        <f t="shared" si="217"/>
        <v>-307.73333400000001</v>
      </c>
      <c r="DF95" s="196">
        <f t="shared" si="252"/>
        <v>0</v>
      </c>
      <c r="DG95" s="197">
        <f t="shared" si="253"/>
        <v>268.32019874330672</v>
      </c>
      <c r="DH95" s="197">
        <f t="shared" si="254"/>
        <v>518.53556037609587</v>
      </c>
      <c r="DI95" s="197">
        <f t="shared" si="255"/>
        <v>-518.53556037609587</v>
      </c>
      <c r="DJ95" s="199">
        <f t="shared" si="256"/>
        <v>-250.21536163278907</v>
      </c>
      <c r="DK95" s="196">
        <f t="shared" si="272"/>
        <v>0</v>
      </c>
      <c r="DL95" s="197">
        <f t="shared" si="257"/>
        <v>2385.9933752231091</v>
      </c>
      <c r="DM95" s="197">
        <f t="shared" si="257"/>
        <v>4370.1712152551718</v>
      </c>
      <c r="DN95" s="197">
        <f t="shared" si="257"/>
        <v>-4370.1712152551718</v>
      </c>
      <c r="DO95" s="199">
        <f t="shared" si="257"/>
        <v>-1984.1778400320632</v>
      </c>
    </row>
    <row r="96" spans="2:119" x14ac:dyDescent="0.3">
      <c r="B96" s="204">
        <f t="shared" si="258"/>
        <v>9</v>
      </c>
      <c r="C96" s="759">
        <f>'Energy NPV'!$D21*$E$84</f>
        <v>0</v>
      </c>
      <c r="D96" s="197">
        <f>'Energy margins'!$E$12</f>
        <v>43.75</v>
      </c>
      <c r="E96" s="197">
        <f t="shared" si="259"/>
        <v>0</v>
      </c>
      <c r="F96" s="197">
        <f>'Margins summary'!$Q$14</f>
        <v>330</v>
      </c>
      <c r="G96" s="197">
        <f t="shared" si="218"/>
        <v>330</v>
      </c>
      <c r="H96" s="197"/>
      <c r="I96" s="918">
        <f>'Energy NPV'!U21</f>
        <v>0</v>
      </c>
      <c r="J96" s="197"/>
      <c r="K96" s="197">
        <f t="shared" si="219"/>
        <v>0</v>
      </c>
      <c r="L96" s="197">
        <f t="shared" si="208"/>
        <v>0</v>
      </c>
      <c r="M96" s="197">
        <f t="shared" si="209"/>
        <v>330</v>
      </c>
      <c r="N96" s="196">
        <f t="shared" si="220"/>
        <v>0</v>
      </c>
      <c r="O96" s="197">
        <f t="shared" si="221"/>
        <v>260.50504732359883</v>
      </c>
      <c r="P96" s="197">
        <f t="shared" si="222"/>
        <v>0</v>
      </c>
      <c r="Q96" s="197">
        <f t="shared" si="223"/>
        <v>0</v>
      </c>
      <c r="R96" s="199">
        <f t="shared" si="224"/>
        <v>260.50504732359883</v>
      </c>
      <c r="S96" s="196">
        <f t="shared" si="260"/>
        <v>4051.4516559431058</v>
      </c>
      <c r="T96" s="197">
        <f t="shared" si="225"/>
        <v>2646.4984225467078</v>
      </c>
      <c r="U96" s="197">
        <f t="shared" si="225"/>
        <v>4370.1712152551718</v>
      </c>
      <c r="V96" s="197">
        <f t="shared" si="225"/>
        <v>-318.71955931206662</v>
      </c>
      <c r="W96" s="199">
        <f t="shared" si="225"/>
        <v>2327.778863234641</v>
      </c>
      <c r="Z96" s="204">
        <f t="shared" si="261"/>
        <v>9</v>
      </c>
      <c r="AA96" s="759">
        <f>'Energy NPV'!$D21*$AB$84</f>
        <v>0</v>
      </c>
      <c r="AB96" s="197">
        <f>'Energy margins'!$E$12</f>
        <v>43.75</v>
      </c>
      <c r="AC96" s="197">
        <f t="shared" si="262"/>
        <v>0</v>
      </c>
      <c r="AD96" s="197">
        <f>'Margins summary'!$Q$14</f>
        <v>330</v>
      </c>
      <c r="AE96" s="197">
        <f t="shared" si="226"/>
        <v>330</v>
      </c>
      <c r="AF96" s="197"/>
      <c r="AG96" s="918">
        <f>'Energy NPV'!U21</f>
        <v>0</v>
      </c>
      <c r="AH96" s="197"/>
      <c r="AI96" s="197">
        <f t="shared" si="227"/>
        <v>0</v>
      </c>
      <c r="AJ96" s="197">
        <f t="shared" si="210"/>
        <v>0</v>
      </c>
      <c r="AK96" s="197">
        <f t="shared" si="211"/>
        <v>330</v>
      </c>
      <c r="AL96" s="196">
        <f t="shared" si="228"/>
        <v>0</v>
      </c>
      <c r="AM96" s="197">
        <f t="shared" si="229"/>
        <v>260.50504732359883</v>
      </c>
      <c r="AN96" s="197">
        <f t="shared" si="230"/>
        <v>0</v>
      </c>
      <c r="AO96" s="197">
        <f t="shared" si="231"/>
        <v>0</v>
      </c>
      <c r="AP96" s="199">
        <f t="shared" si="232"/>
        <v>260.50504732359883</v>
      </c>
      <c r="AQ96" s="196">
        <f t="shared" si="263"/>
        <v>6077.1774839146583</v>
      </c>
      <c r="AR96" s="197">
        <f t="shared" si="233"/>
        <v>2646.4984225467078</v>
      </c>
      <c r="AS96" s="197">
        <f t="shared" si="233"/>
        <v>4370.1712152551718</v>
      </c>
      <c r="AT96" s="197">
        <f t="shared" si="233"/>
        <v>1707.0062686594863</v>
      </c>
      <c r="AU96" s="199">
        <f t="shared" si="233"/>
        <v>4353.5046912061944</v>
      </c>
      <c r="AX96" s="204">
        <f t="shared" si="264"/>
        <v>9</v>
      </c>
      <c r="AY96" s="759">
        <f>'Energy NPV'!$D21*$AZ$84</f>
        <v>0</v>
      </c>
      <c r="AZ96" s="197">
        <f>'Energy margins'!$E$12</f>
        <v>43.75</v>
      </c>
      <c r="BA96" s="197">
        <f t="shared" si="265"/>
        <v>0</v>
      </c>
      <c r="BB96" s="197">
        <f>'Margins summary'!$Q$14</f>
        <v>330</v>
      </c>
      <c r="BC96" s="197">
        <f t="shared" si="234"/>
        <v>330</v>
      </c>
      <c r="BD96" s="197"/>
      <c r="BE96" s="918">
        <f>'Energy NPV'!U21</f>
        <v>0</v>
      </c>
      <c r="BF96" s="197"/>
      <c r="BG96" s="197">
        <f t="shared" si="235"/>
        <v>0</v>
      </c>
      <c r="BH96" s="197">
        <f t="shared" si="212"/>
        <v>0</v>
      </c>
      <c r="BI96" s="197">
        <f t="shared" si="213"/>
        <v>330</v>
      </c>
      <c r="BJ96" s="196">
        <f t="shared" si="236"/>
        <v>0</v>
      </c>
      <c r="BK96" s="197">
        <f t="shared" si="237"/>
        <v>260.50504732359883</v>
      </c>
      <c r="BL96" s="197">
        <f t="shared" si="238"/>
        <v>0</v>
      </c>
      <c r="BM96" s="197">
        <f t="shared" si="239"/>
        <v>0</v>
      </c>
      <c r="BN96" s="199">
        <f t="shared" si="240"/>
        <v>260.50504732359883</v>
      </c>
      <c r="BO96" s="196">
        <f t="shared" si="266"/>
        <v>2025.7258279715529</v>
      </c>
      <c r="BP96" s="197">
        <f t="shared" si="241"/>
        <v>2646.4984225467078</v>
      </c>
      <c r="BQ96" s="197">
        <f t="shared" si="241"/>
        <v>4370.1712152551718</v>
      </c>
      <c r="BR96" s="197">
        <f t="shared" si="241"/>
        <v>-2344.4453872836189</v>
      </c>
      <c r="BS96" s="199">
        <f t="shared" si="241"/>
        <v>302.05303526308836</v>
      </c>
      <c r="BV96" s="204">
        <f t="shared" si="267"/>
        <v>9</v>
      </c>
      <c r="BW96" s="759">
        <f>'Energy NPV'!$D21*$BX$84</f>
        <v>0</v>
      </c>
      <c r="BX96" s="197">
        <f>'Energy margins'!$E$12</f>
        <v>43.75</v>
      </c>
      <c r="BY96" s="197">
        <f t="shared" si="268"/>
        <v>0</v>
      </c>
      <c r="BZ96" s="197">
        <f>'Margins summary'!$Q$14</f>
        <v>330</v>
      </c>
      <c r="CA96" s="197">
        <f t="shared" si="242"/>
        <v>330</v>
      </c>
      <c r="CB96" s="197"/>
      <c r="CC96" s="918">
        <f>'Energy NPV'!U21</f>
        <v>0</v>
      </c>
      <c r="CD96" s="197"/>
      <c r="CE96" s="197">
        <f t="shared" si="243"/>
        <v>0</v>
      </c>
      <c r="CF96" s="197">
        <f t="shared" si="214"/>
        <v>0</v>
      </c>
      <c r="CG96" s="197">
        <f t="shared" si="215"/>
        <v>330</v>
      </c>
      <c r="CH96" s="196">
        <f t="shared" si="244"/>
        <v>0</v>
      </c>
      <c r="CI96" s="197">
        <f t="shared" si="245"/>
        <v>260.50504732359883</v>
      </c>
      <c r="CJ96" s="197">
        <f t="shared" si="246"/>
        <v>0</v>
      </c>
      <c r="CK96" s="197">
        <f t="shared" si="247"/>
        <v>0</v>
      </c>
      <c r="CL96" s="199">
        <f t="shared" si="248"/>
        <v>260.50504732359883</v>
      </c>
      <c r="CM96" s="196">
        <f t="shared" si="269"/>
        <v>8102.9033118862117</v>
      </c>
      <c r="CN96" s="197">
        <f t="shared" si="249"/>
        <v>2646.4984225467078</v>
      </c>
      <c r="CO96" s="197">
        <f t="shared" si="249"/>
        <v>4370.1712152551718</v>
      </c>
      <c r="CP96" s="197">
        <f t="shared" si="249"/>
        <v>3732.732096631039</v>
      </c>
      <c r="CQ96" s="199">
        <f t="shared" si="249"/>
        <v>6379.2305191777468</v>
      </c>
      <c r="CT96" s="204">
        <f t="shared" si="270"/>
        <v>9</v>
      </c>
      <c r="CU96" s="759">
        <f>'Energy NPV'!$D21*$CV$84</f>
        <v>0</v>
      </c>
      <c r="CV96" s="197">
        <f>'Energy margins'!$E$12</f>
        <v>43.75</v>
      </c>
      <c r="CW96" s="197">
        <f t="shared" si="271"/>
        <v>0</v>
      </c>
      <c r="CX96" s="197">
        <f>'Margins summary'!$Q$14</f>
        <v>330</v>
      </c>
      <c r="CY96" s="197">
        <f t="shared" si="250"/>
        <v>330</v>
      </c>
      <c r="CZ96" s="197"/>
      <c r="DA96" s="918">
        <f>'Energy NPV'!U21</f>
        <v>0</v>
      </c>
      <c r="DB96" s="197"/>
      <c r="DC96" s="197">
        <f t="shared" si="251"/>
        <v>0</v>
      </c>
      <c r="DD96" s="197">
        <f t="shared" si="216"/>
        <v>0</v>
      </c>
      <c r="DE96" s="197">
        <f t="shared" si="217"/>
        <v>330</v>
      </c>
      <c r="DF96" s="196">
        <f t="shared" si="252"/>
        <v>0</v>
      </c>
      <c r="DG96" s="197">
        <f t="shared" si="253"/>
        <v>260.50504732359883</v>
      </c>
      <c r="DH96" s="197">
        <f t="shared" si="254"/>
        <v>0</v>
      </c>
      <c r="DI96" s="197">
        <f t="shared" si="255"/>
        <v>0</v>
      </c>
      <c r="DJ96" s="199">
        <f t="shared" si="256"/>
        <v>260.50504732359883</v>
      </c>
      <c r="DK96" s="196">
        <f t="shared" si="272"/>
        <v>0</v>
      </c>
      <c r="DL96" s="197">
        <f t="shared" si="257"/>
        <v>2646.4984225467078</v>
      </c>
      <c r="DM96" s="197">
        <f t="shared" si="257"/>
        <v>4370.1712152551718</v>
      </c>
      <c r="DN96" s="197">
        <f t="shared" si="257"/>
        <v>-4370.1712152551718</v>
      </c>
      <c r="DO96" s="199">
        <f t="shared" si="257"/>
        <v>-1723.6727927084644</v>
      </c>
    </row>
    <row r="97" spans="2:119" x14ac:dyDescent="0.3">
      <c r="B97" s="204">
        <f t="shared" si="258"/>
        <v>10</v>
      </c>
      <c r="C97" s="759">
        <f>'Energy NPV'!$D22*$E$84</f>
        <v>26</v>
      </c>
      <c r="D97" s="197">
        <f>'Energy margins'!$E$12</f>
        <v>43.75</v>
      </c>
      <c r="E97" s="197">
        <f t="shared" si="259"/>
        <v>1137.5</v>
      </c>
      <c r="F97" s="197">
        <f>'Margins summary'!$Q$14</f>
        <v>330</v>
      </c>
      <c r="G97" s="197">
        <f t="shared" si="218"/>
        <v>1467.5</v>
      </c>
      <c r="H97" s="197"/>
      <c r="I97" s="918">
        <f>'Energy NPV'!U22</f>
        <v>637.73333400000001</v>
      </c>
      <c r="J97" s="197"/>
      <c r="K97" s="197">
        <f t="shared" si="219"/>
        <v>637.73333400000001</v>
      </c>
      <c r="L97" s="197">
        <f t="shared" si="208"/>
        <v>499.76666599999999</v>
      </c>
      <c r="M97" s="197">
        <f t="shared" si="209"/>
        <v>829.76666599999999</v>
      </c>
      <c r="N97" s="196">
        <f t="shared" si="220"/>
        <v>871.79903304087566</v>
      </c>
      <c r="O97" s="197">
        <f t="shared" si="221"/>
        <v>252.91752167339689</v>
      </c>
      <c r="P97" s="197">
        <f t="shared" si="222"/>
        <v>488.76949795088683</v>
      </c>
      <c r="Q97" s="197">
        <f t="shared" si="223"/>
        <v>383.02953508998877</v>
      </c>
      <c r="R97" s="199">
        <f t="shared" si="224"/>
        <v>635.94705676338572</v>
      </c>
      <c r="S97" s="196">
        <f t="shared" si="260"/>
        <v>4923.2506889839815</v>
      </c>
      <c r="T97" s="197">
        <f t="shared" si="225"/>
        <v>2899.4159442201048</v>
      </c>
      <c r="U97" s="197">
        <f t="shared" si="225"/>
        <v>4858.9407132060587</v>
      </c>
      <c r="V97" s="197">
        <f t="shared" si="225"/>
        <v>64.309975777922148</v>
      </c>
      <c r="W97" s="199">
        <f t="shared" si="225"/>
        <v>2963.7259199980267</v>
      </c>
      <c r="Z97" s="204">
        <f t="shared" si="261"/>
        <v>10</v>
      </c>
      <c r="AA97" s="759">
        <f>'Energy NPV'!$D22*$AB$84</f>
        <v>39</v>
      </c>
      <c r="AB97" s="197">
        <f>'Energy margins'!$E$12</f>
        <v>43.75</v>
      </c>
      <c r="AC97" s="197">
        <f t="shared" si="262"/>
        <v>1706.25</v>
      </c>
      <c r="AD97" s="197">
        <f>'Margins summary'!$Q$14</f>
        <v>330</v>
      </c>
      <c r="AE97" s="197">
        <f t="shared" si="226"/>
        <v>2036.25</v>
      </c>
      <c r="AF97" s="197"/>
      <c r="AG97" s="918">
        <f>'Energy NPV'!U22</f>
        <v>637.73333400000001</v>
      </c>
      <c r="AH97" s="197"/>
      <c r="AI97" s="197">
        <f t="shared" si="227"/>
        <v>637.73333400000001</v>
      </c>
      <c r="AJ97" s="197">
        <f t="shared" si="210"/>
        <v>1068.516666</v>
      </c>
      <c r="AK97" s="197">
        <f t="shared" si="211"/>
        <v>1398.516666</v>
      </c>
      <c r="AL97" s="196">
        <f t="shared" si="228"/>
        <v>1307.6985495613135</v>
      </c>
      <c r="AM97" s="197">
        <f t="shared" si="229"/>
        <v>252.91752167339689</v>
      </c>
      <c r="AN97" s="197">
        <f t="shared" si="230"/>
        <v>488.76949795088683</v>
      </c>
      <c r="AO97" s="197">
        <f t="shared" si="231"/>
        <v>818.92905161042665</v>
      </c>
      <c r="AP97" s="199">
        <f t="shared" si="232"/>
        <v>1071.8465732838235</v>
      </c>
      <c r="AQ97" s="196">
        <f t="shared" si="263"/>
        <v>7384.8760334759718</v>
      </c>
      <c r="AR97" s="197">
        <f t="shared" si="233"/>
        <v>2899.4159442201048</v>
      </c>
      <c r="AS97" s="197">
        <f t="shared" si="233"/>
        <v>4858.9407132060587</v>
      </c>
      <c r="AT97" s="197">
        <f t="shared" si="233"/>
        <v>2525.9353202699131</v>
      </c>
      <c r="AU97" s="199">
        <f t="shared" si="233"/>
        <v>5425.3512644900184</v>
      </c>
      <c r="AX97" s="204">
        <f t="shared" si="264"/>
        <v>10</v>
      </c>
      <c r="AY97" s="759">
        <f>'Energy NPV'!$D22*$AZ$84</f>
        <v>13</v>
      </c>
      <c r="AZ97" s="197">
        <f>'Energy margins'!$E$12</f>
        <v>43.75</v>
      </c>
      <c r="BA97" s="197">
        <f t="shared" si="265"/>
        <v>568.75</v>
      </c>
      <c r="BB97" s="197">
        <f>'Margins summary'!$Q$14</f>
        <v>330</v>
      </c>
      <c r="BC97" s="197">
        <f t="shared" si="234"/>
        <v>898.75</v>
      </c>
      <c r="BD97" s="197"/>
      <c r="BE97" s="918">
        <f>'Energy NPV'!U22</f>
        <v>637.73333400000001</v>
      </c>
      <c r="BF97" s="197"/>
      <c r="BG97" s="197">
        <f t="shared" si="235"/>
        <v>637.73333400000001</v>
      </c>
      <c r="BH97" s="197">
        <f t="shared" si="212"/>
        <v>-68.983334000000013</v>
      </c>
      <c r="BI97" s="197">
        <f t="shared" si="213"/>
        <v>261.01666599999999</v>
      </c>
      <c r="BJ97" s="196">
        <f t="shared" si="236"/>
        <v>435.89951652043783</v>
      </c>
      <c r="BK97" s="197">
        <f t="shared" si="237"/>
        <v>252.91752167339689</v>
      </c>
      <c r="BL97" s="197">
        <f t="shared" si="238"/>
        <v>488.76949795088683</v>
      </c>
      <c r="BM97" s="197">
        <f t="shared" si="239"/>
        <v>-52.86998143044903</v>
      </c>
      <c r="BN97" s="199">
        <f t="shared" si="240"/>
        <v>200.04754024294786</v>
      </c>
      <c r="BO97" s="196">
        <f t="shared" si="266"/>
        <v>2461.6253444919907</v>
      </c>
      <c r="BP97" s="197">
        <f t="shared" si="241"/>
        <v>2899.4159442201048</v>
      </c>
      <c r="BQ97" s="197">
        <f t="shared" si="241"/>
        <v>4858.9407132060587</v>
      </c>
      <c r="BR97" s="197">
        <f t="shared" si="241"/>
        <v>-2397.315368714068</v>
      </c>
      <c r="BS97" s="199">
        <f t="shared" si="241"/>
        <v>502.10057550603619</v>
      </c>
      <c r="BV97" s="204">
        <f t="shared" si="267"/>
        <v>10</v>
      </c>
      <c r="BW97" s="759">
        <f>'Energy NPV'!$D22*$BX$84</f>
        <v>52</v>
      </c>
      <c r="BX97" s="197">
        <f>'Energy margins'!$E$12</f>
        <v>43.75</v>
      </c>
      <c r="BY97" s="197">
        <f t="shared" si="268"/>
        <v>2275</v>
      </c>
      <c r="BZ97" s="197">
        <f>'Margins summary'!$Q$14</f>
        <v>330</v>
      </c>
      <c r="CA97" s="197">
        <f t="shared" si="242"/>
        <v>2605</v>
      </c>
      <c r="CB97" s="197"/>
      <c r="CC97" s="918">
        <f>'Energy NPV'!U22</f>
        <v>637.73333400000001</v>
      </c>
      <c r="CD97" s="197"/>
      <c r="CE97" s="197">
        <f t="shared" si="243"/>
        <v>637.73333400000001</v>
      </c>
      <c r="CF97" s="197">
        <f t="shared" si="214"/>
        <v>1637.266666</v>
      </c>
      <c r="CG97" s="197">
        <f t="shared" si="215"/>
        <v>1967.266666</v>
      </c>
      <c r="CH97" s="196">
        <f t="shared" si="244"/>
        <v>1743.5980660817513</v>
      </c>
      <c r="CI97" s="197">
        <f t="shared" si="245"/>
        <v>252.91752167339689</v>
      </c>
      <c r="CJ97" s="197">
        <f t="shared" si="246"/>
        <v>488.76949795088683</v>
      </c>
      <c r="CK97" s="197">
        <f t="shared" si="247"/>
        <v>1254.8285681308644</v>
      </c>
      <c r="CL97" s="199">
        <f t="shared" si="248"/>
        <v>1507.7460898042614</v>
      </c>
      <c r="CM97" s="196">
        <f t="shared" si="269"/>
        <v>9846.501377967963</v>
      </c>
      <c r="CN97" s="197">
        <f t="shared" si="249"/>
        <v>2899.4159442201048</v>
      </c>
      <c r="CO97" s="197">
        <f t="shared" si="249"/>
        <v>4858.9407132060587</v>
      </c>
      <c r="CP97" s="197">
        <f t="shared" si="249"/>
        <v>4987.5606647619034</v>
      </c>
      <c r="CQ97" s="199">
        <f t="shared" si="249"/>
        <v>7886.9766089820077</v>
      </c>
      <c r="CT97" s="204">
        <f t="shared" si="270"/>
        <v>10</v>
      </c>
      <c r="CU97" s="759">
        <f>'Energy NPV'!$D22*$CV$84</f>
        <v>0</v>
      </c>
      <c r="CV97" s="197">
        <f>'Energy margins'!$E$12</f>
        <v>43.75</v>
      </c>
      <c r="CW97" s="197">
        <f t="shared" si="271"/>
        <v>0</v>
      </c>
      <c r="CX97" s="197">
        <f>'Margins summary'!$Q$14</f>
        <v>330</v>
      </c>
      <c r="CY97" s="197">
        <f t="shared" si="250"/>
        <v>330</v>
      </c>
      <c r="CZ97" s="197"/>
      <c r="DA97" s="918">
        <f>'Energy NPV'!U22</f>
        <v>637.73333400000001</v>
      </c>
      <c r="DB97" s="197"/>
      <c r="DC97" s="197">
        <f t="shared" si="251"/>
        <v>637.73333400000001</v>
      </c>
      <c r="DD97" s="197">
        <f t="shared" si="216"/>
        <v>-637.73333400000001</v>
      </c>
      <c r="DE97" s="197">
        <f t="shared" si="217"/>
        <v>-307.73333400000001</v>
      </c>
      <c r="DF97" s="196">
        <f t="shared" si="252"/>
        <v>0</v>
      </c>
      <c r="DG97" s="197">
        <f t="shared" si="253"/>
        <v>252.91752167339689</v>
      </c>
      <c r="DH97" s="197">
        <f t="shared" si="254"/>
        <v>488.76949795088683</v>
      </c>
      <c r="DI97" s="197">
        <f t="shared" si="255"/>
        <v>-488.76949795088683</v>
      </c>
      <c r="DJ97" s="199">
        <f t="shared" si="256"/>
        <v>-235.85197627748997</v>
      </c>
      <c r="DK97" s="196">
        <f t="shared" si="272"/>
        <v>0</v>
      </c>
      <c r="DL97" s="197">
        <f t="shared" si="257"/>
        <v>2899.4159442201048</v>
      </c>
      <c r="DM97" s="197">
        <f t="shared" si="257"/>
        <v>4858.9407132060587</v>
      </c>
      <c r="DN97" s="197">
        <f t="shared" si="257"/>
        <v>-4858.9407132060587</v>
      </c>
      <c r="DO97" s="199">
        <f t="shared" si="257"/>
        <v>-1959.5247689859543</v>
      </c>
    </row>
    <row r="98" spans="2:119" x14ac:dyDescent="0.3">
      <c r="B98" s="204">
        <f t="shared" si="258"/>
        <v>11</v>
      </c>
      <c r="C98" s="759">
        <f>'Energy NPV'!$D23*$E$84</f>
        <v>0</v>
      </c>
      <c r="D98" s="197">
        <f>'Energy margins'!$E$12</f>
        <v>43.75</v>
      </c>
      <c r="E98" s="197">
        <f t="shared" si="259"/>
        <v>0</v>
      </c>
      <c r="F98" s="197"/>
      <c r="G98" s="197">
        <f t="shared" si="218"/>
        <v>0</v>
      </c>
      <c r="H98" s="197"/>
      <c r="I98" s="918">
        <f>'Energy NPV'!U23</f>
        <v>0</v>
      </c>
      <c r="J98" s="197"/>
      <c r="K98" s="197">
        <f t="shared" si="219"/>
        <v>0</v>
      </c>
      <c r="L98" s="197">
        <f t="shared" si="208"/>
        <v>0</v>
      </c>
      <c r="M98" s="197">
        <f t="shared" si="209"/>
        <v>0</v>
      </c>
      <c r="N98" s="196">
        <f t="shared" si="220"/>
        <v>0</v>
      </c>
      <c r="O98" s="197">
        <f t="shared" si="221"/>
        <v>0</v>
      </c>
      <c r="P98" s="197">
        <f t="shared" si="222"/>
        <v>0</v>
      </c>
      <c r="Q98" s="197">
        <f t="shared" si="223"/>
        <v>0</v>
      </c>
      <c r="R98" s="199">
        <f t="shared" si="224"/>
        <v>0</v>
      </c>
      <c r="S98" s="196">
        <f t="shared" si="260"/>
        <v>4923.2506889839815</v>
      </c>
      <c r="T98" s="197">
        <f t="shared" si="225"/>
        <v>2899.4159442201048</v>
      </c>
      <c r="U98" s="197">
        <f t="shared" si="225"/>
        <v>4858.9407132060587</v>
      </c>
      <c r="V98" s="197">
        <f t="shared" si="225"/>
        <v>64.309975777922148</v>
      </c>
      <c r="W98" s="199">
        <f t="shared" si="225"/>
        <v>2963.7259199980267</v>
      </c>
      <c r="Z98" s="204">
        <f t="shared" si="261"/>
        <v>11</v>
      </c>
      <c r="AA98" s="759">
        <f>'Energy NPV'!$D23*$AB$84</f>
        <v>0</v>
      </c>
      <c r="AB98" s="197">
        <f>'Energy margins'!$E$12</f>
        <v>43.75</v>
      </c>
      <c r="AC98" s="197">
        <f t="shared" si="262"/>
        <v>0</v>
      </c>
      <c r="AD98" s="197"/>
      <c r="AE98" s="197">
        <f t="shared" si="226"/>
        <v>0</v>
      </c>
      <c r="AF98" s="197"/>
      <c r="AG98" s="918">
        <f>'Energy NPV'!U23</f>
        <v>0</v>
      </c>
      <c r="AH98" s="197"/>
      <c r="AI98" s="197">
        <f t="shared" si="227"/>
        <v>0</v>
      </c>
      <c r="AJ98" s="197">
        <f t="shared" si="210"/>
        <v>0</v>
      </c>
      <c r="AK98" s="197">
        <f t="shared" si="211"/>
        <v>0</v>
      </c>
      <c r="AL98" s="196">
        <f t="shared" si="228"/>
        <v>0</v>
      </c>
      <c r="AM98" s="197">
        <f t="shared" si="229"/>
        <v>0</v>
      </c>
      <c r="AN98" s="197">
        <f t="shared" si="230"/>
        <v>0</v>
      </c>
      <c r="AO98" s="197">
        <f t="shared" si="231"/>
        <v>0</v>
      </c>
      <c r="AP98" s="199">
        <f t="shared" si="232"/>
        <v>0</v>
      </c>
      <c r="AQ98" s="196">
        <f t="shared" si="263"/>
        <v>7384.8760334759718</v>
      </c>
      <c r="AR98" s="197">
        <f t="shared" si="233"/>
        <v>2899.4159442201048</v>
      </c>
      <c r="AS98" s="197">
        <f t="shared" si="233"/>
        <v>4858.9407132060587</v>
      </c>
      <c r="AT98" s="197">
        <f t="shared" si="233"/>
        <v>2525.9353202699131</v>
      </c>
      <c r="AU98" s="199">
        <f t="shared" si="233"/>
        <v>5425.3512644900184</v>
      </c>
      <c r="AX98" s="204">
        <f t="shared" si="264"/>
        <v>11</v>
      </c>
      <c r="AY98" s="759">
        <f>'Energy NPV'!$D23*$AZ$84</f>
        <v>0</v>
      </c>
      <c r="AZ98" s="197">
        <f>'Energy margins'!$E$12</f>
        <v>43.75</v>
      </c>
      <c r="BA98" s="197">
        <f t="shared" si="265"/>
        <v>0</v>
      </c>
      <c r="BB98" s="197"/>
      <c r="BC98" s="197">
        <f t="shared" si="234"/>
        <v>0</v>
      </c>
      <c r="BD98" s="197"/>
      <c r="BE98" s="918">
        <f>'Energy NPV'!U23</f>
        <v>0</v>
      </c>
      <c r="BF98" s="197"/>
      <c r="BG98" s="197">
        <f t="shared" si="235"/>
        <v>0</v>
      </c>
      <c r="BH98" s="197">
        <f t="shared" si="212"/>
        <v>0</v>
      </c>
      <c r="BI98" s="197">
        <f t="shared" si="213"/>
        <v>0</v>
      </c>
      <c r="BJ98" s="196">
        <f t="shared" si="236"/>
        <v>0</v>
      </c>
      <c r="BK98" s="197">
        <f t="shared" si="237"/>
        <v>0</v>
      </c>
      <c r="BL98" s="197">
        <f t="shared" si="238"/>
        <v>0</v>
      </c>
      <c r="BM98" s="197">
        <f t="shared" si="239"/>
        <v>0</v>
      </c>
      <c r="BN98" s="199">
        <f t="shared" si="240"/>
        <v>0</v>
      </c>
      <c r="BO98" s="196">
        <f t="shared" si="266"/>
        <v>2461.6253444919907</v>
      </c>
      <c r="BP98" s="197">
        <f t="shared" si="241"/>
        <v>2899.4159442201048</v>
      </c>
      <c r="BQ98" s="197">
        <f t="shared" si="241"/>
        <v>4858.9407132060587</v>
      </c>
      <c r="BR98" s="197">
        <f t="shared" si="241"/>
        <v>-2397.315368714068</v>
      </c>
      <c r="BS98" s="199">
        <f t="shared" si="241"/>
        <v>502.10057550603619</v>
      </c>
      <c r="BV98" s="204">
        <f t="shared" si="267"/>
        <v>11</v>
      </c>
      <c r="BW98" s="759">
        <f>'Energy NPV'!$D23*$BX$84</f>
        <v>0</v>
      </c>
      <c r="BX98" s="197">
        <f>'Energy margins'!$E$12</f>
        <v>43.75</v>
      </c>
      <c r="BY98" s="197">
        <f t="shared" si="268"/>
        <v>0</v>
      </c>
      <c r="BZ98" s="197"/>
      <c r="CA98" s="197">
        <f t="shared" si="242"/>
        <v>0</v>
      </c>
      <c r="CB98" s="197"/>
      <c r="CC98" s="918">
        <f>'Energy NPV'!U23</f>
        <v>0</v>
      </c>
      <c r="CD98" s="197"/>
      <c r="CE98" s="197">
        <f t="shared" si="243"/>
        <v>0</v>
      </c>
      <c r="CF98" s="197">
        <f t="shared" si="214"/>
        <v>0</v>
      </c>
      <c r="CG98" s="197">
        <f t="shared" si="215"/>
        <v>0</v>
      </c>
      <c r="CH98" s="196">
        <f t="shared" si="244"/>
        <v>0</v>
      </c>
      <c r="CI98" s="197">
        <f t="shared" si="245"/>
        <v>0</v>
      </c>
      <c r="CJ98" s="197">
        <f t="shared" si="246"/>
        <v>0</v>
      </c>
      <c r="CK98" s="197">
        <f t="shared" si="247"/>
        <v>0</v>
      </c>
      <c r="CL98" s="199">
        <f t="shared" si="248"/>
        <v>0</v>
      </c>
      <c r="CM98" s="196">
        <f t="shared" si="269"/>
        <v>9846.501377967963</v>
      </c>
      <c r="CN98" s="197">
        <f t="shared" si="249"/>
        <v>2899.4159442201048</v>
      </c>
      <c r="CO98" s="197">
        <f t="shared" si="249"/>
        <v>4858.9407132060587</v>
      </c>
      <c r="CP98" s="197">
        <f t="shared" si="249"/>
        <v>4987.5606647619034</v>
      </c>
      <c r="CQ98" s="199">
        <f t="shared" si="249"/>
        <v>7886.9766089820077</v>
      </c>
      <c r="CT98" s="204">
        <f t="shared" si="270"/>
        <v>11</v>
      </c>
      <c r="CU98" s="759">
        <f>'Energy NPV'!$D23*$CV$84</f>
        <v>0</v>
      </c>
      <c r="CV98" s="197">
        <f>'Energy margins'!$E$12</f>
        <v>43.75</v>
      </c>
      <c r="CW98" s="197">
        <f t="shared" si="271"/>
        <v>0</v>
      </c>
      <c r="CX98" s="197"/>
      <c r="CY98" s="197">
        <f t="shared" si="250"/>
        <v>0</v>
      </c>
      <c r="CZ98" s="197"/>
      <c r="DA98" s="918">
        <f>'Energy NPV'!U23</f>
        <v>0</v>
      </c>
      <c r="DB98" s="197"/>
      <c r="DC98" s="197">
        <f t="shared" si="251"/>
        <v>0</v>
      </c>
      <c r="DD98" s="197">
        <f t="shared" si="216"/>
        <v>0</v>
      </c>
      <c r="DE98" s="197">
        <f t="shared" si="217"/>
        <v>0</v>
      </c>
      <c r="DF98" s="196">
        <f t="shared" si="252"/>
        <v>0</v>
      </c>
      <c r="DG98" s="197">
        <f t="shared" si="253"/>
        <v>0</v>
      </c>
      <c r="DH98" s="197">
        <f t="shared" si="254"/>
        <v>0</v>
      </c>
      <c r="DI98" s="197">
        <f t="shared" si="255"/>
        <v>0</v>
      </c>
      <c r="DJ98" s="199">
        <f t="shared" si="256"/>
        <v>0</v>
      </c>
      <c r="DK98" s="196">
        <f t="shared" si="272"/>
        <v>0</v>
      </c>
      <c r="DL98" s="197">
        <f t="shared" si="257"/>
        <v>2899.4159442201048</v>
      </c>
      <c r="DM98" s="197">
        <f t="shared" si="257"/>
        <v>4858.9407132060587</v>
      </c>
      <c r="DN98" s="197">
        <f t="shared" si="257"/>
        <v>-4858.9407132060587</v>
      </c>
      <c r="DO98" s="199">
        <f t="shared" si="257"/>
        <v>-1959.5247689859543</v>
      </c>
    </row>
    <row r="99" spans="2:119" x14ac:dyDescent="0.3">
      <c r="B99" s="204">
        <f t="shared" si="258"/>
        <v>12</v>
      </c>
      <c r="C99" s="759">
        <f>'Energy NPV'!$D24*$E$84</f>
        <v>26</v>
      </c>
      <c r="D99" s="197">
        <f>'Energy margins'!$E$12</f>
        <v>43.75</v>
      </c>
      <c r="E99" s="197">
        <f t="shared" si="259"/>
        <v>1137.5</v>
      </c>
      <c r="F99" s="197"/>
      <c r="G99" s="197">
        <f t="shared" si="218"/>
        <v>1137.5</v>
      </c>
      <c r="H99" s="197"/>
      <c r="I99" s="918">
        <f>'Energy NPV'!U24</f>
        <v>637.73333400000001</v>
      </c>
      <c r="J99" s="197"/>
      <c r="K99" s="197">
        <f t="shared" si="219"/>
        <v>637.73333400000001</v>
      </c>
      <c r="L99" s="197">
        <f t="shared" si="208"/>
        <v>499.76666599999999</v>
      </c>
      <c r="M99" s="197">
        <f t="shared" si="209"/>
        <v>499.76666599999999</v>
      </c>
      <c r="N99" s="196">
        <f t="shared" si="220"/>
        <v>821.75420213109214</v>
      </c>
      <c r="O99" s="197">
        <f t="shared" si="221"/>
        <v>0</v>
      </c>
      <c r="P99" s="197">
        <f t="shared" si="222"/>
        <v>460.71212927786485</v>
      </c>
      <c r="Q99" s="197">
        <f t="shared" si="223"/>
        <v>361.04207285322724</v>
      </c>
      <c r="R99" s="199">
        <f t="shared" si="224"/>
        <v>361.04207285322724</v>
      </c>
      <c r="S99" s="196">
        <f t="shared" si="260"/>
        <v>5745.0048911150734</v>
      </c>
      <c r="T99" s="197">
        <f t="shared" si="225"/>
        <v>2899.4159442201048</v>
      </c>
      <c r="U99" s="197">
        <f t="shared" si="225"/>
        <v>5319.6528424839235</v>
      </c>
      <c r="V99" s="197">
        <f t="shared" si="225"/>
        <v>425.35204863114939</v>
      </c>
      <c r="W99" s="199">
        <f t="shared" si="225"/>
        <v>3324.7679928512539</v>
      </c>
      <c r="Z99" s="204">
        <f t="shared" si="261"/>
        <v>12</v>
      </c>
      <c r="AA99" s="759">
        <f>'Energy NPV'!$D24*$AB$84</f>
        <v>39</v>
      </c>
      <c r="AB99" s="197">
        <f>'Energy margins'!$E$12</f>
        <v>43.75</v>
      </c>
      <c r="AC99" s="197">
        <f t="shared" si="262"/>
        <v>1706.25</v>
      </c>
      <c r="AD99" s="197"/>
      <c r="AE99" s="197">
        <f t="shared" si="226"/>
        <v>1706.25</v>
      </c>
      <c r="AF99" s="197"/>
      <c r="AG99" s="918">
        <f>'Energy NPV'!U24</f>
        <v>637.73333400000001</v>
      </c>
      <c r="AH99" s="197"/>
      <c r="AI99" s="197">
        <f t="shared" si="227"/>
        <v>637.73333400000001</v>
      </c>
      <c r="AJ99" s="197">
        <f t="shared" si="210"/>
        <v>1068.516666</v>
      </c>
      <c r="AK99" s="197">
        <f t="shared" si="211"/>
        <v>1068.516666</v>
      </c>
      <c r="AL99" s="196">
        <f t="shared" si="228"/>
        <v>1232.6313031966381</v>
      </c>
      <c r="AM99" s="197">
        <f t="shared" si="229"/>
        <v>0</v>
      </c>
      <c r="AN99" s="197">
        <f t="shared" si="230"/>
        <v>460.71212927786485</v>
      </c>
      <c r="AO99" s="197">
        <f t="shared" si="231"/>
        <v>771.91917391877325</v>
      </c>
      <c r="AP99" s="199">
        <f t="shared" si="232"/>
        <v>771.91917391877325</v>
      </c>
      <c r="AQ99" s="196">
        <f t="shared" si="263"/>
        <v>8617.5073366726101</v>
      </c>
      <c r="AR99" s="197">
        <f t="shared" si="233"/>
        <v>2899.4159442201048</v>
      </c>
      <c r="AS99" s="197">
        <f t="shared" si="233"/>
        <v>5319.6528424839235</v>
      </c>
      <c r="AT99" s="197">
        <f t="shared" si="233"/>
        <v>3297.8544941886862</v>
      </c>
      <c r="AU99" s="199">
        <f t="shared" si="233"/>
        <v>6197.270438408792</v>
      </c>
      <c r="AX99" s="204">
        <f t="shared" si="264"/>
        <v>12</v>
      </c>
      <c r="AY99" s="759">
        <f>'Energy NPV'!$D24*$AZ$84</f>
        <v>13</v>
      </c>
      <c r="AZ99" s="197">
        <f>'Energy margins'!$E$12</f>
        <v>43.75</v>
      </c>
      <c r="BA99" s="197">
        <f t="shared" si="265"/>
        <v>568.75</v>
      </c>
      <c r="BB99" s="197"/>
      <c r="BC99" s="197">
        <f t="shared" si="234"/>
        <v>568.75</v>
      </c>
      <c r="BD99" s="197"/>
      <c r="BE99" s="918">
        <f>'Energy NPV'!U24</f>
        <v>637.73333400000001</v>
      </c>
      <c r="BF99" s="197"/>
      <c r="BG99" s="197">
        <f t="shared" si="235"/>
        <v>637.73333400000001</v>
      </c>
      <c r="BH99" s="197">
        <f t="shared" si="212"/>
        <v>-68.983334000000013</v>
      </c>
      <c r="BI99" s="197">
        <f t="shared" si="213"/>
        <v>-68.983334000000013</v>
      </c>
      <c r="BJ99" s="196">
        <f t="shared" si="236"/>
        <v>410.87710106554607</v>
      </c>
      <c r="BK99" s="197">
        <f t="shared" si="237"/>
        <v>0</v>
      </c>
      <c r="BL99" s="197">
        <f t="shared" si="238"/>
        <v>460.71212927786485</v>
      </c>
      <c r="BM99" s="197">
        <f t="shared" si="239"/>
        <v>-49.835028212318811</v>
      </c>
      <c r="BN99" s="199">
        <f t="shared" si="240"/>
        <v>-49.835028212318811</v>
      </c>
      <c r="BO99" s="196">
        <f t="shared" si="266"/>
        <v>2872.5024455575367</v>
      </c>
      <c r="BP99" s="197">
        <f t="shared" si="241"/>
        <v>2899.4159442201048</v>
      </c>
      <c r="BQ99" s="197">
        <f t="shared" si="241"/>
        <v>5319.6528424839235</v>
      </c>
      <c r="BR99" s="197">
        <f t="shared" si="241"/>
        <v>-2447.1503969263867</v>
      </c>
      <c r="BS99" s="199">
        <f t="shared" si="241"/>
        <v>452.26554729371736</v>
      </c>
      <c r="BV99" s="204">
        <f t="shared" si="267"/>
        <v>12</v>
      </c>
      <c r="BW99" s="759">
        <f>'Energy NPV'!$D24*$BX$84</f>
        <v>52</v>
      </c>
      <c r="BX99" s="197">
        <f>'Energy margins'!$E$12</f>
        <v>43.75</v>
      </c>
      <c r="BY99" s="197">
        <f t="shared" si="268"/>
        <v>2275</v>
      </c>
      <c r="BZ99" s="197"/>
      <c r="CA99" s="197">
        <f t="shared" si="242"/>
        <v>2275</v>
      </c>
      <c r="CB99" s="197"/>
      <c r="CC99" s="918">
        <f>'Energy NPV'!U24</f>
        <v>637.73333400000001</v>
      </c>
      <c r="CD99" s="197"/>
      <c r="CE99" s="197">
        <f t="shared" si="243"/>
        <v>637.73333400000001</v>
      </c>
      <c r="CF99" s="197">
        <f t="shared" si="214"/>
        <v>1637.266666</v>
      </c>
      <c r="CG99" s="197">
        <f t="shared" si="215"/>
        <v>1637.266666</v>
      </c>
      <c r="CH99" s="196">
        <f t="shared" si="244"/>
        <v>1643.5084042621843</v>
      </c>
      <c r="CI99" s="197">
        <f t="shared" si="245"/>
        <v>0</v>
      </c>
      <c r="CJ99" s="197">
        <f t="shared" si="246"/>
        <v>460.71212927786485</v>
      </c>
      <c r="CK99" s="197">
        <f t="shared" si="247"/>
        <v>1182.7962749843193</v>
      </c>
      <c r="CL99" s="199">
        <f t="shared" si="248"/>
        <v>1182.7962749843193</v>
      </c>
      <c r="CM99" s="196">
        <f t="shared" si="269"/>
        <v>11490.009782230147</v>
      </c>
      <c r="CN99" s="197">
        <f t="shared" si="249"/>
        <v>2899.4159442201048</v>
      </c>
      <c r="CO99" s="197">
        <f t="shared" si="249"/>
        <v>5319.6528424839235</v>
      </c>
      <c r="CP99" s="197">
        <f t="shared" si="249"/>
        <v>6170.3569397462225</v>
      </c>
      <c r="CQ99" s="199">
        <f t="shared" si="249"/>
        <v>9069.7728839663268</v>
      </c>
      <c r="CT99" s="204">
        <f t="shared" si="270"/>
        <v>12</v>
      </c>
      <c r="CU99" s="759">
        <f>'Energy NPV'!$D24*$CV$84</f>
        <v>0</v>
      </c>
      <c r="CV99" s="197">
        <f>'Energy margins'!$E$12</f>
        <v>43.75</v>
      </c>
      <c r="CW99" s="197">
        <f t="shared" si="271"/>
        <v>0</v>
      </c>
      <c r="CX99" s="197"/>
      <c r="CY99" s="197">
        <f t="shared" si="250"/>
        <v>0</v>
      </c>
      <c r="CZ99" s="197"/>
      <c r="DA99" s="918">
        <f>'Energy NPV'!U24</f>
        <v>637.73333400000001</v>
      </c>
      <c r="DB99" s="197"/>
      <c r="DC99" s="197">
        <f t="shared" si="251"/>
        <v>637.73333400000001</v>
      </c>
      <c r="DD99" s="197">
        <f t="shared" si="216"/>
        <v>-637.73333400000001</v>
      </c>
      <c r="DE99" s="197">
        <f t="shared" si="217"/>
        <v>-637.73333400000001</v>
      </c>
      <c r="DF99" s="196">
        <f t="shared" si="252"/>
        <v>0</v>
      </c>
      <c r="DG99" s="197">
        <f t="shared" si="253"/>
        <v>0</v>
      </c>
      <c r="DH99" s="197">
        <f t="shared" si="254"/>
        <v>460.71212927786485</v>
      </c>
      <c r="DI99" s="197">
        <f t="shared" si="255"/>
        <v>-460.71212927786485</v>
      </c>
      <c r="DJ99" s="199">
        <f t="shared" si="256"/>
        <v>-460.71212927786485</v>
      </c>
      <c r="DK99" s="196">
        <f t="shared" si="272"/>
        <v>0</v>
      </c>
      <c r="DL99" s="197">
        <f t="shared" si="257"/>
        <v>2899.4159442201048</v>
      </c>
      <c r="DM99" s="197">
        <f t="shared" si="257"/>
        <v>5319.6528424839235</v>
      </c>
      <c r="DN99" s="197">
        <f t="shared" si="257"/>
        <v>-5319.6528424839235</v>
      </c>
      <c r="DO99" s="199">
        <f t="shared" si="257"/>
        <v>-2420.2368982638191</v>
      </c>
    </row>
    <row r="100" spans="2:119" x14ac:dyDescent="0.3">
      <c r="B100" s="204">
        <f t="shared" si="258"/>
        <v>13</v>
      </c>
      <c r="C100" s="759">
        <f>'Energy NPV'!$D25*$E$84</f>
        <v>0</v>
      </c>
      <c r="D100" s="197">
        <f>'Energy margins'!$E$12</f>
        <v>43.75</v>
      </c>
      <c r="E100" s="197">
        <f t="shared" si="259"/>
        <v>0</v>
      </c>
      <c r="F100" s="197"/>
      <c r="G100" s="197">
        <f t="shared" si="218"/>
        <v>0</v>
      </c>
      <c r="H100" s="197"/>
      <c r="I100" s="918">
        <f>'Energy NPV'!U25</f>
        <v>0</v>
      </c>
      <c r="J100" s="197"/>
      <c r="K100" s="197">
        <f t="shared" si="219"/>
        <v>0</v>
      </c>
      <c r="L100" s="197">
        <f t="shared" si="208"/>
        <v>0</v>
      </c>
      <c r="M100" s="197">
        <f t="shared" si="209"/>
        <v>0</v>
      </c>
      <c r="N100" s="196">
        <f t="shared" si="220"/>
        <v>0</v>
      </c>
      <c r="O100" s="197">
        <f t="shared" si="221"/>
        <v>0</v>
      </c>
      <c r="P100" s="197">
        <f t="shared" si="222"/>
        <v>0</v>
      </c>
      <c r="Q100" s="197">
        <f t="shared" si="223"/>
        <v>0</v>
      </c>
      <c r="R100" s="199">
        <f t="shared" si="224"/>
        <v>0</v>
      </c>
      <c r="S100" s="196">
        <f t="shared" si="260"/>
        <v>5745.0048911150734</v>
      </c>
      <c r="T100" s="197">
        <f t="shared" si="225"/>
        <v>2899.4159442201048</v>
      </c>
      <c r="U100" s="197">
        <f t="shared" si="225"/>
        <v>5319.6528424839235</v>
      </c>
      <c r="V100" s="197">
        <f t="shared" si="225"/>
        <v>425.35204863114939</v>
      </c>
      <c r="W100" s="199">
        <f t="shared" si="225"/>
        <v>3324.7679928512539</v>
      </c>
      <c r="Z100" s="204">
        <f t="shared" si="261"/>
        <v>13</v>
      </c>
      <c r="AA100" s="759">
        <f>'Energy NPV'!$D25*$AB$84</f>
        <v>0</v>
      </c>
      <c r="AB100" s="197">
        <f>'Energy margins'!$E$12</f>
        <v>43.75</v>
      </c>
      <c r="AC100" s="197">
        <f t="shared" si="262"/>
        <v>0</v>
      </c>
      <c r="AD100" s="197"/>
      <c r="AE100" s="197">
        <f t="shared" si="226"/>
        <v>0</v>
      </c>
      <c r="AF100" s="197"/>
      <c r="AG100" s="918">
        <f>'Energy NPV'!U25</f>
        <v>0</v>
      </c>
      <c r="AH100" s="197"/>
      <c r="AI100" s="197">
        <f t="shared" si="227"/>
        <v>0</v>
      </c>
      <c r="AJ100" s="197">
        <f t="shared" si="210"/>
        <v>0</v>
      </c>
      <c r="AK100" s="197">
        <f t="shared" si="211"/>
        <v>0</v>
      </c>
      <c r="AL100" s="196">
        <f t="shared" si="228"/>
        <v>0</v>
      </c>
      <c r="AM100" s="197">
        <f t="shared" si="229"/>
        <v>0</v>
      </c>
      <c r="AN100" s="197">
        <f t="shared" si="230"/>
        <v>0</v>
      </c>
      <c r="AO100" s="197">
        <f t="shared" si="231"/>
        <v>0</v>
      </c>
      <c r="AP100" s="199">
        <f t="shared" si="232"/>
        <v>0</v>
      </c>
      <c r="AQ100" s="196">
        <f t="shared" si="263"/>
        <v>8617.5073366726101</v>
      </c>
      <c r="AR100" s="197">
        <f t="shared" si="233"/>
        <v>2899.4159442201048</v>
      </c>
      <c r="AS100" s="197">
        <f t="shared" si="233"/>
        <v>5319.6528424839235</v>
      </c>
      <c r="AT100" s="197">
        <f t="shared" si="233"/>
        <v>3297.8544941886862</v>
      </c>
      <c r="AU100" s="199">
        <f t="shared" si="233"/>
        <v>6197.270438408792</v>
      </c>
      <c r="AX100" s="204">
        <f t="shared" si="264"/>
        <v>13</v>
      </c>
      <c r="AY100" s="759">
        <f>'Energy NPV'!$D25*$AZ$84</f>
        <v>0</v>
      </c>
      <c r="AZ100" s="197">
        <f>'Energy margins'!$E$12</f>
        <v>43.75</v>
      </c>
      <c r="BA100" s="197">
        <f t="shared" si="265"/>
        <v>0</v>
      </c>
      <c r="BB100" s="197"/>
      <c r="BC100" s="197">
        <f t="shared" si="234"/>
        <v>0</v>
      </c>
      <c r="BD100" s="197"/>
      <c r="BE100" s="918">
        <f>'Energy NPV'!U25</f>
        <v>0</v>
      </c>
      <c r="BF100" s="197"/>
      <c r="BG100" s="197">
        <f t="shared" si="235"/>
        <v>0</v>
      </c>
      <c r="BH100" s="197">
        <f t="shared" si="212"/>
        <v>0</v>
      </c>
      <c r="BI100" s="197">
        <f t="shared" si="213"/>
        <v>0</v>
      </c>
      <c r="BJ100" s="196">
        <f t="shared" si="236"/>
        <v>0</v>
      </c>
      <c r="BK100" s="197">
        <f t="shared" si="237"/>
        <v>0</v>
      </c>
      <c r="BL100" s="197">
        <f t="shared" si="238"/>
        <v>0</v>
      </c>
      <c r="BM100" s="197">
        <f t="shared" si="239"/>
        <v>0</v>
      </c>
      <c r="BN100" s="199">
        <f t="shared" si="240"/>
        <v>0</v>
      </c>
      <c r="BO100" s="196">
        <f t="shared" si="266"/>
        <v>2872.5024455575367</v>
      </c>
      <c r="BP100" s="197">
        <f t="shared" si="241"/>
        <v>2899.4159442201048</v>
      </c>
      <c r="BQ100" s="197">
        <f t="shared" si="241"/>
        <v>5319.6528424839235</v>
      </c>
      <c r="BR100" s="197">
        <f t="shared" si="241"/>
        <v>-2447.1503969263867</v>
      </c>
      <c r="BS100" s="199">
        <f t="shared" si="241"/>
        <v>452.26554729371736</v>
      </c>
      <c r="BV100" s="204">
        <f t="shared" si="267"/>
        <v>13</v>
      </c>
      <c r="BW100" s="759">
        <f>'Energy NPV'!$D25*$BX$84</f>
        <v>0</v>
      </c>
      <c r="BX100" s="197">
        <f>'Energy margins'!$E$12</f>
        <v>43.75</v>
      </c>
      <c r="BY100" s="197">
        <f t="shared" si="268"/>
        <v>0</v>
      </c>
      <c r="BZ100" s="197"/>
      <c r="CA100" s="197">
        <f t="shared" si="242"/>
        <v>0</v>
      </c>
      <c r="CB100" s="197"/>
      <c r="CC100" s="918">
        <f>'Energy NPV'!U25</f>
        <v>0</v>
      </c>
      <c r="CD100" s="197"/>
      <c r="CE100" s="197">
        <f t="shared" si="243"/>
        <v>0</v>
      </c>
      <c r="CF100" s="197">
        <f t="shared" si="214"/>
        <v>0</v>
      </c>
      <c r="CG100" s="197">
        <f t="shared" si="215"/>
        <v>0</v>
      </c>
      <c r="CH100" s="196">
        <f t="shared" si="244"/>
        <v>0</v>
      </c>
      <c r="CI100" s="197">
        <f t="shared" si="245"/>
        <v>0</v>
      </c>
      <c r="CJ100" s="197">
        <f t="shared" si="246"/>
        <v>0</v>
      </c>
      <c r="CK100" s="197">
        <f t="shared" si="247"/>
        <v>0</v>
      </c>
      <c r="CL100" s="199">
        <f t="shared" si="248"/>
        <v>0</v>
      </c>
      <c r="CM100" s="196">
        <f t="shared" si="269"/>
        <v>11490.009782230147</v>
      </c>
      <c r="CN100" s="197">
        <f t="shared" si="249"/>
        <v>2899.4159442201048</v>
      </c>
      <c r="CO100" s="197">
        <f t="shared" si="249"/>
        <v>5319.6528424839235</v>
      </c>
      <c r="CP100" s="197">
        <f t="shared" si="249"/>
        <v>6170.3569397462225</v>
      </c>
      <c r="CQ100" s="199">
        <f t="shared" si="249"/>
        <v>9069.7728839663268</v>
      </c>
      <c r="CT100" s="204">
        <f t="shared" si="270"/>
        <v>13</v>
      </c>
      <c r="CU100" s="759">
        <f>'Energy NPV'!$D25*$CV$84</f>
        <v>0</v>
      </c>
      <c r="CV100" s="197">
        <f>'Energy margins'!$E$12</f>
        <v>43.75</v>
      </c>
      <c r="CW100" s="197">
        <f t="shared" si="271"/>
        <v>0</v>
      </c>
      <c r="CX100" s="197"/>
      <c r="CY100" s="197">
        <f t="shared" si="250"/>
        <v>0</v>
      </c>
      <c r="CZ100" s="197"/>
      <c r="DA100" s="918">
        <f>'Energy NPV'!U25</f>
        <v>0</v>
      </c>
      <c r="DB100" s="197"/>
      <c r="DC100" s="197">
        <f t="shared" si="251"/>
        <v>0</v>
      </c>
      <c r="DD100" s="197">
        <f t="shared" si="216"/>
        <v>0</v>
      </c>
      <c r="DE100" s="197">
        <f t="shared" si="217"/>
        <v>0</v>
      </c>
      <c r="DF100" s="196">
        <f t="shared" si="252"/>
        <v>0</v>
      </c>
      <c r="DG100" s="197">
        <f t="shared" si="253"/>
        <v>0</v>
      </c>
      <c r="DH100" s="197">
        <f t="shared" si="254"/>
        <v>0</v>
      </c>
      <c r="DI100" s="197">
        <f t="shared" si="255"/>
        <v>0</v>
      </c>
      <c r="DJ100" s="199">
        <f t="shared" si="256"/>
        <v>0</v>
      </c>
      <c r="DK100" s="196">
        <f t="shared" si="272"/>
        <v>0</v>
      </c>
      <c r="DL100" s="197">
        <f t="shared" si="257"/>
        <v>2899.4159442201048</v>
      </c>
      <c r="DM100" s="197">
        <f t="shared" si="257"/>
        <v>5319.6528424839235</v>
      </c>
      <c r="DN100" s="197">
        <f t="shared" si="257"/>
        <v>-5319.6528424839235</v>
      </c>
      <c r="DO100" s="199">
        <f t="shared" si="257"/>
        <v>-2420.2368982638191</v>
      </c>
    </row>
    <row r="101" spans="2:119" x14ac:dyDescent="0.3">
      <c r="B101" s="204">
        <f t="shared" si="258"/>
        <v>14</v>
      </c>
      <c r="C101" s="759">
        <f>'Energy NPV'!$D26*$E$84</f>
        <v>26</v>
      </c>
      <c r="D101" s="197">
        <f>'Energy margins'!$E$12</f>
        <v>43.75</v>
      </c>
      <c r="E101" s="197">
        <f t="shared" si="259"/>
        <v>1137.5</v>
      </c>
      <c r="F101" s="197"/>
      <c r="G101" s="197">
        <f t="shared" si="218"/>
        <v>1137.5</v>
      </c>
      <c r="H101" s="197"/>
      <c r="I101" s="918">
        <f>'Energy NPV'!U26</f>
        <v>637.73333400000001</v>
      </c>
      <c r="J101" s="197"/>
      <c r="K101" s="197">
        <f t="shared" si="219"/>
        <v>637.73333400000001</v>
      </c>
      <c r="L101" s="197">
        <f t="shared" si="208"/>
        <v>499.76666599999999</v>
      </c>
      <c r="M101" s="197">
        <f t="shared" si="209"/>
        <v>499.76666599999999</v>
      </c>
      <c r="N101" s="196">
        <f t="shared" si="220"/>
        <v>774.58214924223989</v>
      </c>
      <c r="O101" s="197">
        <f t="shared" si="221"/>
        <v>0</v>
      </c>
      <c r="P101" s="197">
        <f t="shared" si="222"/>
        <v>434.26536834561688</v>
      </c>
      <c r="Q101" s="197">
        <f t="shared" si="223"/>
        <v>340.31678089662296</v>
      </c>
      <c r="R101" s="199">
        <f t="shared" si="224"/>
        <v>340.31678089662296</v>
      </c>
      <c r="S101" s="196">
        <f t="shared" si="260"/>
        <v>6519.5870403573135</v>
      </c>
      <c r="T101" s="197">
        <f t="shared" si="225"/>
        <v>2899.4159442201048</v>
      </c>
      <c r="U101" s="197">
        <f t="shared" si="225"/>
        <v>5753.9182108295399</v>
      </c>
      <c r="V101" s="197">
        <f t="shared" si="225"/>
        <v>765.66882952777235</v>
      </c>
      <c r="W101" s="199">
        <f t="shared" si="225"/>
        <v>3665.0847737478771</v>
      </c>
      <c r="Z101" s="204">
        <f t="shared" si="261"/>
        <v>14</v>
      </c>
      <c r="AA101" s="759">
        <f>'Energy NPV'!$D26*$AB$84</f>
        <v>39</v>
      </c>
      <c r="AB101" s="197">
        <f>'Energy margins'!$E$12</f>
        <v>43.75</v>
      </c>
      <c r="AC101" s="197">
        <f t="shared" si="262"/>
        <v>1706.25</v>
      </c>
      <c r="AD101" s="197"/>
      <c r="AE101" s="197">
        <f t="shared" si="226"/>
        <v>1706.25</v>
      </c>
      <c r="AF101" s="197"/>
      <c r="AG101" s="918">
        <f>'Energy NPV'!U26</f>
        <v>637.73333400000001</v>
      </c>
      <c r="AH101" s="197"/>
      <c r="AI101" s="197">
        <f t="shared" si="227"/>
        <v>637.73333400000001</v>
      </c>
      <c r="AJ101" s="197">
        <f t="shared" si="210"/>
        <v>1068.516666</v>
      </c>
      <c r="AK101" s="197">
        <f t="shared" si="211"/>
        <v>1068.516666</v>
      </c>
      <c r="AL101" s="196">
        <f t="shared" si="228"/>
        <v>1161.8732238633597</v>
      </c>
      <c r="AM101" s="197">
        <f t="shared" si="229"/>
        <v>0</v>
      </c>
      <c r="AN101" s="197">
        <f t="shared" si="230"/>
        <v>434.26536834561688</v>
      </c>
      <c r="AO101" s="197">
        <f t="shared" si="231"/>
        <v>727.60785551774291</v>
      </c>
      <c r="AP101" s="199">
        <f t="shared" si="232"/>
        <v>727.60785551774291</v>
      </c>
      <c r="AQ101" s="196">
        <f t="shared" si="263"/>
        <v>9779.3805605359703</v>
      </c>
      <c r="AR101" s="197">
        <f t="shared" si="233"/>
        <v>2899.4159442201048</v>
      </c>
      <c r="AS101" s="197">
        <f t="shared" si="233"/>
        <v>5753.9182108295399</v>
      </c>
      <c r="AT101" s="197">
        <f t="shared" si="233"/>
        <v>4025.462349706429</v>
      </c>
      <c r="AU101" s="199">
        <f t="shared" si="233"/>
        <v>6924.8782939265348</v>
      </c>
      <c r="AX101" s="204">
        <f t="shared" si="264"/>
        <v>14</v>
      </c>
      <c r="AY101" s="759">
        <f>'Energy NPV'!$D26*$AZ$84</f>
        <v>13</v>
      </c>
      <c r="AZ101" s="197">
        <f>'Energy margins'!$E$12</f>
        <v>43.75</v>
      </c>
      <c r="BA101" s="197">
        <f t="shared" si="265"/>
        <v>568.75</v>
      </c>
      <c r="BB101" s="197"/>
      <c r="BC101" s="197">
        <f t="shared" si="234"/>
        <v>568.75</v>
      </c>
      <c r="BD101" s="197"/>
      <c r="BE101" s="918">
        <f>'Energy NPV'!U26</f>
        <v>637.73333400000001</v>
      </c>
      <c r="BF101" s="197"/>
      <c r="BG101" s="197">
        <f t="shared" si="235"/>
        <v>637.73333400000001</v>
      </c>
      <c r="BH101" s="197">
        <f t="shared" si="212"/>
        <v>-68.983334000000013</v>
      </c>
      <c r="BI101" s="197">
        <f t="shared" si="213"/>
        <v>-68.983334000000013</v>
      </c>
      <c r="BJ101" s="196">
        <f t="shared" si="236"/>
        <v>387.29107462111995</v>
      </c>
      <c r="BK101" s="197">
        <f t="shared" si="237"/>
        <v>0</v>
      </c>
      <c r="BL101" s="197">
        <f t="shared" si="238"/>
        <v>434.26536834561688</v>
      </c>
      <c r="BM101" s="197">
        <f t="shared" si="239"/>
        <v>-46.97429372449696</v>
      </c>
      <c r="BN101" s="199">
        <f t="shared" si="240"/>
        <v>-46.97429372449696</v>
      </c>
      <c r="BO101" s="196">
        <f t="shared" si="266"/>
        <v>3259.7935201786568</v>
      </c>
      <c r="BP101" s="197">
        <f t="shared" si="241"/>
        <v>2899.4159442201048</v>
      </c>
      <c r="BQ101" s="197">
        <f t="shared" si="241"/>
        <v>5753.9182108295399</v>
      </c>
      <c r="BR101" s="197">
        <f t="shared" si="241"/>
        <v>-2494.1246906508836</v>
      </c>
      <c r="BS101" s="199">
        <f t="shared" si="241"/>
        <v>405.29125356922043</v>
      </c>
      <c r="BV101" s="204">
        <f t="shared" si="267"/>
        <v>14</v>
      </c>
      <c r="BW101" s="759">
        <f>'Energy NPV'!$D26*$BX$84</f>
        <v>52</v>
      </c>
      <c r="BX101" s="197">
        <f>'Energy margins'!$E$12</f>
        <v>43.75</v>
      </c>
      <c r="BY101" s="197">
        <f t="shared" si="268"/>
        <v>2275</v>
      </c>
      <c r="BZ101" s="197"/>
      <c r="CA101" s="197">
        <f t="shared" si="242"/>
        <v>2275</v>
      </c>
      <c r="CB101" s="197"/>
      <c r="CC101" s="918">
        <f>'Energy NPV'!U26</f>
        <v>637.73333400000001</v>
      </c>
      <c r="CD101" s="197"/>
      <c r="CE101" s="197">
        <f t="shared" si="243"/>
        <v>637.73333400000001</v>
      </c>
      <c r="CF101" s="197">
        <f t="shared" si="214"/>
        <v>1637.266666</v>
      </c>
      <c r="CG101" s="197">
        <f t="shared" si="215"/>
        <v>1637.266666</v>
      </c>
      <c r="CH101" s="196">
        <f t="shared" si="244"/>
        <v>1549.1642984844798</v>
      </c>
      <c r="CI101" s="197">
        <f t="shared" si="245"/>
        <v>0</v>
      </c>
      <c r="CJ101" s="197">
        <f t="shared" si="246"/>
        <v>434.26536834561688</v>
      </c>
      <c r="CK101" s="197">
        <f t="shared" si="247"/>
        <v>1114.8989301388629</v>
      </c>
      <c r="CL101" s="199">
        <f t="shared" si="248"/>
        <v>1114.8989301388629</v>
      </c>
      <c r="CM101" s="196">
        <f t="shared" si="269"/>
        <v>13039.174080714627</v>
      </c>
      <c r="CN101" s="197">
        <f t="shared" si="249"/>
        <v>2899.4159442201048</v>
      </c>
      <c r="CO101" s="197">
        <f t="shared" si="249"/>
        <v>5753.9182108295399</v>
      </c>
      <c r="CP101" s="197">
        <f t="shared" si="249"/>
        <v>7285.2558698850853</v>
      </c>
      <c r="CQ101" s="199">
        <f t="shared" si="249"/>
        <v>10184.67181410519</v>
      </c>
      <c r="CT101" s="204">
        <f t="shared" si="270"/>
        <v>14</v>
      </c>
      <c r="CU101" s="759">
        <f>'Energy NPV'!$D26*$CV$84</f>
        <v>0</v>
      </c>
      <c r="CV101" s="197">
        <f>'Energy margins'!$E$12</f>
        <v>43.75</v>
      </c>
      <c r="CW101" s="197">
        <f t="shared" si="271"/>
        <v>0</v>
      </c>
      <c r="CX101" s="197"/>
      <c r="CY101" s="197">
        <f t="shared" si="250"/>
        <v>0</v>
      </c>
      <c r="CZ101" s="197"/>
      <c r="DA101" s="918">
        <f>'Energy NPV'!U26</f>
        <v>637.73333400000001</v>
      </c>
      <c r="DB101" s="197"/>
      <c r="DC101" s="197">
        <f t="shared" si="251"/>
        <v>637.73333400000001</v>
      </c>
      <c r="DD101" s="197">
        <f t="shared" si="216"/>
        <v>-637.73333400000001</v>
      </c>
      <c r="DE101" s="197">
        <f t="shared" si="217"/>
        <v>-637.73333400000001</v>
      </c>
      <c r="DF101" s="196">
        <f t="shared" si="252"/>
        <v>0</v>
      </c>
      <c r="DG101" s="197">
        <f t="shared" si="253"/>
        <v>0</v>
      </c>
      <c r="DH101" s="197">
        <f t="shared" si="254"/>
        <v>434.26536834561688</v>
      </c>
      <c r="DI101" s="197">
        <f t="shared" si="255"/>
        <v>-434.26536834561688</v>
      </c>
      <c r="DJ101" s="199">
        <f t="shared" si="256"/>
        <v>-434.26536834561688</v>
      </c>
      <c r="DK101" s="196">
        <f t="shared" si="272"/>
        <v>0</v>
      </c>
      <c r="DL101" s="197">
        <f t="shared" si="257"/>
        <v>2899.4159442201048</v>
      </c>
      <c r="DM101" s="197">
        <f t="shared" si="257"/>
        <v>5753.9182108295399</v>
      </c>
      <c r="DN101" s="197">
        <f t="shared" si="257"/>
        <v>-5753.9182108295399</v>
      </c>
      <c r="DO101" s="199">
        <f t="shared" si="257"/>
        <v>-2854.502266609436</v>
      </c>
    </row>
    <row r="102" spans="2:119" x14ac:dyDescent="0.3">
      <c r="B102" s="204">
        <f t="shared" si="258"/>
        <v>15</v>
      </c>
      <c r="C102" s="759">
        <f>'Energy NPV'!$D27*$E$84</f>
        <v>0</v>
      </c>
      <c r="D102" s="197">
        <f>'Energy margins'!$E$12</f>
        <v>43.75</v>
      </c>
      <c r="E102" s="197">
        <f t="shared" si="259"/>
        <v>0</v>
      </c>
      <c r="F102" s="197"/>
      <c r="G102" s="197">
        <f t="shared" si="218"/>
        <v>0</v>
      </c>
      <c r="H102" s="197"/>
      <c r="I102" s="918">
        <f>'Energy NPV'!U27</f>
        <v>0</v>
      </c>
      <c r="J102" s="197"/>
      <c r="K102" s="197">
        <f t="shared" si="219"/>
        <v>0</v>
      </c>
      <c r="L102" s="197">
        <f t="shared" si="208"/>
        <v>0</v>
      </c>
      <c r="M102" s="197">
        <f t="shared" si="209"/>
        <v>0</v>
      </c>
      <c r="N102" s="196">
        <f t="shared" si="220"/>
        <v>0</v>
      </c>
      <c r="O102" s="197">
        <f t="shared" si="221"/>
        <v>0</v>
      </c>
      <c r="P102" s="197">
        <f t="shared" si="222"/>
        <v>0</v>
      </c>
      <c r="Q102" s="197">
        <f t="shared" si="223"/>
        <v>0</v>
      </c>
      <c r="R102" s="199">
        <f t="shared" si="224"/>
        <v>0</v>
      </c>
      <c r="S102" s="196">
        <f t="shared" si="260"/>
        <v>6519.5870403573135</v>
      </c>
      <c r="T102" s="197">
        <f t="shared" si="225"/>
        <v>2899.4159442201048</v>
      </c>
      <c r="U102" s="197">
        <f t="shared" si="225"/>
        <v>5753.9182108295399</v>
      </c>
      <c r="V102" s="197">
        <f t="shared" si="225"/>
        <v>765.66882952777235</v>
      </c>
      <c r="W102" s="199">
        <f t="shared" si="225"/>
        <v>3665.0847737478771</v>
      </c>
      <c r="Z102" s="204">
        <f t="shared" si="261"/>
        <v>15</v>
      </c>
      <c r="AA102" s="759">
        <f>'Energy NPV'!$D27*$AB$84</f>
        <v>0</v>
      </c>
      <c r="AB102" s="197">
        <f>'Energy margins'!$E$12</f>
        <v>43.75</v>
      </c>
      <c r="AC102" s="197">
        <f t="shared" si="262"/>
        <v>0</v>
      </c>
      <c r="AD102" s="197"/>
      <c r="AE102" s="197">
        <f t="shared" si="226"/>
        <v>0</v>
      </c>
      <c r="AF102" s="197"/>
      <c r="AG102" s="918">
        <f>'Energy NPV'!U27</f>
        <v>0</v>
      </c>
      <c r="AH102" s="197"/>
      <c r="AI102" s="197">
        <f t="shared" si="227"/>
        <v>0</v>
      </c>
      <c r="AJ102" s="197">
        <f t="shared" si="210"/>
        <v>0</v>
      </c>
      <c r="AK102" s="197">
        <f t="shared" si="211"/>
        <v>0</v>
      </c>
      <c r="AL102" s="196">
        <f t="shared" si="228"/>
        <v>0</v>
      </c>
      <c r="AM102" s="197">
        <f t="shared" si="229"/>
        <v>0</v>
      </c>
      <c r="AN102" s="197">
        <f t="shared" si="230"/>
        <v>0</v>
      </c>
      <c r="AO102" s="197">
        <f t="shared" si="231"/>
        <v>0</v>
      </c>
      <c r="AP102" s="199">
        <f t="shared" si="232"/>
        <v>0</v>
      </c>
      <c r="AQ102" s="196">
        <f t="shared" si="263"/>
        <v>9779.3805605359703</v>
      </c>
      <c r="AR102" s="197">
        <f t="shared" si="233"/>
        <v>2899.4159442201048</v>
      </c>
      <c r="AS102" s="197">
        <f t="shared" si="233"/>
        <v>5753.9182108295399</v>
      </c>
      <c r="AT102" s="197">
        <f t="shared" si="233"/>
        <v>4025.462349706429</v>
      </c>
      <c r="AU102" s="199">
        <f t="shared" si="233"/>
        <v>6924.8782939265348</v>
      </c>
      <c r="AX102" s="204">
        <f t="shared" si="264"/>
        <v>15</v>
      </c>
      <c r="AY102" s="759">
        <f>'Energy NPV'!$D27*$AZ$84</f>
        <v>0</v>
      </c>
      <c r="AZ102" s="197">
        <f>'Energy margins'!$E$12</f>
        <v>43.75</v>
      </c>
      <c r="BA102" s="197">
        <f t="shared" si="265"/>
        <v>0</v>
      </c>
      <c r="BB102" s="197"/>
      <c r="BC102" s="197">
        <f t="shared" si="234"/>
        <v>0</v>
      </c>
      <c r="BD102" s="197"/>
      <c r="BE102" s="918">
        <f>'Energy NPV'!U27</f>
        <v>0</v>
      </c>
      <c r="BF102" s="197"/>
      <c r="BG102" s="197">
        <f t="shared" si="235"/>
        <v>0</v>
      </c>
      <c r="BH102" s="197">
        <f t="shared" si="212"/>
        <v>0</v>
      </c>
      <c r="BI102" s="197">
        <f t="shared" si="213"/>
        <v>0</v>
      </c>
      <c r="BJ102" s="196">
        <f t="shared" si="236"/>
        <v>0</v>
      </c>
      <c r="BK102" s="197">
        <f t="shared" si="237"/>
        <v>0</v>
      </c>
      <c r="BL102" s="197">
        <f t="shared" si="238"/>
        <v>0</v>
      </c>
      <c r="BM102" s="197">
        <f t="shared" si="239"/>
        <v>0</v>
      </c>
      <c r="BN102" s="199">
        <f t="shared" si="240"/>
        <v>0</v>
      </c>
      <c r="BO102" s="196">
        <f t="shared" si="266"/>
        <v>3259.7935201786568</v>
      </c>
      <c r="BP102" s="197">
        <f t="shared" si="241"/>
        <v>2899.4159442201048</v>
      </c>
      <c r="BQ102" s="197">
        <f t="shared" si="241"/>
        <v>5753.9182108295399</v>
      </c>
      <c r="BR102" s="197">
        <f t="shared" si="241"/>
        <v>-2494.1246906508836</v>
      </c>
      <c r="BS102" s="199">
        <f t="shared" si="241"/>
        <v>405.29125356922043</v>
      </c>
      <c r="BV102" s="204">
        <f t="shared" si="267"/>
        <v>15</v>
      </c>
      <c r="BW102" s="759">
        <f>'Energy NPV'!$D27*$BX$84</f>
        <v>0</v>
      </c>
      <c r="BX102" s="197">
        <f>'Energy margins'!$E$12</f>
        <v>43.75</v>
      </c>
      <c r="BY102" s="197">
        <f t="shared" si="268"/>
        <v>0</v>
      </c>
      <c r="BZ102" s="197"/>
      <c r="CA102" s="197">
        <f t="shared" si="242"/>
        <v>0</v>
      </c>
      <c r="CB102" s="197"/>
      <c r="CC102" s="918">
        <f>'Energy NPV'!U27</f>
        <v>0</v>
      </c>
      <c r="CD102" s="197"/>
      <c r="CE102" s="197">
        <f t="shared" si="243"/>
        <v>0</v>
      </c>
      <c r="CF102" s="197">
        <f t="shared" si="214"/>
        <v>0</v>
      </c>
      <c r="CG102" s="197">
        <f t="shared" si="215"/>
        <v>0</v>
      </c>
      <c r="CH102" s="196">
        <f t="shared" si="244"/>
        <v>0</v>
      </c>
      <c r="CI102" s="197">
        <f t="shared" si="245"/>
        <v>0</v>
      </c>
      <c r="CJ102" s="197">
        <f t="shared" si="246"/>
        <v>0</v>
      </c>
      <c r="CK102" s="197">
        <f t="shared" si="247"/>
        <v>0</v>
      </c>
      <c r="CL102" s="199">
        <f t="shared" si="248"/>
        <v>0</v>
      </c>
      <c r="CM102" s="196">
        <f t="shared" si="269"/>
        <v>13039.174080714627</v>
      </c>
      <c r="CN102" s="197">
        <f t="shared" si="249"/>
        <v>2899.4159442201048</v>
      </c>
      <c r="CO102" s="197">
        <f t="shared" si="249"/>
        <v>5753.9182108295399</v>
      </c>
      <c r="CP102" s="197">
        <f t="shared" si="249"/>
        <v>7285.2558698850853</v>
      </c>
      <c r="CQ102" s="199">
        <f t="shared" si="249"/>
        <v>10184.67181410519</v>
      </c>
      <c r="CT102" s="204">
        <f t="shared" si="270"/>
        <v>15</v>
      </c>
      <c r="CU102" s="759">
        <f>'Energy NPV'!$D27*$CV$84</f>
        <v>0</v>
      </c>
      <c r="CV102" s="197">
        <f>'Energy margins'!$E$12</f>
        <v>43.75</v>
      </c>
      <c r="CW102" s="197">
        <f t="shared" si="271"/>
        <v>0</v>
      </c>
      <c r="CX102" s="197"/>
      <c r="CY102" s="197">
        <f t="shared" si="250"/>
        <v>0</v>
      </c>
      <c r="CZ102" s="197"/>
      <c r="DA102" s="918">
        <f>'Energy NPV'!U27</f>
        <v>0</v>
      </c>
      <c r="DB102" s="197"/>
      <c r="DC102" s="197">
        <f t="shared" si="251"/>
        <v>0</v>
      </c>
      <c r="DD102" s="197">
        <f t="shared" si="216"/>
        <v>0</v>
      </c>
      <c r="DE102" s="197">
        <f t="shared" si="217"/>
        <v>0</v>
      </c>
      <c r="DF102" s="196">
        <f t="shared" si="252"/>
        <v>0</v>
      </c>
      <c r="DG102" s="197">
        <f t="shared" si="253"/>
        <v>0</v>
      </c>
      <c r="DH102" s="197">
        <f t="shared" si="254"/>
        <v>0</v>
      </c>
      <c r="DI102" s="197">
        <f t="shared" si="255"/>
        <v>0</v>
      </c>
      <c r="DJ102" s="199">
        <f t="shared" si="256"/>
        <v>0</v>
      </c>
      <c r="DK102" s="196">
        <f t="shared" si="272"/>
        <v>0</v>
      </c>
      <c r="DL102" s="197">
        <f t="shared" si="257"/>
        <v>2899.4159442201048</v>
      </c>
      <c r="DM102" s="197">
        <f t="shared" si="257"/>
        <v>5753.9182108295399</v>
      </c>
      <c r="DN102" s="197">
        <f t="shared" si="257"/>
        <v>-5753.9182108295399</v>
      </c>
      <c r="DO102" s="199">
        <f t="shared" si="257"/>
        <v>-2854.502266609436</v>
      </c>
    </row>
    <row r="103" spans="2:119" x14ac:dyDescent="0.3">
      <c r="B103" s="206">
        <f t="shared" si="258"/>
        <v>16</v>
      </c>
      <c r="C103" s="215">
        <f>'Energy NPV'!$D28*$E$84</f>
        <v>26</v>
      </c>
      <c r="D103" s="207">
        <f>'Energy margins'!$E$12</f>
        <v>43.75</v>
      </c>
      <c r="E103" s="207">
        <f t="shared" si="259"/>
        <v>1137.5</v>
      </c>
      <c r="F103" s="207"/>
      <c r="G103" s="207">
        <f t="shared" si="218"/>
        <v>1137.5</v>
      </c>
      <c r="H103" s="207"/>
      <c r="I103" s="919">
        <f>'Energy NPV'!U28</f>
        <v>637.73333400000001</v>
      </c>
      <c r="J103" s="207">
        <f>'Energy margins'!$J$67</f>
        <v>500</v>
      </c>
      <c r="K103" s="207">
        <f t="shared" si="219"/>
        <v>1137.733334</v>
      </c>
      <c r="L103" s="207">
        <f t="shared" si="208"/>
        <v>-0.23333400000001348</v>
      </c>
      <c r="M103" s="207">
        <f t="shared" si="209"/>
        <v>-0.23333400000001348</v>
      </c>
      <c r="N103" s="208">
        <f t="shared" si="220"/>
        <v>730.11796516376637</v>
      </c>
      <c r="O103" s="207">
        <f t="shared" si="221"/>
        <v>0</v>
      </c>
      <c r="P103" s="207">
        <f t="shared" si="222"/>
        <v>730.26773337940028</v>
      </c>
      <c r="Q103" s="207">
        <f t="shared" si="223"/>
        <v>-0.14976821563387438</v>
      </c>
      <c r="R103" s="209">
        <f t="shared" si="224"/>
        <v>-0.14976821563387438</v>
      </c>
      <c r="S103" s="208">
        <f t="shared" si="260"/>
        <v>7249.7050055210802</v>
      </c>
      <c r="T103" s="207">
        <f t="shared" si="225"/>
        <v>2899.4159442201048</v>
      </c>
      <c r="U103" s="207">
        <f t="shared" si="225"/>
        <v>6484.1859442089399</v>
      </c>
      <c r="V103" s="207">
        <f t="shared" si="225"/>
        <v>765.51906131213843</v>
      </c>
      <c r="W103" s="209">
        <f t="shared" si="225"/>
        <v>3664.9350055322434</v>
      </c>
      <c r="Z103" s="206">
        <f t="shared" si="261"/>
        <v>16</v>
      </c>
      <c r="AA103" s="215">
        <f>'Energy NPV'!$D28*$AB$84</f>
        <v>39</v>
      </c>
      <c r="AB103" s="207">
        <f>'Energy margins'!$E$12</f>
        <v>43.75</v>
      </c>
      <c r="AC103" s="207">
        <f t="shared" si="262"/>
        <v>1706.25</v>
      </c>
      <c r="AD103" s="207"/>
      <c r="AE103" s="207">
        <f t="shared" si="226"/>
        <v>1706.25</v>
      </c>
      <c r="AF103" s="207"/>
      <c r="AG103" s="919">
        <f>'Energy NPV'!U28</f>
        <v>637.73333400000001</v>
      </c>
      <c r="AH103" s="207">
        <f>'Energy margins'!$J$67</f>
        <v>500</v>
      </c>
      <c r="AI103" s="207">
        <f t="shared" si="227"/>
        <v>1137.733334</v>
      </c>
      <c r="AJ103" s="207">
        <f t="shared" si="210"/>
        <v>568.51666599999999</v>
      </c>
      <c r="AK103" s="207">
        <f t="shared" si="211"/>
        <v>568.51666599999999</v>
      </c>
      <c r="AL103" s="208">
        <f t="shared" si="228"/>
        <v>1095.1769477456496</v>
      </c>
      <c r="AM103" s="207">
        <f t="shared" si="229"/>
        <v>0</v>
      </c>
      <c r="AN103" s="207">
        <f t="shared" si="230"/>
        <v>730.26773337940028</v>
      </c>
      <c r="AO103" s="207">
        <f t="shared" si="231"/>
        <v>364.90921436624933</v>
      </c>
      <c r="AP103" s="209">
        <f t="shared" si="232"/>
        <v>364.90921436624933</v>
      </c>
      <c r="AQ103" s="208">
        <f>AQ102+AL103</f>
        <v>10874.557508281619</v>
      </c>
      <c r="AR103" s="207">
        <f t="shared" si="233"/>
        <v>2899.4159442201048</v>
      </c>
      <c r="AS103" s="207">
        <f t="shared" si="233"/>
        <v>6484.1859442089399</v>
      </c>
      <c r="AT103" s="207">
        <f t="shared" si="233"/>
        <v>4390.3715640726787</v>
      </c>
      <c r="AU103" s="209">
        <f t="shared" si="233"/>
        <v>7289.787508292784</v>
      </c>
      <c r="AX103" s="206">
        <f t="shared" si="264"/>
        <v>16</v>
      </c>
      <c r="AY103" s="215">
        <f>'Energy NPV'!$D28*$AZ$84</f>
        <v>13</v>
      </c>
      <c r="AZ103" s="207">
        <f>'Energy margins'!$E$12</f>
        <v>43.75</v>
      </c>
      <c r="BA103" s="207">
        <f t="shared" si="265"/>
        <v>568.75</v>
      </c>
      <c r="BB103" s="207"/>
      <c r="BC103" s="207">
        <f t="shared" si="234"/>
        <v>568.75</v>
      </c>
      <c r="BD103" s="207"/>
      <c r="BE103" s="919">
        <f>'Energy NPV'!U28</f>
        <v>637.73333400000001</v>
      </c>
      <c r="BF103" s="207">
        <f>'Energy margins'!$J$67</f>
        <v>500</v>
      </c>
      <c r="BG103" s="207">
        <f t="shared" si="235"/>
        <v>1137.733334</v>
      </c>
      <c r="BH103" s="207">
        <f t="shared" si="212"/>
        <v>-568.98333400000001</v>
      </c>
      <c r="BI103" s="207">
        <f t="shared" si="213"/>
        <v>-568.98333400000001</v>
      </c>
      <c r="BJ103" s="208">
        <f t="shared" si="236"/>
        <v>365.05898258188319</v>
      </c>
      <c r="BK103" s="207">
        <f t="shared" si="237"/>
        <v>0</v>
      </c>
      <c r="BL103" s="207">
        <f t="shared" si="238"/>
        <v>730.26773337940028</v>
      </c>
      <c r="BM103" s="207">
        <f t="shared" si="239"/>
        <v>-365.20875079751704</v>
      </c>
      <c r="BN103" s="209">
        <f t="shared" si="240"/>
        <v>-365.20875079751704</v>
      </c>
      <c r="BO103" s="208">
        <f t="shared" si="266"/>
        <v>3624.8525027605401</v>
      </c>
      <c r="BP103" s="207">
        <f t="shared" si="241"/>
        <v>2899.4159442201048</v>
      </c>
      <c r="BQ103" s="207">
        <f t="shared" si="241"/>
        <v>6484.1859442089399</v>
      </c>
      <c r="BR103" s="207">
        <f t="shared" si="241"/>
        <v>-2859.3334414484007</v>
      </c>
      <c r="BS103" s="209">
        <f t="shared" si="241"/>
        <v>40.082502771703389</v>
      </c>
      <c r="BV103" s="206">
        <f t="shared" si="267"/>
        <v>16</v>
      </c>
      <c r="BW103" s="215">
        <f>'Energy NPV'!$D28*$BX$84</f>
        <v>52</v>
      </c>
      <c r="BX103" s="207">
        <f>'Energy margins'!$E$12</f>
        <v>43.75</v>
      </c>
      <c r="BY103" s="207">
        <f t="shared" si="268"/>
        <v>2275</v>
      </c>
      <c r="BZ103" s="207"/>
      <c r="CA103" s="207">
        <f t="shared" si="242"/>
        <v>2275</v>
      </c>
      <c r="CB103" s="207"/>
      <c r="CC103" s="919">
        <f>'Energy NPV'!U28</f>
        <v>637.73333400000001</v>
      </c>
      <c r="CD103" s="207">
        <f>'Energy margins'!$J$67</f>
        <v>500</v>
      </c>
      <c r="CE103" s="207">
        <f t="shared" si="243"/>
        <v>1137.733334</v>
      </c>
      <c r="CF103" s="207">
        <f t="shared" si="214"/>
        <v>1137.266666</v>
      </c>
      <c r="CG103" s="207">
        <f t="shared" si="215"/>
        <v>1137.266666</v>
      </c>
      <c r="CH103" s="208">
        <f t="shared" si="244"/>
        <v>1460.2359303275327</v>
      </c>
      <c r="CI103" s="207">
        <f t="shared" si="245"/>
        <v>0</v>
      </c>
      <c r="CJ103" s="207">
        <f t="shared" si="246"/>
        <v>730.26773337940028</v>
      </c>
      <c r="CK103" s="207">
        <f t="shared" si="247"/>
        <v>729.96819694813246</v>
      </c>
      <c r="CL103" s="209">
        <f t="shared" si="248"/>
        <v>729.96819694813246</v>
      </c>
      <c r="CM103" s="208">
        <f t="shared" si="269"/>
        <v>14499.41001104216</v>
      </c>
      <c r="CN103" s="207">
        <f t="shared" si="249"/>
        <v>2899.4159442201048</v>
      </c>
      <c r="CO103" s="207">
        <f t="shared" si="249"/>
        <v>6484.1859442089399</v>
      </c>
      <c r="CP103" s="207">
        <f t="shared" si="249"/>
        <v>8015.2240668332179</v>
      </c>
      <c r="CQ103" s="209">
        <f t="shared" si="249"/>
        <v>10914.640011053321</v>
      </c>
      <c r="CT103" s="206">
        <f t="shared" si="270"/>
        <v>16</v>
      </c>
      <c r="CU103" s="215">
        <f>'Energy NPV'!$D28*$CV$84</f>
        <v>0</v>
      </c>
      <c r="CV103" s="207">
        <f>'Energy margins'!$E$12</f>
        <v>43.75</v>
      </c>
      <c r="CW103" s="207">
        <f t="shared" si="271"/>
        <v>0</v>
      </c>
      <c r="CX103" s="207"/>
      <c r="CY103" s="207">
        <f t="shared" si="250"/>
        <v>0</v>
      </c>
      <c r="CZ103" s="207"/>
      <c r="DA103" s="919">
        <f>'Energy NPV'!U28</f>
        <v>637.73333400000001</v>
      </c>
      <c r="DB103" s="207">
        <f>'Energy margins'!$J$67</f>
        <v>500</v>
      </c>
      <c r="DC103" s="207">
        <f t="shared" si="251"/>
        <v>1137.733334</v>
      </c>
      <c r="DD103" s="207">
        <f t="shared" si="216"/>
        <v>-1137.733334</v>
      </c>
      <c r="DE103" s="207">
        <f t="shared" si="217"/>
        <v>-1137.733334</v>
      </c>
      <c r="DF103" s="208">
        <f t="shared" si="252"/>
        <v>0</v>
      </c>
      <c r="DG103" s="207">
        <f t="shared" si="253"/>
        <v>0</v>
      </c>
      <c r="DH103" s="207">
        <f t="shared" si="254"/>
        <v>730.26773337940028</v>
      </c>
      <c r="DI103" s="207">
        <f t="shared" si="255"/>
        <v>-730.26773337940028</v>
      </c>
      <c r="DJ103" s="209">
        <f>DE103/((1+$B$4)^(CT103-1))</f>
        <v>-730.26773337940028</v>
      </c>
      <c r="DK103" s="208">
        <f t="shared" si="272"/>
        <v>0</v>
      </c>
      <c r="DL103" s="207">
        <f t="shared" si="257"/>
        <v>2899.4159442201048</v>
      </c>
      <c r="DM103" s="207">
        <f t="shared" si="257"/>
        <v>6484.1859442089399</v>
      </c>
      <c r="DN103" s="207">
        <f t="shared" si="257"/>
        <v>-6484.1859442089399</v>
      </c>
      <c r="DO103" s="209">
        <f t="shared" si="257"/>
        <v>-3584.7699999888364</v>
      </c>
    </row>
    <row r="109" spans="2:119" x14ac:dyDescent="0.3">
      <c r="B109" s="211" t="s">
        <v>92</v>
      </c>
      <c r="C109" s="763" t="s">
        <v>408</v>
      </c>
      <c r="D109" s="269" t="s">
        <v>395</v>
      </c>
      <c r="E109" s="906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Z109" s="211" t="s">
        <v>92</v>
      </c>
      <c r="AA109" s="211" t="s">
        <v>318</v>
      </c>
      <c r="AB109" s="906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X109" s="211" t="s">
        <v>92</v>
      </c>
      <c r="AY109" s="211" t="s">
        <v>319</v>
      </c>
      <c r="AZ109" s="906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V109" s="211" t="s">
        <v>92</v>
      </c>
      <c r="BW109" s="211" t="s">
        <v>320</v>
      </c>
      <c r="BX109" s="906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T109" s="211" t="s">
        <v>92</v>
      </c>
      <c r="CU109" s="211" t="s">
        <v>321</v>
      </c>
      <c r="CV109" s="906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108"/>
      <c r="F110" s="1108"/>
      <c r="G110" s="1108"/>
      <c r="H110" s="148"/>
      <c r="I110" s="931"/>
      <c r="J110" s="1108"/>
      <c r="K110" s="1108"/>
      <c r="L110" s="148"/>
      <c r="M110" s="148"/>
      <c r="N110" s="1109" t="s">
        <v>270</v>
      </c>
      <c r="O110" s="1110"/>
      <c r="P110" s="1110"/>
      <c r="Q110" s="1110"/>
      <c r="R110" s="1111"/>
      <c r="S110" s="1109" t="s">
        <v>271</v>
      </c>
      <c r="T110" s="1110"/>
      <c r="U110" s="1110"/>
      <c r="V110" s="1110"/>
      <c r="W110" s="1111"/>
      <c r="Z110" s="203"/>
      <c r="AA110" s="148"/>
      <c r="AB110" s="148"/>
      <c r="AC110" s="992"/>
      <c r="AD110" s="992"/>
      <c r="AE110" s="992"/>
      <c r="AF110" s="148"/>
      <c r="AG110" s="931"/>
      <c r="AH110" s="992"/>
      <c r="AI110" s="992"/>
      <c r="AJ110" s="148"/>
      <c r="AK110" s="148"/>
      <c r="AL110" s="993" t="s">
        <v>270</v>
      </c>
      <c r="AM110" s="994"/>
      <c r="AN110" s="994"/>
      <c r="AO110" s="994"/>
      <c r="AP110" s="995"/>
      <c r="AQ110" s="993" t="s">
        <v>271</v>
      </c>
      <c r="AR110" s="994"/>
      <c r="AS110" s="994"/>
      <c r="AT110" s="994"/>
      <c r="AU110" s="995"/>
      <c r="AX110" s="203"/>
      <c r="AY110" s="148"/>
      <c r="AZ110" s="148"/>
      <c r="BA110" s="992"/>
      <c r="BB110" s="992"/>
      <c r="BC110" s="992"/>
      <c r="BD110" s="148"/>
      <c r="BE110" s="931"/>
      <c r="BF110" s="992"/>
      <c r="BG110" s="992"/>
      <c r="BH110" s="148"/>
      <c r="BI110" s="148"/>
      <c r="BJ110" s="993" t="s">
        <v>270</v>
      </c>
      <c r="BK110" s="994"/>
      <c r="BL110" s="994"/>
      <c r="BM110" s="994"/>
      <c r="BN110" s="995"/>
      <c r="BO110" s="993" t="s">
        <v>271</v>
      </c>
      <c r="BP110" s="994"/>
      <c r="BQ110" s="994"/>
      <c r="BR110" s="994"/>
      <c r="BS110" s="995"/>
      <c r="BV110" s="203"/>
      <c r="BW110" s="148"/>
      <c r="BX110" s="148"/>
      <c r="BY110" s="992"/>
      <c r="BZ110" s="992"/>
      <c r="CA110" s="992"/>
      <c r="CB110" s="148"/>
      <c r="CC110" s="931"/>
      <c r="CD110" s="992"/>
      <c r="CE110" s="992"/>
      <c r="CF110" s="148"/>
      <c r="CG110" s="148"/>
      <c r="CH110" s="993" t="s">
        <v>270</v>
      </c>
      <c r="CI110" s="994"/>
      <c r="CJ110" s="994"/>
      <c r="CK110" s="994"/>
      <c r="CL110" s="995"/>
      <c r="CM110" s="993" t="s">
        <v>271</v>
      </c>
      <c r="CN110" s="994"/>
      <c r="CO110" s="994"/>
      <c r="CP110" s="994"/>
      <c r="CQ110" s="995"/>
      <c r="CT110" s="203"/>
      <c r="CU110" s="148"/>
      <c r="CV110" s="148"/>
      <c r="CW110" s="992"/>
      <c r="CX110" s="992"/>
      <c r="CY110" s="992"/>
      <c r="CZ110" s="148"/>
      <c r="DA110" s="931"/>
      <c r="DB110" s="992"/>
      <c r="DC110" s="992"/>
      <c r="DD110" s="148"/>
      <c r="DE110" s="148"/>
      <c r="DF110" s="993" t="s">
        <v>270</v>
      </c>
      <c r="DG110" s="994"/>
      <c r="DH110" s="994"/>
      <c r="DI110" s="994"/>
      <c r="DJ110" s="995"/>
      <c r="DK110" s="993" t="s">
        <v>271</v>
      </c>
      <c r="DL110" s="994"/>
      <c r="DM110" s="994"/>
      <c r="DN110" s="994"/>
      <c r="DO110" s="995"/>
    </row>
    <row r="111" spans="2:119" ht="51" x14ac:dyDescent="0.3">
      <c r="B111" s="204" t="s">
        <v>272</v>
      </c>
      <c r="C111" s="205" t="s">
        <v>289</v>
      </c>
      <c r="D111" s="205" t="s">
        <v>290</v>
      </c>
      <c r="E111" s="171" t="s">
        <v>676</v>
      </c>
      <c r="F111" s="171" t="s">
        <v>672</v>
      </c>
      <c r="G111" s="171" t="s">
        <v>677</v>
      </c>
      <c r="H111" s="205" t="s">
        <v>287</v>
      </c>
      <c r="I111" s="935" t="str">
        <f>'Energy NPV'!U37</f>
        <v>Total Recurring Costs</v>
      </c>
      <c r="J111" s="205" t="s">
        <v>291</v>
      </c>
      <c r="K111" s="171" t="s">
        <v>276</v>
      </c>
      <c r="L111" s="171" t="s">
        <v>678</v>
      </c>
      <c r="M111" s="171" t="s">
        <v>679</v>
      </c>
      <c r="N111" s="195" t="s">
        <v>277</v>
      </c>
      <c r="O111" s="171" t="s">
        <v>680</v>
      </c>
      <c r="P111" s="171" t="s">
        <v>278</v>
      </c>
      <c r="Q111" s="171" t="s">
        <v>681</v>
      </c>
      <c r="R111" s="198" t="s">
        <v>279</v>
      </c>
      <c r="S111" s="195" t="s">
        <v>280</v>
      </c>
      <c r="T111" s="171" t="s">
        <v>682</v>
      </c>
      <c r="U111" s="171" t="s">
        <v>281</v>
      </c>
      <c r="V111" s="171" t="s">
        <v>683</v>
      </c>
      <c r="W111" s="198" t="s">
        <v>282</v>
      </c>
      <c r="Z111" s="204" t="s">
        <v>272</v>
      </c>
      <c r="AA111" s="205" t="s">
        <v>289</v>
      </c>
      <c r="AB111" s="205" t="s">
        <v>290</v>
      </c>
      <c r="AC111" s="171" t="s">
        <v>676</v>
      </c>
      <c r="AD111" s="171" t="s">
        <v>672</v>
      </c>
      <c r="AE111" s="171" t="s">
        <v>677</v>
      </c>
      <c r="AF111" s="205" t="s">
        <v>287</v>
      </c>
      <c r="AG111" s="935" t="str">
        <f>'Energy NPV'!U37</f>
        <v>Total Recurring Costs</v>
      </c>
      <c r="AH111" s="205" t="s">
        <v>291</v>
      </c>
      <c r="AI111" s="171" t="s">
        <v>276</v>
      </c>
      <c r="AJ111" s="171" t="s">
        <v>678</v>
      </c>
      <c r="AK111" s="171" t="s">
        <v>679</v>
      </c>
      <c r="AL111" s="195" t="s">
        <v>277</v>
      </c>
      <c r="AM111" s="171" t="s">
        <v>680</v>
      </c>
      <c r="AN111" s="171" t="s">
        <v>278</v>
      </c>
      <c r="AO111" s="171" t="s">
        <v>681</v>
      </c>
      <c r="AP111" s="198" t="s">
        <v>279</v>
      </c>
      <c r="AQ111" s="195" t="s">
        <v>280</v>
      </c>
      <c r="AR111" s="171" t="s">
        <v>682</v>
      </c>
      <c r="AS111" s="171" t="s">
        <v>281</v>
      </c>
      <c r="AT111" s="171" t="s">
        <v>683</v>
      </c>
      <c r="AU111" s="198" t="s">
        <v>282</v>
      </c>
      <c r="AX111" s="204" t="s">
        <v>272</v>
      </c>
      <c r="AY111" s="205" t="s">
        <v>289</v>
      </c>
      <c r="AZ111" s="205" t="s">
        <v>290</v>
      </c>
      <c r="BA111" s="171" t="s">
        <v>676</v>
      </c>
      <c r="BB111" s="171" t="s">
        <v>672</v>
      </c>
      <c r="BC111" s="171" t="s">
        <v>677</v>
      </c>
      <c r="BD111" s="205" t="s">
        <v>287</v>
      </c>
      <c r="BE111" s="935" t="str">
        <f>'Energy NPV'!U37</f>
        <v>Total Recurring Costs</v>
      </c>
      <c r="BF111" s="205" t="s">
        <v>291</v>
      </c>
      <c r="BG111" s="171" t="s">
        <v>276</v>
      </c>
      <c r="BH111" s="171" t="s">
        <v>678</v>
      </c>
      <c r="BI111" s="171" t="s">
        <v>679</v>
      </c>
      <c r="BJ111" s="195" t="s">
        <v>277</v>
      </c>
      <c r="BK111" s="171" t="s">
        <v>680</v>
      </c>
      <c r="BL111" s="171" t="s">
        <v>278</v>
      </c>
      <c r="BM111" s="171" t="s">
        <v>681</v>
      </c>
      <c r="BN111" s="198" t="s">
        <v>279</v>
      </c>
      <c r="BO111" s="195" t="s">
        <v>280</v>
      </c>
      <c r="BP111" s="171" t="s">
        <v>682</v>
      </c>
      <c r="BQ111" s="171" t="s">
        <v>281</v>
      </c>
      <c r="BR111" s="171" t="s">
        <v>683</v>
      </c>
      <c r="BS111" s="198" t="s">
        <v>282</v>
      </c>
      <c r="BV111" s="204" t="s">
        <v>272</v>
      </c>
      <c r="BW111" s="205" t="s">
        <v>289</v>
      </c>
      <c r="BX111" s="205" t="s">
        <v>290</v>
      </c>
      <c r="BY111" s="171" t="s">
        <v>676</v>
      </c>
      <c r="BZ111" s="171" t="s">
        <v>672</v>
      </c>
      <c r="CA111" s="171" t="s">
        <v>677</v>
      </c>
      <c r="CB111" s="205" t="s">
        <v>287</v>
      </c>
      <c r="CC111" s="935" t="str">
        <f>'Energy NPV'!U37</f>
        <v>Total Recurring Costs</v>
      </c>
      <c r="CD111" s="205" t="s">
        <v>291</v>
      </c>
      <c r="CE111" s="171" t="s">
        <v>276</v>
      </c>
      <c r="CF111" s="171" t="s">
        <v>678</v>
      </c>
      <c r="CG111" s="171" t="s">
        <v>679</v>
      </c>
      <c r="CH111" s="195" t="s">
        <v>277</v>
      </c>
      <c r="CI111" s="171" t="s">
        <v>680</v>
      </c>
      <c r="CJ111" s="171" t="s">
        <v>278</v>
      </c>
      <c r="CK111" s="171" t="s">
        <v>681</v>
      </c>
      <c r="CL111" s="198" t="s">
        <v>279</v>
      </c>
      <c r="CM111" s="195" t="s">
        <v>280</v>
      </c>
      <c r="CN111" s="171" t="s">
        <v>682</v>
      </c>
      <c r="CO111" s="171" t="s">
        <v>281</v>
      </c>
      <c r="CP111" s="171" t="s">
        <v>683</v>
      </c>
      <c r="CQ111" s="198" t="s">
        <v>282</v>
      </c>
      <c r="CT111" s="204" t="s">
        <v>272</v>
      </c>
      <c r="CU111" s="205" t="s">
        <v>289</v>
      </c>
      <c r="CV111" s="205" t="s">
        <v>290</v>
      </c>
      <c r="CW111" s="171" t="s">
        <v>676</v>
      </c>
      <c r="CX111" s="171" t="s">
        <v>672</v>
      </c>
      <c r="CY111" s="171" t="s">
        <v>677</v>
      </c>
      <c r="CZ111" s="205" t="s">
        <v>287</v>
      </c>
      <c r="DA111" s="935" t="str">
        <f>'Energy NPV'!U37</f>
        <v>Total Recurring Costs</v>
      </c>
      <c r="DB111" s="205" t="s">
        <v>291</v>
      </c>
      <c r="DC111" s="171" t="s">
        <v>276</v>
      </c>
      <c r="DD111" s="171" t="s">
        <v>678</v>
      </c>
      <c r="DE111" s="171" t="s">
        <v>679</v>
      </c>
      <c r="DF111" s="195" t="s">
        <v>277</v>
      </c>
      <c r="DG111" s="171" t="s">
        <v>680</v>
      </c>
      <c r="DH111" s="171" t="s">
        <v>278</v>
      </c>
      <c r="DI111" s="171" t="s">
        <v>681</v>
      </c>
      <c r="DJ111" s="198" t="s">
        <v>279</v>
      </c>
      <c r="DK111" s="195" t="s">
        <v>280</v>
      </c>
      <c r="DL111" s="171" t="s">
        <v>682</v>
      </c>
      <c r="DM111" s="171" t="s">
        <v>281</v>
      </c>
      <c r="DN111" s="171" t="s">
        <v>683</v>
      </c>
      <c r="DO111" s="198" t="s">
        <v>282</v>
      </c>
    </row>
    <row r="112" spans="2:119" x14ac:dyDescent="0.3">
      <c r="B112" s="173"/>
      <c r="C112" s="226" t="s">
        <v>332</v>
      </c>
      <c r="D112" s="226" t="s">
        <v>569</v>
      </c>
      <c r="E112" s="201" t="s">
        <v>567</v>
      </c>
      <c r="F112" s="201" t="s">
        <v>567</v>
      </c>
      <c r="G112" s="201" t="s">
        <v>567</v>
      </c>
      <c r="H112" s="201" t="s">
        <v>567</v>
      </c>
      <c r="I112" s="969" t="str">
        <f>'Energy NPV'!U38</f>
        <v>(€ ha-1)</v>
      </c>
      <c r="J112" s="201" t="s">
        <v>567</v>
      </c>
      <c r="K112" s="201" t="s">
        <v>567</v>
      </c>
      <c r="L112" s="201" t="s">
        <v>567</v>
      </c>
      <c r="M112" s="202" t="s">
        <v>567</v>
      </c>
      <c r="N112" s="201" t="s">
        <v>567</v>
      </c>
      <c r="O112" s="201" t="s">
        <v>567</v>
      </c>
      <c r="P112" s="201" t="s">
        <v>567</v>
      </c>
      <c r="Q112" s="201" t="s">
        <v>567</v>
      </c>
      <c r="R112" s="202" t="s">
        <v>567</v>
      </c>
      <c r="S112" s="201" t="s">
        <v>567</v>
      </c>
      <c r="T112" s="201" t="s">
        <v>567</v>
      </c>
      <c r="U112" s="201" t="s">
        <v>567</v>
      </c>
      <c r="V112" s="201" t="s">
        <v>567</v>
      </c>
      <c r="W112" s="202" t="s">
        <v>567</v>
      </c>
      <c r="Z112" s="173"/>
      <c r="AA112" s="226" t="s">
        <v>332</v>
      </c>
      <c r="AB112" s="226" t="s">
        <v>569</v>
      </c>
      <c r="AC112" s="201" t="s">
        <v>567</v>
      </c>
      <c r="AD112" s="201" t="s">
        <v>567</v>
      </c>
      <c r="AE112" s="201" t="s">
        <v>567</v>
      </c>
      <c r="AF112" s="201" t="s">
        <v>567</v>
      </c>
      <c r="AG112" s="969" t="str">
        <f>'Energy NPV'!U38</f>
        <v>(€ ha-1)</v>
      </c>
      <c r="AH112" s="201" t="s">
        <v>567</v>
      </c>
      <c r="AI112" s="201" t="s">
        <v>567</v>
      </c>
      <c r="AJ112" s="201" t="s">
        <v>567</v>
      </c>
      <c r="AK112" s="202" t="s">
        <v>567</v>
      </c>
      <c r="AL112" s="201" t="s">
        <v>567</v>
      </c>
      <c r="AM112" s="201" t="s">
        <v>567</v>
      </c>
      <c r="AN112" s="201" t="s">
        <v>567</v>
      </c>
      <c r="AO112" s="201" t="s">
        <v>567</v>
      </c>
      <c r="AP112" s="202" t="s">
        <v>567</v>
      </c>
      <c r="AQ112" s="201" t="s">
        <v>567</v>
      </c>
      <c r="AR112" s="201" t="s">
        <v>567</v>
      </c>
      <c r="AS112" s="201" t="s">
        <v>567</v>
      </c>
      <c r="AT112" s="201" t="s">
        <v>567</v>
      </c>
      <c r="AU112" s="202" t="s">
        <v>567</v>
      </c>
      <c r="AX112" s="173"/>
      <c r="AY112" s="226" t="s">
        <v>332</v>
      </c>
      <c r="AZ112" s="226" t="s">
        <v>569</v>
      </c>
      <c r="BA112" s="201" t="s">
        <v>567</v>
      </c>
      <c r="BB112" s="201" t="s">
        <v>567</v>
      </c>
      <c r="BC112" s="201" t="s">
        <v>567</v>
      </c>
      <c r="BD112" s="201" t="s">
        <v>567</v>
      </c>
      <c r="BE112" s="969" t="str">
        <f>'Energy NPV'!U38</f>
        <v>(€ ha-1)</v>
      </c>
      <c r="BF112" s="201" t="s">
        <v>567</v>
      </c>
      <c r="BG112" s="201" t="s">
        <v>567</v>
      </c>
      <c r="BH112" s="201" t="s">
        <v>567</v>
      </c>
      <c r="BI112" s="202" t="s">
        <v>567</v>
      </c>
      <c r="BJ112" s="201" t="s">
        <v>567</v>
      </c>
      <c r="BK112" s="201" t="s">
        <v>567</v>
      </c>
      <c r="BL112" s="201" t="s">
        <v>567</v>
      </c>
      <c r="BM112" s="201" t="s">
        <v>567</v>
      </c>
      <c r="BN112" s="202" t="s">
        <v>567</v>
      </c>
      <c r="BO112" s="201" t="s">
        <v>567</v>
      </c>
      <c r="BP112" s="201" t="s">
        <v>567</v>
      </c>
      <c r="BQ112" s="201" t="s">
        <v>567</v>
      </c>
      <c r="BR112" s="201" t="s">
        <v>567</v>
      </c>
      <c r="BS112" s="202" t="s">
        <v>567</v>
      </c>
      <c r="BV112" s="173"/>
      <c r="BW112" s="226" t="s">
        <v>332</v>
      </c>
      <c r="BX112" s="226" t="s">
        <v>569</v>
      </c>
      <c r="BY112" s="201" t="s">
        <v>567</v>
      </c>
      <c r="BZ112" s="201" t="s">
        <v>567</v>
      </c>
      <c r="CA112" s="201" t="s">
        <v>567</v>
      </c>
      <c r="CB112" s="201" t="s">
        <v>567</v>
      </c>
      <c r="CC112" s="969" t="str">
        <f>'Energy NPV'!U38</f>
        <v>(€ ha-1)</v>
      </c>
      <c r="CD112" s="201" t="s">
        <v>567</v>
      </c>
      <c r="CE112" s="201" t="s">
        <v>567</v>
      </c>
      <c r="CF112" s="201" t="s">
        <v>567</v>
      </c>
      <c r="CG112" s="202" t="s">
        <v>567</v>
      </c>
      <c r="CH112" s="201" t="s">
        <v>567</v>
      </c>
      <c r="CI112" s="201" t="s">
        <v>567</v>
      </c>
      <c r="CJ112" s="201" t="s">
        <v>567</v>
      </c>
      <c r="CK112" s="201" t="s">
        <v>567</v>
      </c>
      <c r="CL112" s="202" t="s">
        <v>567</v>
      </c>
      <c r="CM112" s="201" t="s">
        <v>567</v>
      </c>
      <c r="CN112" s="201" t="s">
        <v>567</v>
      </c>
      <c r="CO112" s="201" t="s">
        <v>567</v>
      </c>
      <c r="CP112" s="201" t="s">
        <v>567</v>
      </c>
      <c r="CQ112" s="202" t="s">
        <v>567</v>
      </c>
      <c r="CT112" s="173"/>
      <c r="CU112" s="226" t="s">
        <v>332</v>
      </c>
      <c r="CV112" s="226" t="s">
        <v>569</v>
      </c>
      <c r="CW112" s="201" t="s">
        <v>567</v>
      </c>
      <c r="CX112" s="201" t="s">
        <v>567</v>
      </c>
      <c r="CY112" s="201" t="s">
        <v>567</v>
      </c>
      <c r="CZ112" s="201" t="s">
        <v>567</v>
      </c>
      <c r="DA112" s="969" t="str">
        <f>'Energy NPV'!U38</f>
        <v>(€ ha-1)</v>
      </c>
      <c r="DB112" s="201" t="s">
        <v>567</v>
      </c>
      <c r="DC112" s="201" t="s">
        <v>567</v>
      </c>
      <c r="DD112" s="201" t="s">
        <v>567</v>
      </c>
      <c r="DE112" s="202" t="s">
        <v>567</v>
      </c>
      <c r="DF112" s="201" t="s">
        <v>567</v>
      </c>
      <c r="DG112" s="201" t="s">
        <v>567</v>
      </c>
      <c r="DH112" s="201" t="s">
        <v>567</v>
      </c>
      <c r="DI112" s="201" t="s">
        <v>567</v>
      </c>
      <c r="DJ112" s="202" t="s">
        <v>567</v>
      </c>
      <c r="DK112" s="201" t="s">
        <v>567</v>
      </c>
      <c r="DL112" s="201" t="s">
        <v>567</v>
      </c>
      <c r="DM112" s="201" t="s">
        <v>567</v>
      </c>
      <c r="DN112" s="201" t="s">
        <v>567</v>
      </c>
      <c r="DO112" s="202" t="s">
        <v>567</v>
      </c>
    </row>
    <row r="113" spans="2:119" x14ac:dyDescent="0.3">
      <c r="B113" s="204">
        <v>1</v>
      </c>
      <c r="C113" s="760">
        <f>'Energy NPV'!$D39*$E$109</f>
        <v>0.6</v>
      </c>
      <c r="D113" s="197">
        <f>'Energy margins'!$L$12</f>
        <v>43.75</v>
      </c>
      <c r="E113" s="197">
        <f>C113*D113</f>
        <v>26.25</v>
      </c>
      <c r="F113" s="197">
        <f>'Margins summary'!$S$14</f>
        <v>330</v>
      </c>
      <c r="G113" s="197">
        <f>E113+F113</f>
        <v>356.25</v>
      </c>
      <c r="H113" s="197">
        <f>'Margins summary'!$R$20</f>
        <v>2254.8232439999997</v>
      </c>
      <c r="I113" s="918">
        <f>'Energy NPV'!U39</f>
        <v>0</v>
      </c>
      <c r="J113" s="197"/>
      <c r="K113" s="197">
        <f>H113+I113+J113</f>
        <v>2254.8232439999997</v>
      </c>
      <c r="L113" s="197">
        <f t="shared" ref="L113:L128" si="273">E113-K113</f>
        <v>-2228.5732439999997</v>
      </c>
      <c r="M113" s="197">
        <f t="shared" ref="M113:M128" si="274">G113-K113</f>
        <v>-1898.5732439999997</v>
      </c>
      <c r="N113" s="1033">
        <f>E113/((1+$B$4)^(B113-1))</f>
        <v>26.25</v>
      </c>
      <c r="O113" s="213">
        <f>F113/((1+$B$4)^(B113-1))</f>
        <v>330</v>
      </c>
      <c r="P113" s="213">
        <f>K113/((1+$B$4)^(B113-1))</f>
        <v>2254.8232439999997</v>
      </c>
      <c r="Q113" s="213">
        <f>L113/((1+$B$4)^(B113-1))</f>
        <v>-2228.5732439999997</v>
      </c>
      <c r="R113" s="929">
        <f>M113/((1+$B$4)^(B113-1))</f>
        <v>-1898.5732439999997</v>
      </c>
      <c r="S113" s="196">
        <f>N113</f>
        <v>26.25</v>
      </c>
      <c r="T113" s="197">
        <f>O113</f>
        <v>330</v>
      </c>
      <c r="U113" s="197">
        <f>P113</f>
        <v>2254.8232439999997</v>
      </c>
      <c r="V113" s="197">
        <f>Q113</f>
        <v>-2228.5732439999997</v>
      </c>
      <c r="W113" s="199">
        <f>R113</f>
        <v>-1898.5732439999997</v>
      </c>
      <c r="Z113" s="204">
        <v>1</v>
      </c>
      <c r="AA113" s="760">
        <f>'Energy NPV'!$D39*$AB$109</f>
        <v>0.89999999999999991</v>
      </c>
      <c r="AB113" s="197">
        <f>'Energy margins'!$L$12</f>
        <v>43.75</v>
      </c>
      <c r="AC113" s="197">
        <f>AA113*AB113</f>
        <v>39.374999999999993</v>
      </c>
      <c r="AD113" s="197">
        <f>'Margins summary'!$S$14</f>
        <v>330</v>
      </c>
      <c r="AE113" s="197">
        <f>AC113+AD113</f>
        <v>369.375</v>
      </c>
      <c r="AF113" s="197">
        <f>'Margins summary'!$R$20</f>
        <v>2254.8232439999997</v>
      </c>
      <c r="AG113" s="918">
        <f>'Energy NPV'!U39</f>
        <v>0</v>
      </c>
      <c r="AH113" s="197"/>
      <c r="AI113" s="197">
        <f>AF113+AG113+AH113</f>
        <v>2254.8232439999997</v>
      </c>
      <c r="AJ113" s="197">
        <f t="shared" ref="AJ113:AJ128" si="275">AC113-AI113</f>
        <v>-2215.4482439999997</v>
      </c>
      <c r="AK113" s="197">
        <f t="shared" ref="AK113:AK128" si="276">AE113-AI113</f>
        <v>-1885.4482439999997</v>
      </c>
      <c r="AL113" s="1033">
        <f>AC113/((1+$B$4)^(Z113-1))</f>
        <v>39.374999999999993</v>
      </c>
      <c r="AM113" s="213">
        <f>AD113/((1+$B$4)^(Z113-1))</f>
        <v>330</v>
      </c>
      <c r="AN113" s="213">
        <f>AI113/((1+$B$4)^(Z113-1))</f>
        <v>2254.8232439999997</v>
      </c>
      <c r="AO113" s="213">
        <f>AJ113/((1+$B$4)^(Z113-1))</f>
        <v>-2215.4482439999997</v>
      </c>
      <c r="AP113" s="929">
        <f>AK113/((1+$B$4)^(Z113-1))</f>
        <v>-1885.4482439999997</v>
      </c>
      <c r="AQ113" s="196">
        <f>AL113</f>
        <v>39.374999999999993</v>
      </c>
      <c r="AR113" s="197">
        <f>AM113</f>
        <v>330</v>
      </c>
      <c r="AS113" s="197">
        <f>AN113</f>
        <v>2254.8232439999997</v>
      </c>
      <c r="AT113" s="197">
        <f>AO113</f>
        <v>-2215.4482439999997</v>
      </c>
      <c r="AU113" s="199">
        <f>AP113</f>
        <v>-1885.4482439999997</v>
      </c>
      <c r="AX113" s="204">
        <v>1</v>
      </c>
      <c r="AY113" s="760">
        <f>'Energy NPV'!$D39*$AZ$109</f>
        <v>0.3</v>
      </c>
      <c r="AZ113" s="197">
        <f>'Energy margins'!$L$12</f>
        <v>43.75</v>
      </c>
      <c r="BA113" s="197">
        <f>AY113*AZ113</f>
        <v>13.125</v>
      </c>
      <c r="BB113" s="197">
        <f>'Margins summary'!$S$14</f>
        <v>330</v>
      </c>
      <c r="BC113" s="197">
        <f>BA113+BB113</f>
        <v>343.125</v>
      </c>
      <c r="BD113" s="197">
        <f>'Margins summary'!$R$20</f>
        <v>2254.8232439999997</v>
      </c>
      <c r="BE113" s="918">
        <f>'Energy NPV'!U39</f>
        <v>0</v>
      </c>
      <c r="BF113" s="197"/>
      <c r="BG113" s="197">
        <f>BD113+BE113+BF113</f>
        <v>2254.8232439999997</v>
      </c>
      <c r="BH113" s="197">
        <f t="shared" ref="BH113:BH128" si="277">BA113-BG113</f>
        <v>-2241.6982439999997</v>
      </c>
      <c r="BI113" s="197">
        <f t="shared" ref="BI113:BI128" si="278">BC113-BG113</f>
        <v>-1911.6982439999997</v>
      </c>
      <c r="BJ113" s="1033">
        <f>BA113/((1+$B$4)^(AX113-1))</f>
        <v>13.125</v>
      </c>
      <c r="BK113" s="213">
        <f>BB113/((1+$B$4)^(AX113-1))</f>
        <v>330</v>
      </c>
      <c r="BL113" s="213">
        <f>BG113/((1+$B$4)^(AX113-1))</f>
        <v>2254.8232439999997</v>
      </c>
      <c r="BM113" s="213">
        <f>BH113/((1+$B$4)^(AX113-1))</f>
        <v>-2241.6982439999997</v>
      </c>
      <c r="BN113" s="929">
        <f>BI113/((1+$B$4)^(AX113-1))</f>
        <v>-1911.6982439999997</v>
      </c>
      <c r="BO113" s="196">
        <f>BJ113</f>
        <v>13.125</v>
      </c>
      <c r="BP113" s="197">
        <f>BK113</f>
        <v>330</v>
      </c>
      <c r="BQ113" s="197">
        <f>BL113</f>
        <v>2254.8232439999997</v>
      </c>
      <c r="BR113" s="197">
        <f>BM113</f>
        <v>-2241.6982439999997</v>
      </c>
      <c r="BS113" s="199">
        <f>BN113</f>
        <v>-1911.6982439999997</v>
      </c>
      <c r="BV113" s="204">
        <v>1</v>
      </c>
      <c r="BW113" s="760">
        <f>'Energy NPV'!$D39*$BX$109</f>
        <v>1.2</v>
      </c>
      <c r="BX113" s="197">
        <f>'Energy margins'!$L$12</f>
        <v>43.75</v>
      </c>
      <c r="BY113" s="197">
        <f>BW113*BX113</f>
        <v>52.5</v>
      </c>
      <c r="BZ113" s="197">
        <f>'Margins summary'!$S$14</f>
        <v>330</v>
      </c>
      <c r="CA113" s="197">
        <f>BY113+BZ113</f>
        <v>382.5</v>
      </c>
      <c r="CB113" s="197">
        <f>'Margins summary'!$R$20</f>
        <v>2254.8232439999997</v>
      </c>
      <c r="CC113" s="918">
        <f>'Energy NPV'!U39</f>
        <v>0</v>
      </c>
      <c r="CD113" s="197"/>
      <c r="CE113" s="197">
        <f>CB113+CC113+CD113</f>
        <v>2254.8232439999997</v>
      </c>
      <c r="CF113" s="197">
        <f t="shared" ref="CF113:CF128" si="279">BY113-CE113</f>
        <v>-2202.3232439999997</v>
      </c>
      <c r="CG113" s="197">
        <f t="shared" ref="CG113:CG128" si="280">CA113-CE113</f>
        <v>-1872.3232439999997</v>
      </c>
      <c r="CH113" s="1033">
        <f>BY113/((1+$B$4)^(BV113-1))</f>
        <v>52.5</v>
      </c>
      <c r="CI113" s="213">
        <f>BZ113/((1+$B$4)^(BV113-1))</f>
        <v>330</v>
      </c>
      <c r="CJ113" s="213">
        <f>CE113/((1+$B$4)^(BV113-1))</f>
        <v>2254.8232439999997</v>
      </c>
      <c r="CK113" s="213">
        <f>CF113/((1+$B$4)^(BV113-1))</f>
        <v>-2202.3232439999997</v>
      </c>
      <c r="CL113" s="929">
        <f>CG113/((1+$B$4)^(BV113-1))</f>
        <v>-1872.3232439999997</v>
      </c>
      <c r="CM113" s="196">
        <f>CH113</f>
        <v>52.5</v>
      </c>
      <c r="CN113" s="197">
        <f>CI113</f>
        <v>330</v>
      </c>
      <c r="CO113" s="197">
        <f>CJ113</f>
        <v>2254.8232439999997</v>
      </c>
      <c r="CP113" s="197">
        <f>CK113</f>
        <v>-2202.3232439999997</v>
      </c>
      <c r="CQ113" s="199">
        <f>CL113</f>
        <v>-1872.3232439999997</v>
      </c>
      <c r="CT113" s="204">
        <v>1</v>
      </c>
      <c r="CU113" s="760">
        <f>'Energy NPV'!$D39*$CV$109</f>
        <v>0</v>
      </c>
      <c r="CV113" s="197">
        <f>'Energy margins'!$L$12</f>
        <v>43.75</v>
      </c>
      <c r="CW113" s="197">
        <f>CU113*CV113</f>
        <v>0</v>
      </c>
      <c r="CX113" s="197">
        <f>'Margins summary'!$S$14</f>
        <v>330</v>
      </c>
      <c r="CY113" s="197">
        <f>CW113+CX113</f>
        <v>330</v>
      </c>
      <c r="CZ113" s="197">
        <f>'Margins summary'!$R$20</f>
        <v>2254.8232439999997</v>
      </c>
      <c r="DA113" s="918">
        <f>'Energy NPV'!U39</f>
        <v>0</v>
      </c>
      <c r="DB113" s="197"/>
      <c r="DC113" s="197">
        <f>CZ113+DA113+DB113</f>
        <v>2254.8232439999997</v>
      </c>
      <c r="DD113" s="197">
        <f t="shared" ref="DD113:DD128" si="281">CW113-DC113</f>
        <v>-2254.8232439999997</v>
      </c>
      <c r="DE113" s="197">
        <f t="shared" ref="DE113:DE128" si="282">CY113-DC113</f>
        <v>-1924.8232439999997</v>
      </c>
      <c r="DF113" s="1033">
        <f>CW113/((1+$B$4)^(CT113-1))</f>
        <v>0</v>
      </c>
      <c r="DG113" s="213">
        <f>CX113/((1+$B$4)^(CT113-1))</f>
        <v>330</v>
      </c>
      <c r="DH113" s="213">
        <f>DC113/((1+$B$4)^(CT113-1))</f>
        <v>2254.8232439999997</v>
      </c>
      <c r="DI113" s="213">
        <f>DD113/((1+$B$4)^(CT113-1))</f>
        <v>-2254.8232439999997</v>
      </c>
      <c r="DJ113" s="929">
        <f>DE113/((1+$B$4)^(CT113-1))</f>
        <v>-1924.8232439999997</v>
      </c>
      <c r="DK113" s="196">
        <f>DF113</f>
        <v>0</v>
      </c>
      <c r="DL113" s="197">
        <f>DG113</f>
        <v>330</v>
      </c>
      <c r="DM113" s="197">
        <f>DH113</f>
        <v>2254.8232439999997</v>
      </c>
      <c r="DN113" s="197">
        <f>DI113</f>
        <v>-2254.8232439999997</v>
      </c>
      <c r="DO113" s="199">
        <f>DJ113</f>
        <v>-1924.8232439999997</v>
      </c>
    </row>
    <row r="114" spans="2:119" x14ac:dyDescent="0.3">
      <c r="B114" s="204">
        <v>2</v>
      </c>
      <c r="C114" s="760">
        <f>'Energy NPV'!$D40*$E$109</f>
        <v>3.9250000000000007</v>
      </c>
      <c r="D114" s="197">
        <f>'Energy margins'!$L$12</f>
        <v>43.75</v>
      </c>
      <c r="E114" s="197">
        <f>C114*D114</f>
        <v>171.71875000000003</v>
      </c>
      <c r="F114" s="197">
        <f>'Margins summary'!$S$14</f>
        <v>330</v>
      </c>
      <c r="G114" s="197">
        <f t="shared" ref="G114:G128" si="283">E114+F114</f>
        <v>501.71875</v>
      </c>
      <c r="H114" s="197"/>
      <c r="I114" s="918">
        <f>'Energy NPV'!U40</f>
        <v>536.86224399999992</v>
      </c>
      <c r="J114" s="197"/>
      <c r="K114" s="197">
        <f t="shared" ref="K114:K128" si="284">H114+I114+J114</f>
        <v>536.86224399999992</v>
      </c>
      <c r="L114" s="197">
        <f t="shared" si="273"/>
        <v>-365.14349399999992</v>
      </c>
      <c r="M114" s="197">
        <f t="shared" si="274"/>
        <v>-35.143493999999919</v>
      </c>
      <c r="N114" s="196">
        <f t="shared" ref="N114:N128" si="285">E114/((1+$B$4)^(B114-1))</f>
        <v>166.71723300970876</v>
      </c>
      <c r="O114" s="197">
        <f t="shared" ref="O114:O128" si="286">F114/((1+$B$4)^(B114-1))</f>
        <v>320.38834951456312</v>
      </c>
      <c r="P114" s="197">
        <f t="shared" ref="P114:P128" si="287">K114/((1+$B$4)^(B114-1))</f>
        <v>521.22547961165037</v>
      </c>
      <c r="Q114" s="197">
        <f t="shared" ref="Q114:Q128" si="288">L114/((1+$B$4)^(B114-1))</f>
        <v>-354.50824660194166</v>
      </c>
      <c r="R114" s="199">
        <f t="shared" ref="R114:R128" si="289">M114/((1+$B$4)^(B114-1))</f>
        <v>-34.119897087378561</v>
      </c>
      <c r="S114" s="196">
        <f>S113+N114</f>
        <v>192.96723300970876</v>
      </c>
      <c r="T114" s="197">
        <f t="shared" ref="T114:W128" si="290">T113+O114</f>
        <v>650.38834951456306</v>
      </c>
      <c r="U114" s="197">
        <f t="shared" si="290"/>
        <v>2776.0487236116501</v>
      </c>
      <c r="V114" s="197">
        <f t="shared" si="290"/>
        <v>-2583.0814906019414</v>
      </c>
      <c r="W114" s="199">
        <f t="shared" si="290"/>
        <v>-1932.6931410873783</v>
      </c>
      <c r="Z114" s="204">
        <v>2</v>
      </c>
      <c r="AA114" s="760">
        <f>'Energy NPV'!$D40*$AB$109</f>
        <v>5.8875000000000011</v>
      </c>
      <c r="AB114" s="197">
        <f>'Energy margins'!$L$12</f>
        <v>43.75</v>
      </c>
      <c r="AC114" s="197">
        <f>AA114*AB114</f>
        <v>257.57812500000006</v>
      </c>
      <c r="AD114" s="197">
        <f>'Margins summary'!$S$14</f>
        <v>330</v>
      </c>
      <c r="AE114" s="197">
        <f t="shared" ref="AE114:AE128" si="291">AC114+AD114</f>
        <v>587.578125</v>
      </c>
      <c r="AF114" s="197"/>
      <c r="AG114" s="918">
        <f>'Energy NPV'!U40</f>
        <v>536.86224399999992</v>
      </c>
      <c r="AH114" s="197"/>
      <c r="AI114" s="197">
        <f t="shared" ref="AI114:AI128" si="292">AF114+AG114+AH114</f>
        <v>536.86224399999992</v>
      </c>
      <c r="AJ114" s="197">
        <f t="shared" si="275"/>
        <v>-279.28411899999986</v>
      </c>
      <c r="AK114" s="197">
        <f t="shared" si="276"/>
        <v>50.715881000000081</v>
      </c>
      <c r="AL114" s="196">
        <f t="shared" ref="AL114:AL128" si="293">AC114/((1+$B$4)^(Z114-1))</f>
        <v>250.07584951456315</v>
      </c>
      <c r="AM114" s="197">
        <f t="shared" ref="AM114:AM128" si="294">AD114/((1+$B$4)^(Z114-1))</f>
        <v>320.38834951456312</v>
      </c>
      <c r="AN114" s="197">
        <f t="shared" ref="AN114:AN128" si="295">AI114/((1+$B$4)^(Z114-1))</f>
        <v>521.22547961165037</v>
      </c>
      <c r="AO114" s="197">
        <f t="shared" ref="AO114:AO128" si="296">AJ114/((1+$B$4)^(Z114-1))</f>
        <v>-271.14963009708725</v>
      </c>
      <c r="AP114" s="199">
        <f t="shared" ref="AP114:AP128" si="297">AK114/((1+$B$4)^(Z114-1))</f>
        <v>49.238719417475806</v>
      </c>
      <c r="AQ114" s="196">
        <f>AQ113+AL114</f>
        <v>289.45084951456312</v>
      </c>
      <c r="AR114" s="197">
        <f t="shared" ref="AR114:AU128" si="298">AR113+AM114</f>
        <v>650.38834951456306</v>
      </c>
      <c r="AS114" s="197">
        <f t="shared" si="298"/>
        <v>2776.0487236116501</v>
      </c>
      <c r="AT114" s="197">
        <f t="shared" si="298"/>
        <v>-2486.5978740970868</v>
      </c>
      <c r="AU114" s="199">
        <f t="shared" si="298"/>
        <v>-1836.209524582524</v>
      </c>
      <c r="AX114" s="204">
        <v>2</v>
      </c>
      <c r="AY114" s="760">
        <f>'Energy NPV'!$D40*$AZ$109</f>
        <v>1.9625000000000004</v>
      </c>
      <c r="AZ114" s="197">
        <f>'Energy margins'!$L$12</f>
        <v>43.75</v>
      </c>
      <c r="BA114" s="197">
        <f>AY114*AZ114</f>
        <v>85.859375000000014</v>
      </c>
      <c r="BB114" s="197">
        <f>'Margins summary'!$S$14</f>
        <v>330</v>
      </c>
      <c r="BC114" s="197">
        <f t="shared" ref="BC114:BC128" si="299">BA114+BB114</f>
        <v>415.859375</v>
      </c>
      <c r="BD114" s="197"/>
      <c r="BE114" s="918">
        <f>'Energy NPV'!U40</f>
        <v>536.86224399999992</v>
      </c>
      <c r="BF114" s="197"/>
      <c r="BG114" s="197">
        <f t="shared" ref="BG114:BG128" si="300">BD114+BE114+BF114</f>
        <v>536.86224399999992</v>
      </c>
      <c r="BH114" s="197">
        <f t="shared" si="277"/>
        <v>-451.00286899999992</v>
      </c>
      <c r="BI114" s="197">
        <f t="shared" si="278"/>
        <v>-121.00286899999992</v>
      </c>
      <c r="BJ114" s="196">
        <f t="shared" ref="BJ114:BJ128" si="301">BA114/((1+$B$4)^(AX114-1))</f>
        <v>83.358616504854382</v>
      </c>
      <c r="BK114" s="197">
        <f t="shared" ref="BK114:BK128" si="302">BB114/((1+$B$4)^(AX114-1))</f>
        <v>320.38834951456312</v>
      </c>
      <c r="BL114" s="197">
        <f t="shared" ref="BL114:BL128" si="303">BG114/((1+$B$4)^(AX114-1))</f>
        <v>521.22547961165037</v>
      </c>
      <c r="BM114" s="197">
        <f t="shared" ref="BM114:BM128" si="304">BH114/((1+$B$4)^(AX114-1))</f>
        <v>-437.86686310679602</v>
      </c>
      <c r="BN114" s="199">
        <f t="shared" ref="BN114:BN128" si="305">BI114/((1+$B$4)^(AX114-1))</f>
        <v>-117.47851359223293</v>
      </c>
      <c r="BO114" s="196">
        <f>BO113+BJ114</f>
        <v>96.483616504854382</v>
      </c>
      <c r="BP114" s="197">
        <f t="shared" ref="BP114:BS128" si="306">BP113+BK114</f>
        <v>650.38834951456306</v>
      </c>
      <c r="BQ114" s="197">
        <f t="shared" si="306"/>
        <v>2776.0487236116501</v>
      </c>
      <c r="BR114" s="197">
        <f t="shared" si="306"/>
        <v>-2679.5651071067959</v>
      </c>
      <c r="BS114" s="199">
        <f t="shared" si="306"/>
        <v>-2029.1767575922327</v>
      </c>
      <c r="BV114" s="204">
        <v>2</v>
      </c>
      <c r="BW114" s="760">
        <f>'Energy NPV'!$D40*$BX$109</f>
        <v>7.8500000000000014</v>
      </c>
      <c r="BX114" s="197">
        <f>'Energy margins'!$L$12</f>
        <v>43.75</v>
      </c>
      <c r="BY114" s="197">
        <f>BW114*BX114</f>
        <v>343.43750000000006</v>
      </c>
      <c r="BZ114" s="197">
        <f>'Margins summary'!$S$14</f>
        <v>330</v>
      </c>
      <c r="CA114" s="197">
        <f t="shared" ref="CA114:CA128" si="307">BY114+BZ114</f>
        <v>673.4375</v>
      </c>
      <c r="CB114" s="197"/>
      <c r="CC114" s="918">
        <f>'Energy NPV'!U40</f>
        <v>536.86224399999992</v>
      </c>
      <c r="CD114" s="197"/>
      <c r="CE114" s="197">
        <f t="shared" ref="CE114:CE128" si="308">CB114+CC114+CD114</f>
        <v>536.86224399999992</v>
      </c>
      <c r="CF114" s="197">
        <f t="shared" si="279"/>
        <v>-193.42474399999986</v>
      </c>
      <c r="CG114" s="197">
        <f t="shared" si="280"/>
        <v>136.57525600000008</v>
      </c>
      <c r="CH114" s="196">
        <f t="shared" ref="CH114:CH128" si="309">BY114/((1+$B$4)^(BV114-1))</f>
        <v>333.43446601941753</v>
      </c>
      <c r="CI114" s="197">
        <f t="shared" ref="CI114:CI128" si="310">BZ114/((1+$B$4)^(BV114-1))</f>
        <v>320.38834951456312</v>
      </c>
      <c r="CJ114" s="197">
        <f t="shared" ref="CJ114:CJ128" si="311">CE114/((1+$B$4)^(BV114-1))</f>
        <v>521.22547961165037</v>
      </c>
      <c r="CK114" s="197">
        <f t="shared" ref="CK114:CK128" si="312">CF114/((1+$B$4)^(BV114-1))</f>
        <v>-187.79101359223287</v>
      </c>
      <c r="CL114" s="199">
        <f t="shared" ref="CL114:CL128" si="313">CG114/((1+$B$4)^(BV114-1))</f>
        <v>132.59733592233016</v>
      </c>
      <c r="CM114" s="196">
        <f>CM113+CH114</f>
        <v>385.93446601941753</v>
      </c>
      <c r="CN114" s="197">
        <f t="shared" ref="CN114:CQ128" si="314">CN113+CI114</f>
        <v>650.38834951456306</v>
      </c>
      <c r="CO114" s="197">
        <f t="shared" si="314"/>
        <v>2776.0487236116501</v>
      </c>
      <c r="CP114" s="197">
        <f t="shared" si="314"/>
        <v>-2390.1142575922327</v>
      </c>
      <c r="CQ114" s="199">
        <f t="shared" si="314"/>
        <v>-1739.7259080776696</v>
      </c>
      <c r="CT114" s="204">
        <v>2</v>
      </c>
      <c r="CU114" s="760">
        <f>'Energy NPV'!$D40*$CV$109</f>
        <v>0</v>
      </c>
      <c r="CV114" s="197">
        <f>'Energy margins'!$L$12</f>
        <v>43.75</v>
      </c>
      <c r="CW114" s="197">
        <f>CU114*CV114</f>
        <v>0</v>
      </c>
      <c r="CX114" s="197">
        <f>'Margins summary'!$S$14</f>
        <v>330</v>
      </c>
      <c r="CY114" s="197">
        <f t="shared" ref="CY114:CY128" si="315">CW114+CX114</f>
        <v>330</v>
      </c>
      <c r="CZ114" s="197"/>
      <c r="DA114" s="918">
        <f>'Energy NPV'!U40</f>
        <v>536.86224399999992</v>
      </c>
      <c r="DB114" s="197"/>
      <c r="DC114" s="197">
        <f t="shared" ref="DC114:DC128" si="316">CZ114+DA114+DB114</f>
        <v>536.86224399999992</v>
      </c>
      <c r="DD114" s="197">
        <f t="shared" si="281"/>
        <v>-536.86224399999992</v>
      </c>
      <c r="DE114" s="197">
        <f t="shared" si="282"/>
        <v>-206.86224399999992</v>
      </c>
      <c r="DF114" s="196">
        <f t="shared" ref="DF114:DF128" si="317">CW114/((1+$B$4)^(CT114-1))</f>
        <v>0</v>
      </c>
      <c r="DG114" s="197">
        <f t="shared" ref="DG114:DG128" si="318">CX114/((1+$B$4)^(CT114-1))</f>
        <v>320.38834951456312</v>
      </c>
      <c r="DH114" s="197">
        <f t="shared" ref="DH114:DH128" si="319">DC114/((1+$B$4)^(CT114-1))</f>
        <v>521.22547961165037</v>
      </c>
      <c r="DI114" s="197">
        <f t="shared" ref="DI114:DI128" si="320">DD114/((1+$B$4)^(CT114-1))</f>
        <v>-521.22547961165037</v>
      </c>
      <c r="DJ114" s="199">
        <f t="shared" ref="DJ114:DJ127" si="321">DE114/((1+$B$4)^(CT114-1))</f>
        <v>-200.83713009708728</v>
      </c>
      <c r="DK114" s="196">
        <f>DK113+DF114</f>
        <v>0</v>
      </c>
      <c r="DL114" s="197">
        <f t="shared" ref="DL114:DO128" si="322">DL113+DG114</f>
        <v>650.38834951456306</v>
      </c>
      <c r="DM114" s="197">
        <f t="shared" si="322"/>
        <v>2776.0487236116501</v>
      </c>
      <c r="DN114" s="197">
        <f t="shared" si="322"/>
        <v>-2776.0487236116501</v>
      </c>
      <c r="DO114" s="199">
        <f t="shared" si="322"/>
        <v>-2125.6603740970868</v>
      </c>
    </row>
    <row r="115" spans="2:119" x14ac:dyDescent="0.3">
      <c r="B115" s="204">
        <f t="shared" ref="B115:B128" si="323">B114+1</f>
        <v>3</v>
      </c>
      <c r="C115" s="760">
        <f>'Energy NPV'!$D41*$E$109</f>
        <v>11.099999999999998</v>
      </c>
      <c r="D115" s="197">
        <f>'Energy margins'!$L$12</f>
        <v>43.75</v>
      </c>
      <c r="E115" s="197">
        <f t="shared" ref="E115:E128" si="324">C115*D115</f>
        <v>485.62499999999989</v>
      </c>
      <c r="F115" s="197">
        <f>'Margins summary'!$S$14</f>
        <v>330</v>
      </c>
      <c r="G115" s="197">
        <f t="shared" si="283"/>
        <v>815.62499999999989</v>
      </c>
      <c r="H115" s="197"/>
      <c r="I115" s="918">
        <f>'Energy NPV'!U41</f>
        <v>536.86224399999992</v>
      </c>
      <c r="J115" s="197"/>
      <c r="K115" s="197">
        <f t="shared" si="284"/>
        <v>536.86224399999992</v>
      </c>
      <c r="L115" s="197">
        <f t="shared" si="273"/>
        <v>-51.237244000000032</v>
      </c>
      <c r="M115" s="197">
        <f t="shared" si="274"/>
        <v>278.76275599999997</v>
      </c>
      <c r="N115" s="196">
        <f t="shared" si="285"/>
        <v>457.74813837307937</v>
      </c>
      <c r="O115" s="197">
        <f t="shared" si="286"/>
        <v>311.05665001413894</v>
      </c>
      <c r="P115" s="197">
        <f t="shared" si="287"/>
        <v>506.04415496276738</v>
      </c>
      <c r="Q115" s="197">
        <f t="shared" si="288"/>
        <v>-48.296016589688037</v>
      </c>
      <c r="R115" s="199">
        <f t="shared" si="289"/>
        <v>262.76063342445093</v>
      </c>
      <c r="S115" s="196">
        <f t="shared" ref="S115:S128" si="325">S114+N115</f>
        <v>650.71537138278813</v>
      </c>
      <c r="T115" s="197">
        <f t="shared" si="290"/>
        <v>961.44499952870206</v>
      </c>
      <c r="U115" s="197">
        <f t="shared" si="290"/>
        <v>3282.0928785744172</v>
      </c>
      <c r="V115" s="197">
        <f t="shared" si="290"/>
        <v>-2631.3775071916293</v>
      </c>
      <c r="W115" s="199">
        <f t="shared" si="290"/>
        <v>-1669.9325076629275</v>
      </c>
      <c r="Z115" s="204">
        <f t="shared" ref="Z115:Z128" si="326">Z114+1</f>
        <v>3</v>
      </c>
      <c r="AA115" s="760">
        <f>'Energy NPV'!$D41*$AB$109</f>
        <v>16.649999999999999</v>
      </c>
      <c r="AB115" s="197">
        <f>'Energy margins'!$L$12</f>
        <v>43.75</v>
      </c>
      <c r="AC115" s="197">
        <f t="shared" ref="AC115:AC128" si="327">AA115*AB115</f>
        <v>728.43749999999989</v>
      </c>
      <c r="AD115" s="197">
        <f>'Margins summary'!$S$14</f>
        <v>330</v>
      </c>
      <c r="AE115" s="197">
        <f t="shared" si="291"/>
        <v>1058.4375</v>
      </c>
      <c r="AF115" s="197"/>
      <c r="AG115" s="918">
        <f>'Energy NPV'!U41</f>
        <v>536.86224399999992</v>
      </c>
      <c r="AH115" s="197"/>
      <c r="AI115" s="197">
        <f t="shared" si="292"/>
        <v>536.86224399999992</v>
      </c>
      <c r="AJ115" s="197">
        <f t="shared" si="275"/>
        <v>191.57525599999997</v>
      </c>
      <c r="AK115" s="197">
        <f t="shared" si="276"/>
        <v>521.57525600000008</v>
      </c>
      <c r="AL115" s="196">
        <f t="shared" si="293"/>
        <v>686.62220755961914</v>
      </c>
      <c r="AM115" s="197">
        <f t="shared" si="294"/>
        <v>311.05665001413894</v>
      </c>
      <c r="AN115" s="197">
        <f t="shared" si="295"/>
        <v>506.04415496276738</v>
      </c>
      <c r="AO115" s="197">
        <f t="shared" si="296"/>
        <v>180.57805259685171</v>
      </c>
      <c r="AP115" s="199">
        <f t="shared" si="297"/>
        <v>491.63470261099076</v>
      </c>
      <c r="AQ115" s="196">
        <f t="shared" ref="AQ115:AQ127" si="328">AQ114+AL115</f>
        <v>976.07305707418232</v>
      </c>
      <c r="AR115" s="197">
        <f t="shared" si="298"/>
        <v>961.44499952870206</v>
      </c>
      <c r="AS115" s="197">
        <f t="shared" si="298"/>
        <v>3282.0928785744172</v>
      </c>
      <c r="AT115" s="197">
        <f t="shared" si="298"/>
        <v>-2306.0198215002351</v>
      </c>
      <c r="AU115" s="199">
        <f t="shared" si="298"/>
        <v>-1344.5748219715333</v>
      </c>
      <c r="AX115" s="204">
        <f t="shared" ref="AX115:AX128" si="329">AX114+1</f>
        <v>3</v>
      </c>
      <c r="AY115" s="760">
        <f>'Energy NPV'!$D41*$AZ$109</f>
        <v>5.5499999999999989</v>
      </c>
      <c r="AZ115" s="197">
        <f>'Energy margins'!$L$12</f>
        <v>43.75</v>
      </c>
      <c r="BA115" s="197">
        <f t="shared" ref="BA115:BA128" si="330">AY115*AZ115</f>
        <v>242.81249999999994</v>
      </c>
      <c r="BB115" s="197">
        <f>'Margins summary'!$S$14</f>
        <v>330</v>
      </c>
      <c r="BC115" s="197">
        <f t="shared" si="299"/>
        <v>572.8125</v>
      </c>
      <c r="BD115" s="197"/>
      <c r="BE115" s="918">
        <f>'Energy NPV'!U41</f>
        <v>536.86224399999992</v>
      </c>
      <c r="BF115" s="197"/>
      <c r="BG115" s="197">
        <f t="shared" si="300"/>
        <v>536.86224399999992</v>
      </c>
      <c r="BH115" s="197">
        <f t="shared" si="277"/>
        <v>-294.04974399999998</v>
      </c>
      <c r="BI115" s="197">
        <f t="shared" si="278"/>
        <v>35.950256000000081</v>
      </c>
      <c r="BJ115" s="196">
        <f t="shared" si="301"/>
        <v>228.87406918653969</v>
      </c>
      <c r="BK115" s="197">
        <f t="shared" si="302"/>
        <v>311.05665001413894</v>
      </c>
      <c r="BL115" s="197">
        <f t="shared" si="303"/>
        <v>506.04415496276738</v>
      </c>
      <c r="BM115" s="197">
        <f t="shared" si="304"/>
        <v>-277.17008577622772</v>
      </c>
      <c r="BN115" s="199">
        <f t="shared" si="305"/>
        <v>33.886564237911287</v>
      </c>
      <c r="BO115" s="196">
        <f t="shared" ref="BO115:BO128" si="331">BO114+BJ115</f>
        <v>325.35768569139407</v>
      </c>
      <c r="BP115" s="197">
        <f t="shared" si="306"/>
        <v>961.44499952870206</v>
      </c>
      <c r="BQ115" s="197">
        <f t="shared" si="306"/>
        <v>3282.0928785744172</v>
      </c>
      <c r="BR115" s="197">
        <f t="shared" si="306"/>
        <v>-2956.7351928830235</v>
      </c>
      <c r="BS115" s="199">
        <f t="shared" si="306"/>
        <v>-1995.2901933543214</v>
      </c>
      <c r="BV115" s="204">
        <f t="shared" ref="BV115:BV128" si="332">BV114+1</f>
        <v>3</v>
      </c>
      <c r="BW115" s="760">
        <f>'Energy NPV'!$D41*$BX$109</f>
        <v>22.199999999999996</v>
      </c>
      <c r="BX115" s="197">
        <f>'Energy margins'!$L$12</f>
        <v>43.75</v>
      </c>
      <c r="BY115" s="197">
        <f t="shared" ref="BY115:BY128" si="333">BW115*BX115</f>
        <v>971.24999999999977</v>
      </c>
      <c r="BZ115" s="197">
        <f>'Margins summary'!$S$14</f>
        <v>330</v>
      </c>
      <c r="CA115" s="197">
        <f t="shared" si="307"/>
        <v>1301.2499999999998</v>
      </c>
      <c r="CB115" s="197"/>
      <c r="CC115" s="918">
        <f>'Energy NPV'!U41</f>
        <v>536.86224399999992</v>
      </c>
      <c r="CD115" s="197"/>
      <c r="CE115" s="197">
        <f t="shared" si="308"/>
        <v>536.86224399999992</v>
      </c>
      <c r="CF115" s="197">
        <f t="shared" si="279"/>
        <v>434.38775599999985</v>
      </c>
      <c r="CG115" s="197">
        <f t="shared" si="280"/>
        <v>764.38775599999985</v>
      </c>
      <c r="CH115" s="196">
        <f t="shared" si="309"/>
        <v>915.49627674615874</v>
      </c>
      <c r="CI115" s="197">
        <f t="shared" si="310"/>
        <v>311.05665001413894</v>
      </c>
      <c r="CJ115" s="197">
        <f t="shared" si="311"/>
        <v>506.04415496276738</v>
      </c>
      <c r="CK115" s="197">
        <f t="shared" si="312"/>
        <v>409.45212178339136</v>
      </c>
      <c r="CL115" s="199">
        <f t="shared" si="313"/>
        <v>720.50877179753024</v>
      </c>
      <c r="CM115" s="196">
        <f t="shared" ref="CM115:CM128" si="334">CM114+CH115</f>
        <v>1301.4307427655763</v>
      </c>
      <c r="CN115" s="197">
        <f t="shared" si="314"/>
        <v>961.44499952870206</v>
      </c>
      <c r="CO115" s="197">
        <f t="shared" si="314"/>
        <v>3282.0928785744172</v>
      </c>
      <c r="CP115" s="197">
        <f t="shared" si="314"/>
        <v>-1980.6621358088414</v>
      </c>
      <c r="CQ115" s="199">
        <f t="shared" si="314"/>
        <v>-1019.2171362801394</v>
      </c>
      <c r="CT115" s="204">
        <f t="shared" ref="CT115:CT128" si="335">CT114+1</f>
        <v>3</v>
      </c>
      <c r="CU115" s="760">
        <f>'Energy NPV'!$D41*$CV$109</f>
        <v>0</v>
      </c>
      <c r="CV115" s="197">
        <f>'Energy margins'!$L$12</f>
        <v>43.75</v>
      </c>
      <c r="CW115" s="197">
        <f t="shared" ref="CW115:CW128" si="336">CU115*CV115</f>
        <v>0</v>
      </c>
      <c r="CX115" s="197">
        <f>'Margins summary'!$S$14</f>
        <v>330</v>
      </c>
      <c r="CY115" s="197">
        <f t="shared" si="315"/>
        <v>330</v>
      </c>
      <c r="CZ115" s="197"/>
      <c r="DA115" s="918">
        <f>'Energy NPV'!U41</f>
        <v>536.86224399999992</v>
      </c>
      <c r="DB115" s="197"/>
      <c r="DC115" s="197">
        <f t="shared" si="316"/>
        <v>536.86224399999992</v>
      </c>
      <c r="DD115" s="197">
        <f t="shared" si="281"/>
        <v>-536.86224399999992</v>
      </c>
      <c r="DE115" s="197">
        <f t="shared" si="282"/>
        <v>-206.86224399999992</v>
      </c>
      <c r="DF115" s="196">
        <f t="shared" si="317"/>
        <v>0</v>
      </c>
      <c r="DG115" s="197">
        <f t="shared" si="318"/>
        <v>311.05665001413894</v>
      </c>
      <c r="DH115" s="197">
        <f t="shared" si="319"/>
        <v>506.04415496276738</v>
      </c>
      <c r="DI115" s="197">
        <f t="shared" si="320"/>
        <v>-506.04415496276738</v>
      </c>
      <c r="DJ115" s="199">
        <f t="shared" si="321"/>
        <v>-194.98750494862844</v>
      </c>
      <c r="DK115" s="196">
        <f t="shared" ref="DK115:DK128" si="337">DK114+DF115</f>
        <v>0</v>
      </c>
      <c r="DL115" s="197">
        <f t="shared" si="322"/>
        <v>961.44499952870206</v>
      </c>
      <c r="DM115" s="197">
        <f t="shared" si="322"/>
        <v>3282.0928785744172</v>
      </c>
      <c r="DN115" s="197">
        <f t="shared" si="322"/>
        <v>-3282.0928785744172</v>
      </c>
      <c r="DO115" s="199">
        <f t="shared" si="322"/>
        <v>-2320.6478790457154</v>
      </c>
    </row>
    <row r="116" spans="2:119" x14ac:dyDescent="0.3">
      <c r="B116" s="204">
        <f t="shared" si="323"/>
        <v>4</v>
      </c>
      <c r="C116" s="760">
        <f>'Energy NPV'!$D42*$E$109</f>
        <v>12.54</v>
      </c>
      <c r="D116" s="197">
        <f>'Energy margins'!$L$12</f>
        <v>43.75</v>
      </c>
      <c r="E116" s="197">
        <f t="shared" si="324"/>
        <v>548.625</v>
      </c>
      <c r="F116" s="197">
        <f>'Margins summary'!$S$14</f>
        <v>330</v>
      </c>
      <c r="G116" s="197">
        <f t="shared" si="283"/>
        <v>878.625</v>
      </c>
      <c r="H116" s="197"/>
      <c r="I116" s="918">
        <f>'Energy NPV'!U42</f>
        <v>423.52324399999998</v>
      </c>
      <c r="J116" s="197"/>
      <c r="K116" s="197">
        <f t="shared" si="284"/>
        <v>423.52324399999998</v>
      </c>
      <c r="L116" s="197">
        <f t="shared" si="273"/>
        <v>125.10175600000002</v>
      </c>
      <c r="M116" s="197">
        <f t="shared" si="274"/>
        <v>455.10175600000002</v>
      </c>
      <c r="N116" s="196">
        <f t="shared" si="285"/>
        <v>502.06959286262719</v>
      </c>
      <c r="O116" s="197">
        <f t="shared" si="286"/>
        <v>301.99674758654265</v>
      </c>
      <c r="P116" s="197">
        <f t="shared" si="287"/>
        <v>387.58376428879308</v>
      </c>
      <c r="Q116" s="197">
        <f t="shared" si="288"/>
        <v>114.48582857383411</v>
      </c>
      <c r="R116" s="199">
        <f t="shared" si="289"/>
        <v>416.48257616037677</v>
      </c>
      <c r="S116" s="196">
        <f t="shared" si="325"/>
        <v>1152.7849642454153</v>
      </c>
      <c r="T116" s="197">
        <f t="shared" si="290"/>
        <v>1263.4417471152447</v>
      </c>
      <c r="U116" s="197">
        <f t="shared" si="290"/>
        <v>3669.6766428632104</v>
      </c>
      <c r="V116" s="197">
        <f t="shared" si="290"/>
        <v>-2516.8916786177952</v>
      </c>
      <c r="W116" s="199">
        <f t="shared" si="290"/>
        <v>-1253.4499315025507</v>
      </c>
      <c r="Z116" s="204">
        <f t="shared" si="326"/>
        <v>4</v>
      </c>
      <c r="AA116" s="760">
        <f>'Energy NPV'!$D42*$AB$109</f>
        <v>18.809999999999999</v>
      </c>
      <c r="AB116" s="197">
        <f>'Energy margins'!$L$12</f>
        <v>43.75</v>
      </c>
      <c r="AC116" s="197">
        <f t="shared" si="327"/>
        <v>822.9375</v>
      </c>
      <c r="AD116" s="197">
        <f>'Margins summary'!$S$14</f>
        <v>330</v>
      </c>
      <c r="AE116" s="197">
        <f t="shared" si="291"/>
        <v>1152.9375</v>
      </c>
      <c r="AF116" s="197"/>
      <c r="AG116" s="918">
        <f>'Energy NPV'!U42</f>
        <v>423.52324399999998</v>
      </c>
      <c r="AH116" s="197"/>
      <c r="AI116" s="197">
        <f t="shared" si="292"/>
        <v>423.52324399999998</v>
      </c>
      <c r="AJ116" s="197">
        <f t="shared" si="275"/>
        <v>399.41425600000002</v>
      </c>
      <c r="AK116" s="197">
        <f t="shared" si="276"/>
        <v>729.41425600000002</v>
      </c>
      <c r="AL116" s="196">
        <f t="shared" si="293"/>
        <v>753.1043892939407</v>
      </c>
      <c r="AM116" s="197">
        <f t="shared" si="294"/>
        <v>301.99674758654265</v>
      </c>
      <c r="AN116" s="197">
        <f t="shared" si="295"/>
        <v>387.58376428879308</v>
      </c>
      <c r="AO116" s="197">
        <f t="shared" si="296"/>
        <v>365.52062500514768</v>
      </c>
      <c r="AP116" s="199">
        <f t="shared" si="297"/>
        <v>667.51737259169033</v>
      </c>
      <c r="AQ116" s="196">
        <f t="shared" si="328"/>
        <v>1729.1774463681231</v>
      </c>
      <c r="AR116" s="197">
        <f t="shared" si="298"/>
        <v>1263.4417471152447</v>
      </c>
      <c r="AS116" s="197">
        <f t="shared" si="298"/>
        <v>3669.6766428632104</v>
      </c>
      <c r="AT116" s="197">
        <f t="shared" si="298"/>
        <v>-1940.4991964950875</v>
      </c>
      <c r="AU116" s="199">
        <f t="shared" si="298"/>
        <v>-677.05744937984298</v>
      </c>
      <c r="AX116" s="204">
        <f t="shared" si="329"/>
        <v>4</v>
      </c>
      <c r="AY116" s="760">
        <f>'Energy NPV'!$D42*$AZ$109</f>
        <v>6.27</v>
      </c>
      <c r="AZ116" s="197">
        <f>'Energy margins'!$L$12</f>
        <v>43.75</v>
      </c>
      <c r="BA116" s="197">
        <f t="shared" si="330"/>
        <v>274.3125</v>
      </c>
      <c r="BB116" s="197">
        <f>'Margins summary'!$S$14</f>
        <v>330</v>
      </c>
      <c r="BC116" s="197">
        <f t="shared" si="299"/>
        <v>604.3125</v>
      </c>
      <c r="BD116" s="197"/>
      <c r="BE116" s="918">
        <f>'Energy NPV'!U42</f>
        <v>423.52324399999998</v>
      </c>
      <c r="BF116" s="197"/>
      <c r="BG116" s="197">
        <f t="shared" si="300"/>
        <v>423.52324399999998</v>
      </c>
      <c r="BH116" s="197">
        <f t="shared" si="277"/>
        <v>-149.21074399999998</v>
      </c>
      <c r="BI116" s="197">
        <f t="shared" si="278"/>
        <v>180.78925600000002</v>
      </c>
      <c r="BJ116" s="196">
        <f t="shared" si="301"/>
        <v>251.03479643131359</v>
      </c>
      <c r="BK116" s="197">
        <f t="shared" si="302"/>
        <v>301.99674758654265</v>
      </c>
      <c r="BL116" s="197">
        <f t="shared" si="303"/>
        <v>387.58376428879308</v>
      </c>
      <c r="BM116" s="197">
        <f t="shared" si="304"/>
        <v>-136.54896785747948</v>
      </c>
      <c r="BN116" s="199">
        <f t="shared" si="305"/>
        <v>165.44777972906317</v>
      </c>
      <c r="BO116" s="196">
        <f t="shared" si="331"/>
        <v>576.39248212270763</v>
      </c>
      <c r="BP116" s="197">
        <f t="shared" si="306"/>
        <v>1263.4417471152447</v>
      </c>
      <c r="BQ116" s="197">
        <f t="shared" si="306"/>
        <v>3669.6766428632104</v>
      </c>
      <c r="BR116" s="197">
        <f t="shared" si="306"/>
        <v>-3093.284160740503</v>
      </c>
      <c r="BS116" s="199">
        <f t="shared" si="306"/>
        <v>-1829.8424136252584</v>
      </c>
      <c r="BV116" s="204">
        <f t="shared" si="332"/>
        <v>4</v>
      </c>
      <c r="BW116" s="760">
        <f>'Energy NPV'!$D42*$BX$109</f>
        <v>25.08</v>
      </c>
      <c r="BX116" s="197">
        <f>'Energy margins'!$L$12</f>
        <v>43.75</v>
      </c>
      <c r="BY116" s="197">
        <f t="shared" si="333"/>
        <v>1097.25</v>
      </c>
      <c r="BZ116" s="197">
        <f>'Margins summary'!$S$14</f>
        <v>330</v>
      </c>
      <c r="CA116" s="197">
        <f t="shared" si="307"/>
        <v>1427.25</v>
      </c>
      <c r="CB116" s="197"/>
      <c r="CC116" s="918">
        <f>'Energy NPV'!U42</f>
        <v>423.52324399999998</v>
      </c>
      <c r="CD116" s="197"/>
      <c r="CE116" s="197">
        <f t="shared" si="308"/>
        <v>423.52324399999998</v>
      </c>
      <c r="CF116" s="197">
        <f t="shared" si="279"/>
        <v>673.72675600000002</v>
      </c>
      <c r="CG116" s="197">
        <f t="shared" si="280"/>
        <v>1003.726756</v>
      </c>
      <c r="CH116" s="196">
        <f t="shared" si="309"/>
        <v>1004.1391857252544</v>
      </c>
      <c r="CI116" s="197">
        <f t="shared" si="310"/>
        <v>301.99674758654265</v>
      </c>
      <c r="CJ116" s="197">
        <f t="shared" si="311"/>
        <v>387.58376428879308</v>
      </c>
      <c r="CK116" s="197">
        <f t="shared" si="312"/>
        <v>616.5554214364613</v>
      </c>
      <c r="CL116" s="199">
        <f t="shared" si="313"/>
        <v>918.5521690230039</v>
      </c>
      <c r="CM116" s="196">
        <f t="shared" si="334"/>
        <v>2305.5699284908305</v>
      </c>
      <c r="CN116" s="197">
        <f t="shared" si="314"/>
        <v>1263.4417471152447</v>
      </c>
      <c r="CO116" s="197">
        <f t="shared" si="314"/>
        <v>3669.6766428632104</v>
      </c>
      <c r="CP116" s="197">
        <f t="shared" si="314"/>
        <v>-1364.1067143723801</v>
      </c>
      <c r="CQ116" s="199">
        <f t="shared" si="314"/>
        <v>-100.66496725713546</v>
      </c>
      <c r="CT116" s="204">
        <f t="shared" si="335"/>
        <v>4</v>
      </c>
      <c r="CU116" s="760">
        <f>'Energy NPV'!$D42*$CV$109</f>
        <v>0</v>
      </c>
      <c r="CV116" s="197">
        <f>'Energy margins'!$L$12</f>
        <v>43.75</v>
      </c>
      <c r="CW116" s="197">
        <f t="shared" si="336"/>
        <v>0</v>
      </c>
      <c r="CX116" s="197">
        <f>'Margins summary'!$S$14</f>
        <v>330</v>
      </c>
      <c r="CY116" s="197">
        <f t="shared" si="315"/>
        <v>330</v>
      </c>
      <c r="CZ116" s="197"/>
      <c r="DA116" s="918">
        <f>'Energy NPV'!U42</f>
        <v>423.52324399999998</v>
      </c>
      <c r="DB116" s="197"/>
      <c r="DC116" s="197">
        <f t="shared" si="316"/>
        <v>423.52324399999998</v>
      </c>
      <c r="DD116" s="197">
        <f t="shared" si="281"/>
        <v>-423.52324399999998</v>
      </c>
      <c r="DE116" s="197">
        <f t="shared" si="282"/>
        <v>-93.523243999999977</v>
      </c>
      <c r="DF116" s="196">
        <f t="shared" si="317"/>
        <v>0</v>
      </c>
      <c r="DG116" s="197">
        <f t="shared" si="318"/>
        <v>301.99674758654265</v>
      </c>
      <c r="DH116" s="197">
        <f t="shared" si="319"/>
        <v>387.58376428879308</v>
      </c>
      <c r="DI116" s="197">
        <f t="shared" si="320"/>
        <v>-387.58376428879308</v>
      </c>
      <c r="DJ116" s="199">
        <f t="shared" si="321"/>
        <v>-85.587016702250409</v>
      </c>
      <c r="DK116" s="196">
        <f t="shared" si="337"/>
        <v>0</v>
      </c>
      <c r="DL116" s="197">
        <f t="shared" si="322"/>
        <v>1263.4417471152447</v>
      </c>
      <c r="DM116" s="197">
        <f t="shared" si="322"/>
        <v>3669.6766428632104</v>
      </c>
      <c r="DN116" s="197">
        <f t="shared" si="322"/>
        <v>-3669.6766428632104</v>
      </c>
      <c r="DO116" s="199">
        <f t="shared" si="322"/>
        <v>-2406.2348957479658</v>
      </c>
    </row>
    <row r="117" spans="2:119" x14ac:dyDescent="0.3">
      <c r="B117" s="204">
        <f t="shared" si="323"/>
        <v>5</v>
      </c>
      <c r="C117" s="760">
        <f>'Energy NPV'!$D43*$E$109</f>
        <v>12.54</v>
      </c>
      <c r="D117" s="197">
        <f>'Energy margins'!$L$12</f>
        <v>43.75</v>
      </c>
      <c r="E117" s="197">
        <f t="shared" si="324"/>
        <v>548.625</v>
      </c>
      <c r="F117" s="197">
        <f>'Margins summary'!$S$14</f>
        <v>330</v>
      </c>
      <c r="G117" s="197">
        <f t="shared" si="283"/>
        <v>878.625</v>
      </c>
      <c r="H117" s="197"/>
      <c r="I117" s="918">
        <f>'Energy NPV'!U43</f>
        <v>423.52324399999998</v>
      </c>
      <c r="J117" s="197"/>
      <c r="K117" s="197">
        <f t="shared" si="284"/>
        <v>423.52324399999998</v>
      </c>
      <c r="L117" s="197">
        <f t="shared" si="273"/>
        <v>125.10175600000002</v>
      </c>
      <c r="M117" s="197">
        <f t="shared" si="274"/>
        <v>455.10175600000002</v>
      </c>
      <c r="N117" s="196">
        <f t="shared" si="285"/>
        <v>487.44620666274488</v>
      </c>
      <c r="O117" s="197">
        <f t="shared" si="286"/>
        <v>293.20072581217738</v>
      </c>
      <c r="P117" s="197">
        <f t="shared" si="287"/>
        <v>376.29491678523601</v>
      </c>
      <c r="Q117" s="197">
        <f t="shared" si="288"/>
        <v>111.15128987750884</v>
      </c>
      <c r="R117" s="199">
        <f t="shared" si="289"/>
        <v>404.3520156896862</v>
      </c>
      <c r="S117" s="196">
        <f t="shared" si="325"/>
        <v>1640.23117090816</v>
      </c>
      <c r="T117" s="197">
        <f t="shared" si="290"/>
        <v>1556.642472927422</v>
      </c>
      <c r="U117" s="197">
        <f t="shared" si="290"/>
        <v>4045.9715596484466</v>
      </c>
      <c r="V117" s="197">
        <f t="shared" si="290"/>
        <v>-2405.7403887402861</v>
      </c>
      <c r="W117" s="199">
        <f t="shared" si="290"/>
        <v>-849.09791581286458</v>
      </c>
      <c r="Z117" s="204">
        <f t="shared" si="326"/>
        <v>5</v>
      </c>
      <c r="AA117" s="760">
        <f>'Energy NPV'!$D43*$AB$109</f>
        <v>18.809999999999999</v>
      </c>
      <c r="AB117" s="197">
        <f>'Energy margins'!$L$12</f>
        <v>43.75</v>
      </c>
      <c r="AC117" s="197">
        <f t="shared" si="327"/>
        <v>822.9375</v>
      </c>
      <c r="AD117" s="197">
        <f>'Margins summary'!$S$14</f>
        <v>330</v>
      </c>
      <c r="AE117" s="197">
        <f t="shared" si="291"/>
        <v>1152.9375</v>
      </c>
      <c r="AF117" s="197"/>
      <c r="AG117" s="918">
        <f>'Energy NPV'!U43</f>
        <v>423.52324399999998</v>
      </c>
      <c r="AH117" s="197"/>
      <c r="AI117" s="197">
        <f t="shared" si="292"/>
        <v>423.52324399999998</v>
      </c>
      <c r="AJ117" s="197">
        <f t="shared" si="275"/>
        <v>399.41425600000002</v>
      </c>
      <c r="AK117" s="197">
        <f t="shared" si="276"/>
        <v>729.41425600000002</v>
      </c>
      <c r="AL117" s="196">
        <f t="shared" si="293"/>
        <v>731.16930999411727</v>
      </c>
      <c r="AM117" s="197">
        <f t="shared" si="294"/>
        <v>293.20072581217738</v>
      </c>
      <c r="AN117" s="197">
        <f t="shared" si="295"/>
        <v>376.29491678523601</v>
      </c>
      <c r="AO117" s="197">
        <f t="shared" si="296"/>
        <v>354.87439320888126</v>
      </c>
      <c r="AP117" s="199">
        <f t="shared" si="297"/>
        <v>648.07511902105864</v>
      </c>
      <c r="AQ117" s="196">
        <f t="shared" si="328"/>
        <v>2460.3467563622403</v>
      </c>
      <c r="AR117" s="197">
        <f t="shared" si="298"/>
        <v>1556.642472927422</v>
      </c>
      <c r="AS117" s="197">
        <f t="shared" si="298"/>
        <v>4045.9715596484466</v>
      </c>
      <c r="AT117" s="197">
        <f t="shared" si="298"/>
        <v>-1585.6248032862063</v>
      </c>
      <c r="AU117" s="199">
        <f t="shared" si="298"/>
        <v>-28.982330358784338</v>
      </c>
      <c r="AX117" s="204">
        <f t="shared" si="329"/>
        <v>5</v>
      </c>
      <c r="AY117" s="760">
        <f>'Energy NPV'!$D43*$AZ$109</f>
        <v>6.27</v>
      </c>
      <c r="AZ117" s="197">
        <f>'Energy margins'!$L$12</f>
        <v>43.75</v>
      </c>
      <c r="BA117" s="197">
        <f t="shared" si="330"/>
        <v>274.3125</v>
      </c>
      <c r="BB117" s="197">
        <f>'Margins summary'!$S$14</f>
        <v>330</v>
      </c>
      <c r="BC117" s="197">
        <f t="shared" si="299"/>
        <v>604.3125</v>
      </c>
      <c r="BD117" s="197"/>
      <c r="BE117" s="918">
        <f>'Energy NPV'!U43</f>
        <v>423.52324399999998</v>
      </c>
      <c r="BF117" s="197"/>
      <c r="BG117" s="197">
        <f t="shared" si="300"/>
        <v>423.52324399999998</v>
      </c>
      <c r="BH117" s="197">
        <f t="shared" si="277"/>
        <v>-149.21074399999998</v>
      </c>
      <c r="BI117" s="197">
        <f t="shared" si="278"/>
        <v>180.78925600000002</v>
      </c>
      <c r="BJ117" s="196">
        <f t="shared" si="301"/>
        <v>243.72310333137244</v>
      </c>
      <c r="BK117" s="197">
        <f t="shared" si="302"/>
        <v>293.20072581217738</v>
      </c>
      <c r="BL117" s="197">
        <f t="shared" si="303"/>
        <v>376.29491678523601</v>
      </c>
      <c r="BM117" s="197">
        <f t="shared" si="304"/>
        <v>-132.57181345386357</v>
      </c>
      <c r="BN117" s="199">
        <f t="shared" si="305"/>
        <v>160.62891235831378</v>
      </c>
      <c r="BO117" s="196">
        <f t="shared" si="331"/>
        <v>820.11558545408002</v>
      </c>
      <c r="BP117" s="197">
        <f t="shared" si="306"/>
        <v>1556.642472927422</v>
      </c>
      <c r="BQ117" s="197">
        <f t="shared" si="306"/>
        <v>4045.9715596484466</v>
      </c>
      <c r="BR117" s="197">
        <f t="shared" si="306"/>
        <v>-3225.8559741943664</v>
      </c>
      <c r="BS117" s="199">
        <f t="shared" si="306"/>
        <v>-1669.2135012669446</v>
      </c>
      <c r="BV117" s="204">
        <f t="shared" si="332"/>
        <v>5</v>
      </c>
      <c r="BW117" s="760">
        <f>'Energy NPV'!$D43*$BX$109</f>
        <v>25.08</v>
      </c>
      <c r="BX117" s="197">
        <f>'Energy margins'!$L$12</f>
        <v>43.75</v>
      </c>
      <c r="BY117" s="197">
        <f t="shared" si="333"/>
        <v>1097.25</v>
      </c>
      <c r="BZ117" s="197">
        <f>'Margins summary'!$S$14</f>
        <v>330</v>
      </c>
      <c r="CA117" s="197">
        <f t="shared" si="307"/>
        <v>1427.25</v>
      </c>
      <c r="CB117" s="197"/>
      <c r="CC117" s="918">
        <f>'Energy NPV'!U43</f>
        <v>423.52324399999998</v>
      </c>
      <c r="CD117" s="197"/>
      <c r="CE117" s="197">
        <f t="shared" si="308"/>
        <v>423.52324399999998</v>
      </c>
      <c r="CF117" s="197">
        <f t="shared" si="279"/>
        <v>673.72675600000002</v>
      </c>
      <c r="CG117" s="197">
        <f t="shared" si="280"/>
        <v>1003.726756</v>
      </c>
      <c r="CH117" s="196">
        <f t="shared" si="309"/>
        <v>974.89241332548977</v>
      </c>
      <c r="CI117" s="197">
        <f t="shared" si="310"/>
        <v>293.20072581217738</v>
      </c>
      <c r="CJ117" s="197">
        <f t="shared" si="311"/>
        <v>376.29491678523601</v>
      </c>
      <c r="CK117" s="197">
        <f t="shared" si="312"/>
        <v>598.5974965402537</v>
      </c>
      <c r="CL117" s="199">
        <f t="shared" si="313"/>
        <v>891.79822235243103</v>
      </c>
      <c r="CM117" s="196">
        <f t="shared" si="334"/>
        <v>3280.4623418163201</v>
      </c>
      <c r="CN117" s="197">
        <f t="shared" si="314"/>
        <v>1556.642472927422</v>
      </c>
      <c r="CO117" s="197">
        <f t="shared" si="314"/>
        <v>4045.9715596484466</v>
      </c>
      <c r="CP117" s="197">
        <f t="shared" si="314"/>
        <v>-765.50921783212641</v>
      </c>
      <c r="CQ117" s="199">
        <f t="shared" si="314"/>
        <v>791.13325509529557</v>
      </c>
      <c r="CT117" s="204">
        <f t="shared" si="335"/>
        <v>5</v>
      </c>
      <c r="CU117" s="760">
        <f>'Energy NPV'!$D43*$CV$109</f>
        <v>0</v>
      </c>
      <c r="CV117" s="197">
        <f>'Energy margins'!$L$12</f>
        <v>43.75</v>
      </c>
      <c r="CW117" s="197">
        <f t="shared" si="336"/>
        <v>0</v>
      </c>
      <c r="CX117" s="197">
        <f>'Margins summary'!$S$14</f>
        <v>330</v>
      </c>
      <c r="CY117" s="197">
        <f t="shared" si="315"/>
        <v>330</v>
      </c>
      <c r="CZ117" s="197"/>
      <c r="DA117" s="918">
        <f>'Energy NPV'!U43</f>
        <v>423.52324399999998</v>
      </c>
      <c r="DB117" s="197"/>
      <c r="DC117" s="197">
        <f t="shared" si="316"/>
        <v>423.52324399999998</v>
      </c>
      <c r="DD117" s="197">
        <f t="shared" si="281"/>
        <v>-423.52324399999998</v>
      </c>
      <c r="DE117" s="197">
        <f t="shared" si="282"/>
        <v>-93.523243999999977</v>
      </c>
      <c r="DF117" s="196">
        <f t="shared" si="317"/>
        <v>0</v>
      </c>
      <c r="DG117" s="197">
        <f t="shared" si="318"/>
        <v>293.20072581217738</v>
      </c>
      <c r="DH117" s="197">
        <f t="shared" si="319"/>
        <v>376.29491678523601</v>
      </c>
      <c r="DI117" s="197">
        <f t="shared" si="320"/>
        <v>-376.29491678523601</v>
      </c>
      <c r="DJ117" s="199">
        <f t="shared" si="321"/>
        <v>-83.094190973058645</v>
      </c>
      <c r="DK117" s="196">
        <f t="shared" si="337"/>
        <v>0</v>
      </c>
      <c r="DL117" s="197">
        <f t="shared" si="322"/>
        <v>1556.642472927422</v>
      </c>
      <c r="DM117" s="197">
        <f t="shared" si="322"/>
        <v>4045.9715596484466</v>
      </c>
      <c r="DN117" s="197">
        <f t="shared" si="322"/>
        <v>-4045.9715596484466</v>
      </c>
      <c r="DO117" s="199">
        <f t="shared" si="322"/>
        <v>-2489.3290867210244</v>
      </c>
    </row>
    <row r="118" spans="2:119" x14ac:dyDescent="0.3">
      <c r="B118" s="204">
        <f t="shared" si="323"/>
        <v>6</v>
      </c>
      <c r="C118" s="760">
        <f>'Energy NPV'!$D44*$E$109</f>
        <v>12.54</v>
      </c>
      <c r="D118" s="197">
        <f>'Energy margins'!$L$12</f>
        <v>43.75</v>
      </c>
      <c r="E118" s="197">
        <f t="shared" si="324"/>
        <v>548.625</v>
      </c>
      <c r="F118" s="197">
        <f>'Margins summary'!$S$14</f>
        <v>330</v>
      </c>
      <c r="G118" s="197">
        <f t="shared" si="283"/>
        <v>878.625</v>
      </c>
      <c r="H118" s="197"/>
      <c r="I118" s="918">
        <f>'Energy NPV'!U44</f>
        <v>423.52324399999998</v>
      </c>
      <c r="J118" s="197"/>
      <c r="K118" s="197">
        <f t="shared" si="284"/>
        <v>423.52324399999998</v>
      </c>
      <c r="L118" s="197">
        <f t="shared" si="273"/>
        <v>125.10175600000002</v>
      </c>
      <c r="M118" s="197">
        <f t="shared" si="274"/>
        <v>455.10175600000002</v>
      </c>
      <c r="N118" s="196">
        <f t="shared" si="285"/>
        <v>473.24874433276204</v>
      </c>
      <c r="O118" s="197">
        <f t="shared" si="286"/>
        <v>284.66089884677416</v>
      </c>
      <c r="P118" s="197">
        <f t="shared" si="287"/>
        <v>365.33487066527772</v>
      </c>
      <c r="Q118" s="197">
        <f t="shared" si="288"/>
        <v>107.91387366748432</v>
      </c>
      <c r="R118" s="199">
        <f t="shared" si="289"/>
        <v>392.57477251425848</v>
      </c>
      <c r="S118" s="196">
        <f t="shared" si="325"/>
        <v>2113.4799152409223</v>
      </c>
      <c r="T118" s="197">
        <f t="shared" si="290"/>
        <v>1841.3033717741962</v>
      </c>
      <c r="U118" s="197">
        <f t="shared" si="290"/>
        <v>4411.3064303137244</v>
      </c>
      <c r="V118" s="197">
        <f t="shared" si="290"/>
        <v>-2297.8265150728016</v>
      </c>
      <c r="W118" s="199">
        <f t="shared" si="290"/>
        <v>-456.5231432986061</v>
      </c>
      <c r="Z118" s="204">
        <f t="shared" si="326"/>
        <v>6</v>
      </c>
      <c r="AA118" s="760">
        <f>'Energy NPV'!$D44*$AB$109</f>
        <v>18.809999999999999</v>
      </c>
      <c r="AB118" s="197">
        <f>'Energy margins'!$L$12</f>
        <v>43.75</v>
      </c>
      <c r="AC118" s="197">
        <f t="shared" si="327"/>
        <v>822.9375</v>
      </c>
      <c r="AD118" s="197">
        <f>'Margins summary'!$S$14</f>
        <v>330</v>
      </c>
      <c r="AE118" s="197">
        <f t="shared" si="291"/>
        <v>1152.9375</v>
      </c>
      <c r="AF118" s="197"/>
      <c r="AG118" s="918">
        <f>'Energy NPV'!U44</f>
        <v>423.52324399999998</v>
      </c>
      <c r="AH118" s="197"/>
      <c r="AI118" s="197">
        <f t="shared" si="292"/>
        <v>423.52324399999998</v>
      </c>
      <c r="AJ118" s="197">
        <f t="shared" si="275"/>
        <v>399.41425600000002</v>
      </c>
      <c r="AK118" s="197">
        <f t="shared" si="276"/>
        <v>729.41425600000002</v>
      </c>
      <c r="AL118" s="196">
        <f t="shared" si="293"/>
        <v>709.87311649914307</v>
      </c>
      <c r="AM118" s="197">
        <f t="shared" si="294"/>
        <v>284.66089884677416</v>
      </c>
      <c r="AN118" s="197">
        <f t="shared" si="295"/>
        <v>365.33487066527772</v>
      </c>
      <c r="AO118" s="197">
        <f t="shared" si="296"/>
        <v>344.53824583386535</v>
      </c>
      <c r="AP118" s="199">
        <f t="shared" si="297"/>
        <v>629.19914468063951</v>
      </c>
      <c r="AQ118" s="196">
        <f t="shared" si="328"/>
        <v>3170.2198728613835</v>
      </c>
      <c r="AR118" s="197">
        <f t="shared" si="298"/>
        <v>1841.3033717741962</v>
      </c>
      <c r="AS118" s="197">
        <f t="shared" si="298"/>
        <v>4411.3064303137244</v>
      </c>
      <c r="AT118" s="197">
        <f t="shared" si="298"/>
        <v>-1241.0865574523409</v>
      </c>
      <c r="AU118" s="199">
        <f t="shared" si="298"/>
        <v>600.21681432185517</v>
      </c>
      <c r="AX118" s="204">
        <f t="shared" si="329"/>
        <v>6</v>
      </c>
      <c r="AY118" s="760">
        <f>'Energy NPV'!$D44*$AZ$109</f>
        <v>6.27</v>
      </c>
      <c r="AZ118" s="197">
        <f>'Energy margins'!$L$12</f>
        <v>43.75</v>
      </c>
      <c r="BA118" s="197">
        <f t="shared" si="330"/>
        <v>274.3125</v>
      </c>
      <c r="BB118" s="197">
        <f>'Margins summary'!$S$14</f>
        <v>330</v>
      </c>
      <c r="BC118" s="197">
        <f t="shared" si="299"/>
        <v>604.3125</v>
      </c>
      <c r="BD118" s="197"/>
      <c r="BE118" s="918">
        <f>'Energy NPV'!U44</f>
        <v>423.52324399999998</v>
      </c>
      <c r="BF118" s="197"/>
      <c r="BG118" s="197">
        <f t="shared" si="300"/>
        <v>423.52324399999998</v>
      </c>
      <c r="BH118" s="197">
        <f t="shared" si="277"/>
        <v>-149.21074399999998</v>
      </c>
      <c r="BI118" s="197">
        <f t="shared" si="278"/>
        <v>180.78925600000002</v>
      </c>
      <c r="BJ118" s="196">
        <f t="shared" si="301"/>
        <v>236.62437216638102</v>
      </c>
      <c r="BK118" s="197">
        <f t="shared" si="302"/>
        <v>284.66089884677416</v>
      </c>
      <c r="BL118" s="197">
        <f t="shared" si="303"/>
        <v>365.33487066527772</v>
      </c>
      <c r="BM118" s="197">
        <f t="shared" si="304"/>
        <v>-128.7104984988967</v>
      </c>
      <c r="BN118" s="199">
        <f t="shared" si="305"/>
        <v>155.95040034787746</v>
      </c>
      <c r="BO118" s="196">
        <f t="shared" si="331"/>
        <v>1056.7399576204612</v>
      </c>
      <c r="BP118" s="197">
        <f t="shared" si="306"/>
        <v>1841.3033717741962</v>
      </c>
      <c r="BQ118" s="197">
        <f t="shared" si="306"/>
        <v>4411.3064303137244</v>
      </c>
      <c r="BR118" s="197">
        <f t="shared" si="306"/>
        <v>-3354.5664726932632</v>
      </c>
      <c r="BS118" s="199">
        <f t="shared" si="306"/>
        <v>-1513.2631009190673</v>
      </c>
      <c r="BV118" s="204">
        <f t="shared" si="332"/>
        <v>6</v>
      </c>
      <c r="BW118" s="760">
        <f>'Energy NPV'!$D44*$BX$109</f>
        <v>25.08</v>
      </c>
      <c r="BX118" s="197">
        <f>'Energy margins'!$L$12</f>
        <v>43.75</v>
      </c>
      <c r="BY118" s="197">
        <f t="shared" si="333"/>
        <v>1097.25</v>
      </c>
      <c r="BZ118" s="197">
        <f>'Margins summary'!$S$14</f>
        <v>330</v>
      </c>
      <c r="CA118" s="197">
        <f t="shared" si="307"/>
        <v>1427.25</v>
      </c>
      <c r="CB118" s="197"/>
      <c r="CC118" s="918">
        <f>'Energy NPV'!U44</f>
        <v>423.52324399999998</v>
      </c>
      <c r="CD118" s="197"/>
      <c r="CE118" s="197">
        <f t="shared" si="308"/>
        <v>423.52324399999998</v>
      </c>
      <c r="CF118" s="197">
        <f t="shared" si="279"/>
        <v>673.72675600000002</v>
      </c>
      <c r="CG118" s="197">
        <f t="shared" si="280"/>
        <v>1003.726756</v>
      </c>
      <c r="CH118" s="196">
        <f t="shared" si="309"/>
        <v>946.49748866552409</v>
      </c>
      <c r="CI118" s="197">
        <f t="shared" si="310"/>
        <v>284.66089884677416</v>
      </c>
      <c r="CJ118" s="197">
        <f t="shared" si="311"/>
        <v>365.33487066527772</v>
      </c>
      <c r="CK118" s="197">
        <f t="shared" si="312"/>
        <v>581.16261800024631</v>
      </c>
      <c r="CL118" s="199">
        <f t="shared" si="313"/>
        <v>865.82351684702053</v>
      </c>
      <c r="CM118" s="196">
        <f t="shared" si="334"/>
        <v>4226.9598304818446</v>
      </c>
      <c r="CN118" s="197">
        <f t="shared" si="314"/>
        <v>1841.3033717741962</v>
      </c>
      <c r="CO118" s="197">
        <f t="shared" si="314"/>
        <v>4411.3064303137244</v>
      </c>
      <c r="CP118" s="197">
        <f t="shared" si="314"/>
        <v>-184.3465998318801</v>
      </c>
      <c r="CQ118" s="199">
        <f t="shared" si="314"/>
        <v>1656.9567719423162</v>
      </c>
      <c r="CT118" s="204">
        <f t="shared" si="335"/>
        <v>6</v>
      </c>
      <c r="CU118" s="760">
        <f>'Energy NPV'!$D44*$CV$109</f>
        <v>0</v>
      </c>
      <c r="CV118" s="197">
        <f>'Energy margins'!$L$12</f>
        <v>43.75</v>
      </c>
      <c r="CW118" s="197">
        <f t="shared" si="336"/>
        <v>0</v>
      </c>
      <c r="CX118" s="197">
        <f>'Margins summary'!$S$14</f>
        <v>330</v>
      </c>
      <c r="CY118" s="197">
        <f t="shared" si="315"/>
        <v>330</v>
      </c>
      <c r="CZ118" s="197"/>
      <c r="DA118" s="918">
        <f>'Energy NPV'!U44</f>
        <v>423.52324399999998</v>
      </c>
      <c r="DB118" s="197"/>
      <c r="DC118" s="197">
        <f t="shared" si="316"/>
        <v>423.52324399999998</v>
      </c>
      <c r="DD118" s="197">
        <f t="shared" si="281"/>
        <v>-423.52324399999998</v>
      </c>
      <c r="DE118" s="197">
        <f t="shared" si="282"/>
        <v>-93.523243999999977</v>
      </c>
      <c r="DF118" s="196">
        <f t="shared" si="317"/>
        <v>0</v>
      </c>
      <c r="DG118" s="197">
        <f t="shared" si="318"/>
        <v>284.66089884677416</v>
      </c>
      <c r="DH118" s="197">
        <f t="shared" si="319"/>
        <v>365.33487066527772</v>
      </c>
      <c r="DI118" s="197">
        <f t="shared" si="320"/>
        <v>-365.33487066527772</v>
      </c>
      <c r="DJ118" s="199">
        <f t="shared" si="321"/>
        <v>-80.673971818503546</v>
      </c>
      <c r="DK118" s="196">
        <f t="shared" si="337"/>
        <v>0</v>
      </c>
      <c r="DL118" s="197">
        <f t="shared" si="322"/>
        <v>1841.3033717741962</v>
      </c>
      <c r="DM118" s="197">
        <f t="shared" si="322"/>
        <v>4411.3064303137244</v>
      </c>
      <c r="DN118" s="197">
        <f t="shared" si="322"/>
        <v>-4411.3064303137244</v>
      </c>
      <c r="DO118" s="199">
        <f t="shared" si="322"/>
        <v>-2570.003058539528</v>
      </c>
    </row>
    <row r="119" spans="2:119" x14ac:dyDescent="0.3">
      <c r="B119" s="204">
        <f t="shared" si="323"/>
        <v>7</v>
      </c>
      <c r="C119" s="760">
        <f>'Energy NPV'!$D45*$E$109</f>
        <v>12.54</v>
      </c>
      <c r="D119" s="197">
        <f>'Energy margins'!$L$12</f>
        <v>43.75</v>
      </c>
      <c r="E119" s="197">
        <f t="shared" si="324"/>
        <v>548.625</v>
      </c>
      <c r="F119" s="197">
        <f>'Margins summary'!$S$14</f>
        <v>330</v>
      </c>
      <c r="G119" s="197">
        <f t="shared" si="283"/>
        <v>878.625</v>
      </c>
      <c r="H119" s="197"/>
      <c r="I119" s="918">
        <f>'Energy NPV'!U45</f>
        <v>423.52324399999998</v>
      </c>
      <c r="J119" s="197"/>
      <c r="K119" s="197">
        <f t="shared" si="284"/>
        <v>423.52324399999998</v>
      </c>
      <c r="L119" s="197">
        <f t="shared" si="273"/>
        <v>125.10175600000002</v>
      </c>
      <c r="M119" s="197">
        <f t="shared" si="274"/>
        <v>455.10175600000002</v>
      </c>
      <c r="N119" s="196">
        <f t="shared" si="285"/>
        <v>459.46480032306988</v>
      </c>
      <c r="O119" s="197">
        <f t="shared" si="286"/>
        <v>276.36980470560593</v>
      </c>
      <c r="P119" s="197">
        <f t="shared" si="287"/>
        <v>354.69404918958998</v>
      </c>
      <c r="Q119" s="197">
        <f t="shared" si="288"/>
        <v>104.77075113347992</v>
      </c>
      <c r="R119" s="199">
        <f t="shared" si="289"/>
        <v>381.14055583908589</v>
      </c>
      <c r="S119" s="196">
        <f t="shared" si="325"/>
        <v>2572.9447155639923</v>
      </c>
      <c r="T119" s="197">
        <f t="shared" si="290"/>
        <v>2117.6731764798024</v>
      </c>
      <c r="U119" s="197">
        <f t="shared" si="290"/>
        <v>4766.0004795033146</v>
      </c>
      <c r="V119" s="197">
        <f t="shared" si="290"/>
        <v>-2193.0557639393219</v>
      </c>
      <c r="W119" s="199">
        <f t="shared" si="290"/>
        <v>-75.382587459520209</v>
      </c>
      <c r="Z119" s="204">
        <f t="shared" si="326"/>
        <v>7</v>
      </c>
      <c r="AA119" s="760">
        <f>'Energy NPV'!$D45*$AB$109</f>
        <v>18.809999999999999</v>
      </c>
      <c r="AB119" s="197">
        <f>'Energy margins'!$L$12</f>
        <v>43.75</v>
      </c>
      <c r="AC119" s="197">
        <f t="shared" si="327"/>
        <v>822.9375</v>
      </c>
      <c r="AD119" s="197">
        <f>'Margins summary'!$S$14</f>
        <v>330</v>
      </c>
      <c r="AE119" s="197">
        <f t="shared" si="291"/>
        <v>1152.9375</v>
      </c>
      <c r="AF119" s="197"/>
      <c r="AG119" s="918">
        <f>'Energy NPV'!U45</f>
        <v>423.52324399999998</v>
      </c>
      <c r="AH119" s="197"/>
      <c r="AI119" s="197">
        <f t="shared" si="292"/>
        <v>423.52324399999998</v>
      </c>
      <c r="AJ119" s="197">
        <f t="shared" si="275"/>
        <v>399.41425600000002</v>
      </c>
      <c r="AK119" s="197">
        <f t="shared" si="276"/>
        <v>729.41425600000002</v>
      </c>
      <c r="AL119" s="196">
        <f t="shared" si="293"/>
        <v>689.19720048460488</v>
      </c>
      <c r="AM119" s="197">
        <f t="shared" si="294"/>
        <v>276.36980470560593</v>
      </c>
      <c r="AN119" s="197">
        <f t="shared" si="295"/>
        <v>354.69404918958998</v>
      </c>
      <c r="AO119" s="197">
        <f t="shared" si="296"/>
        <v>334.5031512950149</v>
      </c>
      <c r="AP119" s="199">
        <f t="shared" si="297"/>
        <v>610.87295600062089</v>
      </c>
      <c r="AQ119" s="196">
        <f t="shared" si="328"/>
        <v>3859.4170733459882</v>
      </c>
      <c r="AR119" s="197">
        <f t="shared" si="298"/>
        <v>2117.6731764798024</v>
      </c>
      <c r="AS119" s="197">
        <f t="shared" si="298"/>
        <v>4766.0004795033146</v>
      </c>
      <c r="AT119" s="197">
        <f t="shared" si="298"/>
        <v>-906.58340615732595</v>
      </c>
      <c r="AU119" s="199">
        <f t="shared" si="298"/>
        <v>1211.0897703224759</v>
      </c>
      <c r="AX119" s="204">
        <f t="shared" si="329"/>
        <v>7</v>
      </c>
      <c r="AY119" s="760">
        <f>'Energy NPV'!$D45*$AZ$109</f>
        <v>6.27</v>
      </c>
      <c r="AZ119" s="197">
        <f>'Energy margins'!$L$12</f>
        <v>43.75</v>
      </c>
      <c r="BA119" s="197">
        <f t="shared" si="330"/>
        <v>274.3125</v>
      </c>
      <c r="BB119" s="197">
        <f>'Margins summary'!$S$14</f>
        <v>330</v>
      </c>
      <c r="BC119" s="197">
        <f t="shared" si="299"/>
        <v>604.3125</v>
      </c>
      <c r="BD119" s="197"/>
      <c r="BE119" s="918">
        <f>'Energy NPV'!U45</f>
        <v>423.52324399999998</v>
      </c>
      <c r="BF119" s="197"/>
      <c r="BG119" s="197">
        <f t="shared" si="300"/>
        <v>423.52324399999998</v>
      </c>
      <c r="BH119" s="197">
        <f t="shared" si="277"/>
        <v>-149.21074399999998</v>
      </c>
      <c r="BI119" s="197">
        <f t="shared" si="278"/>
        <v>180.78925600000002</v>
      </c>
      <c r="BJ119" s="196">
        <f t="shared" si="301"/>
        <v>229.73240016153494</v>
      </c>
      <c r="BK119" s="197">
        <f t="shared" si="302"/>
        <v>276.36980470560593</v>
      </c>
      <c r="BL119" s="197">
        <f t="shared" si="303"/>
        <v>354.69404918958998</v>
      </c>
      <c r="BM119" s="197">
        <f t="shared" si="304"/>
        <v>-124.96164902805504</v>
      </c>
      <c r="BN119" s="199">
        <f t="shared" si="305"/>
        <v>151.40815567755092</v>
      </c>
      <c r="BO119" s="196">
        <f t="shared" si="331"/>
        <v>1286.4723577819962</v>
      </c>
      <c r="BP119" s="197">
        <f t="shared" si="306"/>
        <v>2117.6731764798024</v>
      </c>
      <c r="BQ119" s="197">
        <f t="shared" si="306"/>
        <v>4766.0004795033146</v>
      </c>
      <c r="BR119" s="197">
        <f t="shared" si="306"/>
        <v>-3479.5281217213183</v>
      </c>
      <c r="BS119" s="199">
        <f t="shared" si="306"/>
        <v>-1361.8549452415164</v>
      </c>
      <c r="BV119" s="204">
        <f t="shared" si="332"/>
        <v>7</v>
      </c>
      <c r="BW119" s="760">
        <f>'Energy NPV'!$D45*$BX$109</f>
        <v>25.08</v>
      </c>
      <c r="BX119" s="197">
        <f>'Energy margins'!$L$12</f>
        <v>43.75</v>
      </c>
      <c r="BY119" s="197">
        <f t="shared" si="333"/>
        <v>1097.25</v>
      </c>
      <c r="BZ119" s="197">
        <f>'Margins summary'!$S$14</f>
        <v>330</v>
      </c>
      <c r="CA119" s="197">
        <f t="shared" si="307"/>
        <v>1427.25</v>
      </c>
      <c r="CB119" s="197"/>
      <c r="CC119" s="918">
        <f>'Energy NPV'!U45</f>
        <v>423.52324399999998</v>
      </c>
      <c r="CD119" s="197"/>
      <c r="CE119" s="197">
        <f t="shared" si="308"/>
        <v>423.52324399999998</v>
      </c>
      <c r="CF119" s="197">
        <f t="shared" si="279"/>
        <v>673.72675600000002</v>
      </c>
      <c r="CG119" s="197">
        <f t="shared" si="280"/>
        <v>1003.726756</v>
      </c>
      <c r="CH119" s="196">
        <f t="shared" si="309"/>
        <v>918.92960064613976</v>
      </c>
      <c r="CI119" s="197">
        <f t="shared" si="310"/>
        <v>276.36980470560593</v>
      </c>
      <c r="CJ119" s="197">
        <f t="shared" si="311"/>
        <v>354.69404918958998</v>
      </c>
      <c r="CK119" s="197">
        <f t="shared" si="312"/>
        <v>564.23555145654984</v>
      </c>
      <c r="CL119" s="199">
        <f t="shared" si="313"/>
        <v>840.60535616215577</v>
      </c>
      <c r="CM119" s="196">
        <f t="shared" si="334"/>
        <v>5145.8894311279846</v>
      </c>
      <c r="CN119" s="197">
        <f t="shared" si="314"/>
        <v>2117.6731764798024</v>
      </c>
      <c r="CO119" s="197">
        <f t="shared" si="314"/>
        <v>4766.0004795033146</v>
      </c>
      <c r="CP119" s="197">
        <f t="shared" si="314"/>
        <v>379.88895162466974</v>
      </c>
      <c r="CQ119" s="199">
        <f t="shared" si="314"/>
        <v>2497.5621281044719</v>
      </c>
      <c r="CT119" s="204">
        <f t="shared" si="335"/>
        <v>7</v>
      </c>
      <c r="CU119" s="760">
        <f>'Energy NPV'!$D45*$CV$109</f>
        <v>0</v>
      </c>
      <c r="CV119" s="197">
        <f>'Energy margins'!$L$12</f>
        <v>43.75</v>
      </c>
      <c r="CW119" s="197">
        <f t="shared" si="336"/>
        <v>0</v>
      </c>
      <c r="CX119" s="197">
        <f>'Margins summary'!$S$14</f>
        <v>330</v>
      </c>
      <c r="CY119" s="197">
        <f t="shared" si="315"/>
        <v>330</v>
      </c>
      <c r="CZ119" s="197"/>
      <c r="DA119" s="918">
        <f>'Energy NPV'!U45</f>
        <v>423.52324399999998</v>
      </c>
      <c r="DB119" s="197"/>
      <c r="DC119" s="197">
        <f t="shared" si="316"/>
        <v>423.52324399999998</v>
      </c>
      <c r="DD119" s="197">
        <f t="shared" si="281"/>
        <v>-423.52324399999998</v>
      </c>
      <c r="DE119" s="197">
        <f t="shared" si="282"/>
        <v>-93.523243999999977</v>
      </c>
      <c r="DF119" s="196">
        <f t="shared" si="317"/>
        <v>0</v>
      </c>
      <c r="DG119" s="197">
        <f t="shared" si="318"/>
        <v>276.36980470560593</v>
      </c>
      <c r="DH119" s="197">
        <f t="shared" si="319"/>
        <v>354.69404918958998</v>
      </c>
      <c r="DI119" s="197">
        <f t="shared" si="320"/>
        <v>-354.69404918958998</v>
      </c>
      <c r="DJ119" s="199">
        <f t="shared" si="321"/>
        <v>-78.324244483984018</v>
      </c>
      <c r="DK119" s="196">
        <f t="shared" si="337"/>
        <v>0</v>
      </c>
      <c r="DL119" s="197">
        <f t="shared" si="322"/>
        <v>2117.6731764798024</v>
      </c>
      <c r="DM119" s="197">
        <f t="shared" si="322"/>
        <v>4766.0004795033146</v>
      </c>
      <c r="DN119" s="197">
        <f t="shared" si="322"/>
        <v>-4766.0004795033146</v>
      </c>
      <c r="DO119" s="199">
        <f t="shared" si="322"/>
        <v>-2648.3273030235118</v>
      </c>
    </row>
    <row r="120" spans="2:119" x14ac:dyDescent="0.3">
      <c r="B120" s="204">
        <f t="shared" si="323"/>
        <v>8</v>
      </c>
      <c r="C120" s="760">
        <f>'Energy NPV'!$D46*$E$109</f>
        <v>12.54</v>
      </c>
      <c r="D120" s="197">
        <f>'Energy margins'!$L$12</f>
        <v>43.75</v>
      </c>
      <c r="E120" s="197">
        <f t="shared" si="324"/>
        <v>548.625</v>
      </c>
      <c r="F120" s="197">
        <f>'Margins summary'!$S$14</f>
        <v>330</v>
      </c>
      <c r="G120" s="197">
        <f t="shared" si="283"/>
        <v>878.625</v>
      </c>
      <c r="H120" s="197"/>
      <c r="I120" s="918">
        <f>'Energy NPV'!U46</f>
        <v>423.52324399999998</v>
      </c>
      <c r="J120" s="197"/>
      <c r="K120" s="197">
        <f t="shared" si="284"/>
        <v>423.52324399999998</v>
      </c>
      <c r="L120" s="197">
        <f t="shared" si="273"/>
        <v>125.10175600000002</v>
      </c>
      <c r="M120" s="197">
        <f t="shared" si="274"/>
        <v>455.10175600000002</v>
      </c>
      <c r="N120" s="196">
        <f t="shared" si="285"/>
        <v>446.08233041074743</v>
      </c>
      <c r="O120" s="197">
        <f t="shared" si="286"/>
        <v>268.32019874330672</v>
      </c>
      <c r="P120" s="197">
        <f t="shared" si="287"/>
        <v>344.36315455299996</v>
      </c>
      <c r="Q120" s="197">
        <f t="shared" si="288"/>
        <v>101.71917585774749</v>
      </c>
      <c r="R120" s="199">
        <f t="shared" si="289"/>
        <v>370.03937460105425</v>
      </c>
      <c r="S120" s="196">
        <f t="shared" si="325"/>
        <v>3019.0270459747398</v>
      </c>
      <c r="T120" s="197">
        <f t="shared" si="290"/>
        <v>2385.9933752231091</v>
      </c>
      <c r="U120" s="197">
        <f t="shared" si="290"/>
        <v>5110.3636340563144</v>
      </c>
      <c r="V120" s="197">
        <f t="shared" si="290"/>
        <v>-2091.3365880815745</v>
      </c>
      <c r="W120" s="199">
        <f t="shared" si="290"/>
        <v>294.65678714153404</v>
      </c>
      <c r="Z120" s="204">
        <f t="shared" si="326"/>
        <v>8</v>
      </c>
      <c r="AA120" s="760">
        <f>'Energy NPV'!$D46*$AB$109</f>
        <v>18.809999999999999</v>
      </c>
      <c r="AB120" s="197">
        <f>'Energy margins'!$L$12</f>
        <v>43.75</v>
      </c>
      <c r="AC120" s="197">
        <f t="shared" si="327"/>
        <v>822.9375</v>
      </c>
      <c r="AD120" s="197">
        <f>'Margins summary'!$S$14</f>
        <v>330</v>
      </c>
      <c r="AE120" s="197">
        <f t="shared" si="291"/>
        <v>1152.9375</v>
      </c>
      <c r="AF120" s="197"/>
      <c r="AG120" s="918">
        <f>'Energy NPV'!U46</f>
        <v>423.52324399999998</v>
      </c>
      <c r="AH120" s="197"/>
      <c r="AI120" s="197">
        <f t="shared" si="292"/>
        <v>423.52324399999998</v>
      </c>
      <c r="AJ120" s="197">
        <f t="shared" si="275"/>
        <v>399.41425600000002</v>
      </c>
      <c r="AK120" s="197">
        <f t="shared" si="276"/>
        <v>729.41425600000002</v>
      </c>
      <c r="AL120" s="196">
        <f t="shared" si="293"/>
        <v>669.1234956161212</v>
      </c>
      <c r="AM120" s="197">
        <f t="shared" si="294"/>
        <v>268.32019874330672</v>
      </c>
      <c r="AN120" s="197">
        <f t="shared" si="295"/>
        <v>344.36315455299996</v>
      </c>
      <c r="AO120" s="197">
        <f t="shared" si="296"/>
        <v>324.76034106312125</v>
      </c>
      <c r="AP120" s="199">
        <f t="shared" si="297"/>
        <v>593.08053980642796</v>
      </c>
      <c r="AQ120" s="196">
        <f t="shared" si="328"/>
        <v>4528.5405689621093</v>
      </c>
      <c r="AR120" s="197">
        <f t="shared" si="298"/>
        <v>2385.9933752231091</v>
      </c>
      <c r="AS120" s="197">
        <f t="shared" si="298"/>
        <v>5110.3636340563144</v>
      </c>
      <c r="AT120" s="197">
        <f t="shared" si="298"/>
        <v>-581.82306509420471</v>
      </c>
      <c r="AU120" s="199">
        <f t="shared" si="298"/>
        <v>1804.170310128904</v>
      </c>
      <c r="AX120" s="204">
        <f t="shared" si="329"/>
        <v>8</v>
      </c>
      <c r="AY120" s="760">
        <f>'Energy NPV'!$D46*$AZ$109</f>
        <v>6.27</v>
      </c>
      <c r="AZ120" s="197">
        <f>'Energy margins'!$L$12</f>
        <v>43.75</v>
      </c>
      <c r="BA120" s="197">
        <f t="shared" si="330"/>
        <v>274.3125</v>
      </c>
      <c r="BB120" s="197">
        <f>'Margins summary'!$S$14</f>
        <v>330</v>
      </c>
      <c r="BC120" s="197">
        <f t="shared" si="299"/>
        <v>604.3125</v>
      </c>
      <c r="BD120" s="197"/>
      <c r="BE120" s="918">
        <f>'Energy NPV'!U46</f>
        <v>423.52324399999998</v>
      </c>
      <c r="BF120" s="197"/>
      <c r="BG120" s="197">
        <f t="shared" si="300"/>
        <v>423.52324399999998</v>
      </c>
      <c r="BH120" s="197">
        <f t="shared" si="277"/>
        <v>-149.21074399999998</v>
      </c>
      <c r="BI120" s="197">
        <f t="shared" si="278"/>
        <v>180.78925600000002</v>
      </c>
      <c r="BJ120" s="196">
        <f t="shared" si="301"/>
        <v>223.04116520537372</v>
      </c>
      <c r="BK120" s="197">
        <f t="shared" si="302"/>
        <v>268.32019874330672</v>
      </c>
      <c r="BL120" s="197">
        <f t="shared" si="303"/>
        <v>344.36315455299996</v>
      </c>
      <c r="BM120" s="197">
        <f t="shared" si="304"/>
        <v>-121.32198934762623</v>
      </c>
      <c r="BN120" s="199">
        <f t="shared" si="305"/>
        <v>146.9982093956805</v>
      </c>
      <c r="BO120" s="196">
        <f t="shared" si="331"/>
        <v>1509.5135229873699</v>
      </c>
      <c r="BP120" s="197">
        <f t="shared" si="306"/>
        <v>2385.9933752231091</v>
      </c>
      <c r="BQ120" s="197">
        <f t="shared" si="306"/>
        <v>5110.3636340563144</v>
      </c>
      <c r="BR120" s="197">
        <f t="shared" si="306"/>
        <v>-3600.8501110689444</v>
      </c>
      <c r="BS120" s="199">
        <f t="shared" si="306"/>
        <v>-1214.8567358458358</v>
      </c>
      <c r="BV120" s="204">
        <f t="shared" si="332"/>
        <v>8</v>
      </c>
      <c r="BW120" s="760">
        <f>'Energy NPV'!$D46*$BX$109</f>
        <v>25.08</v>
      </c>
      <c r="BX120" s="197">
        <f>'Energy margins'!$L$12</f>
        <v>43.75</v>
      </c>
      <c r="BY120" s="197">
        <f t="shared" si="333"/>
        <v>1097.25</v>
      </c>
      <c r="BZ120" s="197">
        <f>'Margins summary'!$S$14</f>
        <v>330</v>
      </c>
      <c r="CA120" s="197">
        <f t="shared" si="307"/>
        <v>1427.25</v>
      </c>
      <c r="CB120" s="197"/>
      <c r="CC120" s="918">
        <f>'Energy NPV'!U46</f>
        <v>423.52324399999998</v>
      </c>
      <c r="CD120" s="197"/>
      <c r="CE120" s="197">
        <f t="shared" si="308"/>
        <v>423.52324399999998</v>
      </c>
      <c r="CF120" s="197">
        <f t="shared" si="279"/>
        <v>673.72675600000002</v>
      </c>
      <c r="CG120" s="197">
        <f t="shared" si="280"/>
        <v>1003.726756</v>
      </c>
      <c r="CH120" s="196">
        <f t="shared" si="309"/>
        <v>892.16466082149486</v>
      </c>
      <c r="CI120" s="197">
        <f t="shared" si="310"/>
        <v>268.32019874330672</v>
      </c>
      <c r="CJ120" s="197">
        <f t="shared" si="311"/>
        <v>344.36315455299996</v>
      </c>
      <c r="CK120" s="197">
        <f t="shared" si="312"/>
        <v>547.8015062684949</v>
      </c>
      <c r="CL120" s="199">
        <f t="shared" si="313"/>
        <v>816.12170501180174</v>
      </c>
      <c r="CM120" s="196">
        <f t="shared" si="334"/>
        <v>6038.0540919494797</v>
      </c>
      <c r="CN120" s="197">
        <f t="shared" si="314"/>
        <v>2385.9933752231091</v>
      </c>
      <c r="CO120" s="197">
        <f t="shared" si="314"/>
        <v>5110.3636340563144</v>
      </c>
      <c r="CP120" s="197">
        <f t="shared" si="314"/>
        <v>927.69045789316465</v>
      </c>
      <c r="CQ120" s="199">
        <f t="shared" si="314"/>
        <v>3313.6838331162735</v>
      </c>
      <c r="CT120" s="204">
        <f t="shared" si="335"/>
        <v>8</v>
      </c>
      <c r="CU120" s="760">
        <f>'Energy NPV'!$D46*$CV$109</f>
        <v>0</v>
      </c>
      <c r="CV120" s="197">
        <f>'Energy margins'!$L$12</f>
        <v>43.75</v>
      </c>
      <c r="CW120" s="197">
        <f t="shared" si="336"/>
        <v>0</v>
      </c>
      <c r="CX120" s="197">
        <f>'Margins summary'!$S$14</f>
        <v>330</v>
      </c>
      <c r="CY120" s="197">
        <f t="shared" si="315"/>
        <v>330</v>
      </c>
      <c r="CZ120" s="197"/>
      <c r="DA120" s="918">
        <f>'Energy NPV'!U46</f>
        <v>423.52324399999998</v>
      </c>
      <c r="DB120" s="197"/>
      <c r="DC120" s="197">
        <f t="shared" si="316"/>
        <v>423.52324399999998</v>
      </c>
      <c r="DD120" s="197">
        <f t="shared" si="281"/>
        <v>-423.52324399999998</v>
      </c>
      <c r="DE120" s="197">
        <f t="shared" si="282"/>
        <v>-93.523243999999977</v>
      </c>
      <c r="DF120" s="196">
        <f t="shared" si="317"/>
        <v>0</v>
      </c>
      <c r="DG120" s="197">
        <f t="shared" si="318"/>
        <v>268.32019874330672</v>
      </c>
      <c r="DH120" s="197">
        <f t="shared" si="319"/>
        <v>344.36315455299996</v>
      </c>
      <c r="DI120" s="197">
        <f t="shared" si="320"/>
        <v>-344.36315455299996</v>
      </c>
      <c r="DJ120" s="199">
        <f t="shared" si="321"/>
        <v>-76.042955809693225</v>
      </c>
      <c r="DK120" s="196">
        <f t="shared" si="337"/>
        <v>0</v>
      </c>
      <c r="DL120" s="197">
        <f t="shared" si="322"/>
        <v>2385.9933752231091</v>
      </c>
      <c r="DM120" s="197">
        <f t="shared" si="322"/>
        <v>5110.3636340563144</v>
      </c>
      <c r="DN120" s="197">
        <f t="shared" si="322"/>
        <v>-5110.3636340563144</v>
      </c>
      <c r="DO120" s="199">
        <f t="shared" si="322"/>
        <v>-2724.3702588332048</v>
      </c>
    </row>
    <row r="121" spans="2:119" x14ac:dyDescent="0.3">
      <c r="B121" s="204">
        <f t="shared" si="323"/>
        <v>9</v>
      </c>
      <c r="C121" s="760">
        <f>'Energy NPV'!$D47*$E$109</f>
        <v>12.54</v>
      </c>
      <c r="D121" s="197">
        <f>'Energy margins'!$L$12</f>
        <v>43.75</v>
      </c>
      <c r="E121" s="197">
        <f t="shared" si="324"/>
        <v>548.625</v>
      </c>
      <c r="F121" s="197">
        <f>'Margins summary'!$S$14</f>
        <v>330</v>
      </c>
      <c r="G121" s="197">
        <f t="shared" si="283"/>
        <v>878.625</v>
      </c>
      <c r="H121" s="197"/>
      <c r="I121" s="918">
        <f>'Energy NPV'!U47</f>
        <v>423.52324399999998</v>
      </c>
      <c r="J121" s="197"/>
      <c r="K121" s="197">
        <f t="shared" si="284"/>
        <v>423.52324399999998</v>
      </c>
      <c r="L121" s="197">
        <f t="shared" si="273"/>
        <v>125.10175600000002</v>
      </c>
      <c r="M121" s="197">
        <f t="shared" si="274"/>
        <v>455.10175600000002</v>
      </c>
      <c r="N121" s="196">
        <f t="shared" si="285"/>
        <v>433.089641175483</v>
      </c>
      <c r="O121" s="197">
        <f t="shared" si="286"/>
        <v>260.50504732359883</v>
      </c>
      <c r="P121" s="197">
        <f t="shared" si="287"/>
        <v>334.33315976019418</v>
      </c>
      <c r="Q121" s="197">
        <f t="shared" si="288"/>
        <v>98.756481415288846</v>
      </c>
      <c r="R121" s="199">
        <f t="shared" si="289"/>
        <v>359.26152873888765</v>
      </c>
      <c r="S121" s="196">
        <f t="shared" si="325"/>
        <v>3452.1166871502228</v>
      </c>
      <c r="T121" s="197">
        <f t="shared" si="290"/>
        <v>2646.4984225467078</v>
      </c>
      <c r="U121" s="197">
        <f t="shared" si="290"/>
        <v>5444.6967938165089</v>
      </c>
      <c r="V121" s="197">
        <f t="shared" si="290"/>
        <v>-1992.5801066662857</v>
      </c>
      <c r="W121" s="199">
        <f t="shared" si="290"/>
        <v>653.91831588042169</v>
      </c>
      <c r="Z121" s="204">
        <f t="shared" si="326"/>
        <v>9</v>
      </c>
      <c r="AA121" s="760">
        <f>'Energy NPV'!$D47*$AB$109</f>
        <v>18.809999999999999</v>
      </c>
      <c r="AB121" s="197">
        <f>'Energy margins'!$L$12</f>
        <v>43.75</v>
      </c>
      <c r="AC121" s="197">
        <f t="shared" si="327"/>
        <v>822.9375</v>
      </c>
      <c r="AD121" s="197">
        <f>'Margins summary'!$S$14</f>
        <v>330</v>
      </c>
      <c r="AE121" s="197">
        <f t="shared" si="291"/>
        <v>1152.9375</v>
      </c>
      <c r="AF121" s="197"/>
      <c r="AG121" s="918">
        <f>'Energy NPV'!U47</f>
        <v>423.52324399999998</v>
      </c>
      <c r="AH121" s="197"/>
      <c r="AI121" s="197">
        <f t="shared" si="292"/>
        <v>423.52324399999998</v>
      </c>
      <c r="AJ121" s="197">
        <f t="shared" si="275"/>
        <v>399.41425600000002</v>
      </c>
      <c r="AK121" s="197">
        <f t="shared" si="276"/>
        <v>729.41425600000002</v>
      </c>
      <c r="AL121" s="196">
        <f t="shared" si="293"/>
        <v>649.63446176322452</v>
      </c>
      <c r="AM121" s="197">
        <f t="shared" si="294"/>
        <v>260.50504732359883</v>
      </c>
      <c r="AN121" s="197">
        <f t="shared" si="295"/>
        <v>334.33315976019418</v>
      </c>
      <c r="AO121" s="197">
        <f t="shared" si="296"/>
        <v>315.30130200303034</v>
      </c>
      <c r="AP121" s="199">
        <f t="shared" si="297"/>
        <v>575.80634932662917</v>
      </c>
      <c r="AQ121" s="196">
        <f t="shared" si="328"/>
        <v>5178.1750307253342</v>
      </c>
      <c r="AR121" s="197">
        <f t="shared" si="298"/>
        <v>2646.4984225467078</v>
      </c>
      <c r="AS121" s="197">
        <f t="shared" si="298"/>
        <v>5444.6967938165089</v>
      </c>
      <c r="AT121" s="197">
        <f t="shared" si="298"/>
        <v>-266.52176309117436</v>
      </c>
      <c r="AU121" s="199">
        <f t="shared" si="298"/>
        <v>2379.9766594555331</v>
      </c>
      <c r="AX121" s="204">
        <f t="shared" si="329"/>
        <v>9</v>
      </c>
      <c r="AY121" s="760">
        <f>'Energy NPV'!$D47*$AZ$109</f>
        <v>6.27</v>
      </c>
      <c r="AZ121" s="197">
        <f>'Energy margins'!$L$12</f>
        <v>43.75</v>
      </c>
      <c r="BA121" s="197">
        <f t="shared" si="330"/>
        <v>274.3125</v>
      </c>
      <c r="BB121" s="197">
        <f>'Margins summary'!$S$14</f>
        <v>330</v>
      </c>
      <c r="BC121" s="197">
        <f t="shared" si="299"/>
        <v>604.3125</v>
      </c>
      <c r="BD121" s="197"/>
      <c r="BE121" s="918">
        <f>'Energy NPV'!U47</f>
        <v>423.52324399999998</v>
      </c>
      <c r="BF121" s="197"/>
      <c r="BG121" s="197">
        <f t="shared" si="300"/>
        <v>423.52324399999998</v>
      </c>
      <c r="BH121" s="197">
        <f t="shared" si="277"/>
        <v>-149.21074399999998</v>
      </c>
      <c r="BI121" s="197">
        <f t="shared" si="278"/>
        <v>180.78925600000002</v>
      </c>
      <c r="BJ121" s="196">
        <f t="shared" si="301"/>
        <v>216.5448205877415</v>
      </c>
      <c r="BK121" s="197">
        <f t="shared" si="302"/>
        <v>260.50504732359883</v>
      </c>
      <c r="BL121" s="197">
        <f t="shared" si="303"/>
        <v>334.33315976019418</v>
      </c>
      <c r="BM121" s="197">
        <f t="shared" si="304"/>
        <v>-117.78833917245267</v>
      </c>
      <c r="BN121" s="199">
        <f t="shared" si="305"/>
        <v>142.71670815114615</v>
      </c>
      <c r="BO121" s="196">
        <f t="shared" si="331"/>
        <v>1726.0583435751114</v>
      </c>
      <c r="BP121" s="197">
        <f t="shared" si="306"/>
        <v>2646.4984225467078</v>
      </c>
      <c r="BQ121" s="197">
        <f t="shared" si="306"/>
        <v>5444.6967938165089</v>
      </c>
      <c r="BR121" s="197">
        <f t="shared" si="306"/>
        <v>-3718.6384502413971</v>
      </c>
      <c r="BS121" s="199">
        <f t="shared" si="306"/>
        <v>-1072.1400276946897</v>
      </c>
      <c r="BV121" s="204">
        <f t="shared" si="332"/>
        <v>9</v>
      </c>
      <c r="BW121" s="760">
        <f>'Energy NPV'!$D47*$BX$109</f>
        <v>25.08</v>
      </c>
      <c r="BX121" s="197">
        <f>'Energy margins'!$L$12</f>
        <v>43.75</v>
      </c>
      <c r="BY121" s="197">
        <f t="shared" si="333"/>
        <v>1097.25</v>
      </c>
      <c r="BZ121" s="197">
        <f>'Margins summary'!$S$14</f>
        <v>330</v>
      </c>
      <c r="CA121" s="197">
        <f t="shared" si="307"/>
        <v>1427.25</v>
      </c>
      <c r="CB121" s="197"/>
      <c r="CC121" s="918">
        <f>'Energy NPV'!U47</f>
        <v>423.52324399999998</v>
      </c>
      <c r="CD121" s="197"/>
      <c r="CE121" s="197">
        <f t="shared" si="308"/>
        <v>423.52324399999998</v>
      </c>
      <c r="CF121" s="197">
        <f t="shared" si="279"/>
        <v>673.72675600000002</v>
      </c>
      <c r="CG121" s="197">
        <f t="shared" si="280"/>
        <v>1003.726756</v>
      </c>
      <c r="CH121" s="196">
        <f t="shared" si="309"/>
        <v>866.17928235096599</v>
      </c>
      <c r="CI121" s="197">
        <f t="shared" si="310"/>
        <v>260.50504732359883</v>
      </c>
      <c r="CJ121" s="197">
        <f t="shared" si="311"/>
        <v>334.33315976019418</v>
      </c>
      <c r="CK121" s="197">
        <f t="shared" si="312"/>
        <v>531.84612259077187</v>
      </c>
      <c r="CL121" s="199">
        <f t="shared" si="313"/>
        <v>792.35116991437064</v>
      </c>
      <c r="CM121" s="196">
        <f t="shared" si="334"/>
        <v>6904.2333743004456</v>
      </c>
      <c r="CN121" s="197">
        <f t="shared" si="314"/>
        <v>2646.4984225467078</v>
      </c>
      <c r="CO121" s="197">
        <f t="shared" si="314"/>
        <v>5444.6967938165089</v>
      </c>
      <c r="CP121" s="197">
        <f t="shared" si="314"/>
        <v>1459.5365804839366</v>
      </c>
      <c r="CQ121" s="199">
        <f t="shared" si="314"/>
        <v>4106.0350030306445</v>
      </c>
      <c r="CT121" s="204">
        <f t="shared" si="335"/>
        <v>9</v>
      </c>
      <c r="CU121" s="760">
        <f>'Energy NPV'!$D47*$CV$109</f>
        <v>0</v>
      </c>
      <c r="CV121" s="197">
        <f>'Energy margins'!$L$12</f>
        <v>43.75</v>
      </c>
      <c r="CW121" s="197">
        <f t="shared" si="336"/>
        <v>0</v>
      </c>
      <c r="CX121" s="197">
        <f>'Margins summary'!$S$14</f>
        <v>330</v>
      </c>
      <c r="CY121" s="197">
        <f t="shared" si="315"/>
        <v>330</v>
      </c>
      <c r="CZ121" s="197"/>
      <c r="DA121" s="918">
        <f>'Energy NPV'!U47</f>
        <v>423.52324399999998</v>
      </c>
      <c r="DB121" s="197"/>
      <c r="DC121" s="197">
        <f t="shared" si="316"/>
        <v>423.52324399999998</v>
      </c>
      <c r="DD121" s="197">
        <f t="shared" si="281"/>
        <v>-423.52324399999998</v>
      </c>
      <c r="DE121" s="197">
        <f t="shared" si="282"/>
        <v>-93.523243999999977</v>
      </c>
      <c r="DF121" s="196">
        <f t="shared" si="317"/>
        <v>0</v>
      </c>
      <c r="DG121" s="197">
        <f t="shared" si="318"/>
        <v>260.50504732359883</v>
      </c>
      <c r="DH121" s="197">
        <f t="shared" si="319"/>
        <v>334.33315976019418</v>
      </c>
      <c r="DI121" s="197">
        <f t="shared" si="320"/>
        <v>-334.33315976019418</v>
      </c>
      <c r="DJ121" s="199">
        <f t="shared" si="321"/>
        <v>-73.828112436595376</v>
      </c>
      <c r="DK121" s="196">
        <f t="shared" si="337"/>
        <v>0</v>
      </c>
      <c r="DL121" s="197">
        <f t="shared" si="322"/>
        <v>2646.4984225467078</v>
      </c>
      <c r="DM121" s="197">
        <f t="shared" si="322"/>
        <v>5444.6967938165089</v>
      </c>
      <c r="DN121" s="197">
        <f t="shared" si="322"/>
        <v>-5444.6967938165089</v>
      </c>
      <c r="DO121" s="199">
        <f t="shared" si="322"/>
        <v>-2798.1983712698002</v>
      </c>
    </row>
    <row r="122" spans="2:119" x14ac:dyDescent="0.3">
      <c r="B122" s="204">
        <f t="shared" si="323"/>
        <v>10</v>
      </c>
      <c r="C122" s="760">
        <f>'Energy NPV'!$D48*$E$109</f>
        <v>12.54</v>
      </c>
      <c r="D122" s="197">
        <f>'Energy margins'!$L$12</f>
        <v>43.75</v>
      </c>
      <c r="E122" s="197">
        <f t="shared" si="324"/>
        <v>548.625</v>
      </c>
      <c r="F122" s="197">
        <f>'Margins summary'!$S$14</f>
        <v>330</v>
      </c>
      <c r="G122" s="197">
        <f t="shared" si="283"/>
        <v>878.625</v>
      </c>
      <c r="H122" s="197"/>
      <c r="I122" s="918">
        <f>'Energy NPV'!U48</f>
        <v>423.52324399999998</v>
      </c>
      <c r="J122" s="197"/>
      <c r="K122" s="197">
        <f t="shared" si="284"/>
        <v>423.52324399999998</v>
      </c>
      <c r="L122" s="197">
        <f t="shared" si="273"/>
        <v>125.10175600000002</v>
      </c>
      <c r="M122" s="197">
        <f t="shared" si="274"/>
        <v>455.10175600000002</v>
      </c>
      <c r="N122" s="196">
        <f t="shared" si="285"/>
        <v>420.47537978202234</v>
      </c>
      <c r="O122" s="197">
        <f t="shared" si="286"/>
        <v>252.91752167339689</v>
      </c>
      <c r="P122" s="197">
        <f t="shared" si="287"/>
        <v>324.59530073805257</v>
      </c>
      <c r="Q122" s="197">
        <f t="shared" si="288"/>
        <v>95.880079043969744</v>
      </c>
      <c r="R122" s="199">
        <f t="shared" si="289"/>
        <v>348.79760071736661</v>
      </c>
      <c r="S122" s="196">
        <f t="shared" si="325"/>
        <v>3872.592066932245</v>
      </c>
      <c r="T122" s="197">
        <f t="shared" si="290"/>
        <v>2899.4159442201048</v>
      </c>
      <c r="U122" s="197">
        <f t="shared" si="290"/>
        <v>5769.2920945545611</v>
      </c>
      <c r="V122" s="197">
        <f t="shared" si="290"/>
        <v>-1896.7000276223159</v>
      </c>
      <c r="W122" s="199">
        <f t="shared" si="290"/>
        <v>1002.7159165977882</v>
      </c>
      <c r="Z122" s="204">
        <f t="shared" si="326"/>
        <v>10</v>
      </c>
      <c r="AA122" s="760">
        <f>'Energy NPV'!$D48*$AB$109</f>
        <v>18.809999999999999</v>
      </c>
      <c r="AB122" s="197">
        <f>'Energy margins'!$L$12</f>
        <v>43.75</v>
      </c>
      <c r="AC122" s="197">
        <f t="shared" si="327"/>
        <v>822.9375</v>
      </c>
      <c r="AD122" s="197">
        <f>'Margins summary'!$S$14</f>
        <v>330</v>
      </c>
      <c r="AE122" s="197">
        <f t="shared" si="291"/>
        <v>1152.9375</v>
      </c>
      <c r="AF122" s="197"/>
      <c r="AG122" s="918">
        <f>'Energy NPV'!U48</f>
        <v>423.52324399999998</v>
      </c>
      <c r="AH122" s="197"/>
      <c r="AI122" s="197">
        <f t="shared" si="292"/>
        <v>423.52324399999998</v>
      </c>
      <c r="AJ122" s="197">
        <f t="shared" si="275"/>
        <v>399.41425600000002</v>
      </c>
      <c r="AK122" s="197">
        <f t="shared" si="276"/>
        <v>729.41425600000002</v>
      </c>
      <c r="AL122" s="196">
        <f t="shared" si="293"/>
        <v>630.71306967303349</v>
      </c>
      <c r="AM122" s="197">
        <f t="shared" si="294"/>
        <v>252.91752167339689</v>
      </c>
      <c r="AN122" s="197">
        <f t="shared" si="295"/>
        <v>324.59530073805257</v>
      </c>
      <c r="AO122" s="197">
        <f t="shared" si="296"/>
        <v>306.11776893498092</v>
      </c>
      <c r="AP122" s="199">
        <f t="shared" si="297"/>
        <v>559.03529060837775</v>
      </c>
      <c r="AQ122" s="196">
        <f t="shared" si="328"/>
        <v>5808.8881003983679</v>
      </c>
      <c r="AR122" s="197">
        <f t="shared" si="298"/>
        <v>2899.4159442201048</v>
      </c>
      <c r="AS122" s="197">
        <f t="shared" si="298"/>
        <v>5769.2920945545611</v>
      </c>
      <c r="AT122" s="197">
        <f t="shared" si="298"/>
        <v>39.596005843806552</v>
      </c>
      <c r="AU122" s="199">
        <f t="shared" si="298"/>
        <v>2939.0119500639107</v>
      </c>
      <c r="AX122" s="204">
        <f t="shared" si="329"/>
        <v>10</v>
      </c>
      <c r="AY122" s="760">
        <f>'Energy NPV'!$D48*$AZ$109</f>
        <v>6.27</v>
      </c>
      <c r="AZ122" s="197">
        <f>'Energy margins'!$L$12</f>
        <v>43.75</v>
      </c>
      <c r="BA122" s="197">
        <f t="shared" si="330"/>
        <v>274.3125</v>
      </c>
      <c r="BB122" s="197">
        <f>'Margins summary'!$S$14</f>
        <v>330</v>
      </c>
      <c r="BC122" s="197">
        <f t="shared" si="299"/>
        <v>604.3125</v>
      </c>
      <c r="BD122" s="197"/>
      <c r="BE122" s="918">
        <f>'Energy NPV'!U48</f>
        <v>423.52324399999998</v>
      </c>
      <c r="BF122" s="197"/>
      <c r="BG122" s="197">
        <f t="shared" si="300"/>
        <v>423.52324399999998</v>
      </c>
      <c r="BH122" s="197">
        <f t="shared" si="277"/>
        <v>-149.21074399999998</v>
      </c>
      <c r="BI122" s="197">
        <f t="shared" si="278"/>
        <v>180.78925600000002</v>
      </c>
      <c r="BJ122" s="196">
        <f t="shared" si="301"/>
        <v>210.23768989101117</v>
      </c>
      <c r="BK122" s="197">
        <f t="shared" si="302"/>
        <v>252.91752167339689</v>
      </c>
      <c r="BL122" s="197">
        <f t="shared" si="303"/>
        <v>324.59530073805257</v>
      </c>
      <c r="BM122" s="197">
        <f t="shared" si="304"/>
        <v>-114.35761084704143</v>
      </c>
      <c r="BN122" s="199">
        <f t="shared" si="305"/>
        <v>138.55991082635546</v>
      </c>
      <c r="BO122" s="196">
        <f t="shared" si="331"/>
        <v>1936.2960334661225</v>
      </c>
      <c r="BP122" s="197">
        <f t="shared" si="306"/>
        <v>2899.4159442201048</v>
      </c>
      <c r="BQ122" s="197">
        <f t="shared" si="306"/>
        <v>5769.2920945545611</v>
      </c>
      <c r="BR122" s="197">
        <f t="shared" si="306"/>
        <v>-3832.9960610884386</v>
      </c>
      <c r="BS122" s="199">
        <f t="shared" si="306"/>
        <v>-933.58011686833424</v>
      </c>
      <c r="BV122" s="204">
        <f t="shared" si="332"/>
        <v>10</v>
      </c>
      <c r="BW122" s="760">
        <f>'Energy NPV'!$D48*$BX$109</f>
        <v>25.08</v>
      </c>
      <c r="BX122" s="197">
        <f>'Energy margins'!$L$12</f>
        <v>43.75</v>
      </c>
      <c r="BY122" s="197">
        <f t="shared" si="333"/>
        <v>1097.25</v>
      </c>
      <c r="BZ122" s="197">
        <f>'Margins summary'!$S$14</f>
        <v>330</v>
      </c>
      <c r="CA122" s="197">
        <f t="shared" si="307"/>
        <v>1427.25</v>
      </c>
      <c r="CB122" s="197"/>
      <c r="CC122" s="918">
        <f>'Energy NPV'!U48</f>
        <v>423.52324399999998</v>
      </c>
      <c r="CD122" s="197"/>
      <c r="CE122" s="197">
        <f t="shared" si="308"/>
        <v>423.52324399999998</v>
      </c>
      <c r="CF122" s="197">
        <f t="shared" si="279"/>
        <v>673.72675600000002</v>
      </c>
      <c r="CG122" s="197">
        <f t="shared" si="280"/>
        <v>1003.726756</v>
      </c>
      <c r="CH122" s="196">
        <f t="shared" si="309"/>
        <v>840.95075956404469</v>
      </c>
      <c r="CI122" s="197">
        <f t="shared" si="310"/>
        <v>252.91752167339689</v>
      </c>
      <c r="CJ122" s="197">
        <f t="shared" si="311"/>
        <v>324.59530073805257</v>
      </c>
      <c r="CK122" s="197">
        <f t="shared" si="312"/>
        <v>516.35545882599206</v>
      </c>
      <c r="CL122" s="199">
        <f t="shared" si="313"/>
        <v>769.27298049938895</v>
      </c>
      <c r="CM122" s="196">
        <f t="shared" si="334"/>
        <v>7745.1841338644899</v>
      </c>
      <c r="CN122" s="197">
        <f t="shared" si="314"/>
        <v>2899.4159442201048</v>
      </c>
      <c r="CO122" s="197">
        <f t="shared" si="314"/>
        <v>5769.2920945545611</v>
      </c>
      <c r="CP122" s="197">
        <f t="shared" si="314"/>
        <v>1975.8920393099288</v>
      </c>
      <c r="CQ122" s="199">
        <f t="shared" si="314"/>
        <v>4875.3079835300332</v>
      </c>
      <c r="CT122" s="204">
        <f t="shared" si="335"/>
        <v>10</v>
      </c>
      <c r="CU122" s="760">
        <f>'Energy NPV'!$D48*$CV$109</f>
        <v>0</v>
      </c>
      <c r="CV122" s="197">
        <f>'Energy margins'!$L$12</f>
        <v>43.75</v>
      </c>
      <c r="CW122" s="197">
        <f t="shared" si="336"/>
        <v>0</v>
      </c>
      <c r="CX122" s="197">
        <f>'Margins summary'!$S$14</f>
        <v>330</v>
      </c>
      <c r="CY122" s="197">
        <f t="shared" si="315"/>
        <v>330</v>
      </c>
      <c r="CZ122" s="197"/>
      <c r="DA122" s="918">
        <f>'Energy NPV'!U48</f>
        <v>423.52324399999998</v>
      </c>
      <c r="DB122" s="197"/>
      <c r="DC122" s="197">
        <f t="shared" si="316"/>
        <v>423.52324399999998</v>
      </c>
      <c r="DD122" s="197">
        <f t="shared" si="281"/>
        <v>-423.52324399999998</v>
      </c>
      <c r="DE122" s="197">
        <f t="shared" si="282"/>
        <v>-93.523243999999977</v>
      </c>
      <c r="DF122" s="196">
        <f t="shared" si="317"/>
        <v>0</v>
      </c>
      <c r="DG122" s="197">
        <f t="shared" si="318"/>
        <v>252.91752167339689</v>
      </c>
      <c r="DH122" s="197">
        <f t="shared" si="319"/>
        <v>324.59530073805257</v>
      </c>
      <c r="DI122" s="197">
        <f t="shared" si="320"/>
        <v>-324.59530073805257</v>
      </c>
      <c r="DJ122" s="199">
        <f t="shared" si="321"/>
        <v>-71.677779064655695</v>
      </c>
      <c r="DK122" s="196">
        <f t="shared" si="337"/>
        <v>0</v>
      </c>
      <c r="DL122" s="197">
        <f t="shared" si="322"/>
        <v>2899.4159442201048</v>
      </c>
      <c r="DM122" s="197">
        <f t="shared" si="322"/>
        <v>5769.2920945545611</v>
      </c>
      <c r="DN122" s="197">
        <f t="shared" si="322"/>
        <v>-5769.2920945545611</v>
      </c>
      <c r="DO122" s="199">
        <f t="shared" si="322"/>
        <v>-2869.8761503344558</v>
      </c>
    </row>
    <row r="123" spans="2:119" x14ac:dyDescent="0.3">
      <c r="B123" s="204">
        <f t="shared" si="323"/>
        <v>11</v>
      </c>
      <c r="C123" s="760">
        <f>'Energy NPV'!$D49*$E$109</f>
        <v>12.54</v>
      </c>
      <c r="D123" s="197">
        <f>'Energy margins'!$L$12</f>
        <v>43.75</v>
      </c>
      <c r="E123" s="197">
        <f t="shared" si="324"/>
        <v>548.625</v>
      </c>
      <c r="F123" s="197">
        <f>'Margins summary'!$S$14</f>
        <v>330</v>
      </c>
      <c r="G123" s="197">
        <f t="shared" si="283"/>
        <v>878.625</v>
      </c>
      <c r="H123" s="197"/>
      <c r="I123" s="918">
        <f>'Energy NPV'!U49</f>
        <v>423.52324399999998</v>
      </c>
      <c r="J123" s="197"/>
      <c r="K123" s="197">
        <f t="shared" si="284"/>
        <v>423.52324399999998</v>
      </c>
      <c r="L123" s="197">
        <f t="shared" si="273"/>
        <v>125.10175600000002</v>
      </c>
      <c r="M123" s="197">
        <f t="shared" si="274"/>
        <v>455.10175600000002</v>
      </c>
      <c r="N123" s="196">
        <f t="shared" si="285"/>
        <v>408.22852406021588</v>
      </c>
      <c r="O123" s="197">
        <f t="shared" si="286"/>
        <v>245.55099191591933</v>
      </c>
      <c r="P123" s="197">
        <f t="shared" si="287"/>
        <v>315.14106867772097</v>
      </c>
      <c r="Q123" s="197">
        <f t="shared" si="288"/>
        <v>93.087455382494895</v>
      </c>
      <c r="R123" s="199">
        <f t="shared" si="289"/>
        <v>338.63844729841423</v>
      </c>
      <c r="S123" s="196">
        <f t="shared" si="325"/>
        <v>4280.8205909924609</v>
      </c>
      <c r="T123" s="197">
        <f t="shared" si="290"/>
        <v>3144.9669361360243</v>
      </c>
      <c r="U123" s="197">
        <f t="shared" si="290"/>
        <v>6084.4331632322819</v>
      </c>
      <c r="V123" s="197">
        <f t="shared" si="290"/>
        <v>-1803.612572239821</v>
      </c>
      <c r="W123" s="199">
        <f t="shared" si="290"/>
        <v>1341.3543638962024</v>
      </c>
      <c r="Z123" s="204">
        <f t="shared" si="326"/>
        <v>11</v>
      </c>
      <c r="AA123" s="760">
        <f>'Energy NPV'!$D49*$AB$109</f>
        <v>18.809999999999999</v>
      </c>
      <c r="AB123" s="197">
        <f>'Energy margins'!$L$12</f>
        <v>43.75</v>
      </c>
      <c r="AC123" s="197">
        <f t="shared" si="327"/>
        <v>822.9375</v>
      </c>
      <c r="AD123" s="197">
        <f>'Margins summary'!$S$14</f>
        <v>330</v>
      </c>
      <c r="AE123" s="197">
        <f t="shared" si="291"/>
        <v>1152.9375</v>
      </c>
      <c r="AF123" s="197"/>
      <c r="AG123" s="918">
        <f>'Energy NPV'!U49</f>
        <v>423.52324399999998</v>
      </c>
      <c r="AH123" s="197"/>
      <c r="AI123" s="197">
        <f t="shared" si="292"/>
        <v>423.52324399999998</v>
      </c>
      <c r="AJ123" s="197">
        <f t="shared" si="275"/>
        <v>399.41425600000002</v>
      </c>
      <c r="AK123" s="197">
        <f t="shared" si="276"/>
        <v>729.41425600000002</v>
      </c>
      <c r="AL123" s="196">
        <f t="shared" si="293"/>
        <v>612.34278609032378</v>
      </c>
      <c r="AM123" s="197">
        <f t="shared" si="294"/>
        <v>245.55099191591933</v>
      </c>
      <c r="AN123" s="197">
        <f t="shared" si="295"/>
        <v>315.14106867772097</v>
      </c>
      <c r="AO123" s="197">
        <f t="shared" si="296"/>
        <v>297.20171741260282</v>
      </c>
      <c r="AP123" s="199">
        <f t="shared" si="297"/>
        <v>542.75270932852209</v>
      </c>
      <c r="AQ123" s="196">
        <f t="shared" si="328"/>
        <v>6421.2308864886918</v>
      </c>
      <c r="AR123" s="197">
        <f t="shared" si="298"/>
        <v>3144.9669361360243</v>
      </c>
      <c r="AS123" s="197">
        <f t="shared" si="298"/>
        <v>6084.4331632322819</v>
      </c>
      <c r="AT123" s="197">
        <f t="shared" si="298"/>
        <v>336.79772325640937</v>
      </c>
      <c r="AU123" s="199">
        <f t="shared" si="298"/>
        <v>3481.7646593924328</v>
      </c>
      <c r="AX123" s="204">
        <f t="shared" si="329"/>
        <v>11</v>
      </c>
      <c r="AY123" s="760">
        <f>'Energy NPV'!$D49*$AZ$109</f>
        <v>6.27</v>
      </c>
      <c r="AZ123" s="197">
        <f>'Energy margins'!$L$12</f>
        <v>43.75</v>
      </c>
      <c r="BA123" s="197">
        <f t="shared" si="330"/>
        <v>274.3125</v>
      </c>
      <c r="BB123" s="197">
        <f>'Margins summary'!$S$14</f>
        <v>330</v>
      </c>
      <c r="BC123" s="197">
        <f t="shared" si="299"/>
        <v>604.3125</v>
      </c>
      <c r="BD123" s="197"/>
      <c r="BE123" s="918">
        <f>'Energy NPV'!U49</f>
        <v>423.52324399999998</v>
      </c>
      <c r="BF123" s="197"/>
      <c r="BG123" s="197">
        <f t="shared" si="300"/>
        <v>423.52324399999998</v>
      </c>
      <c r="BH123" s="197">
        <f t="shared" si="277"/>
        <v>-149.21074399999998</v>
      </c>
      <c r="BI123" s="197">
        <f t="shared" si="278"/>
        <v>180.78925600000002</v>
      </c>
      <c r="BJ123" s="196">
        <f t="shared" si="301"/>
        <v>204.11426203010794</v>
      </c>
      <c r="BK123" s="197">
        <f t="shared" si="302"/>
        <v>245.55099191591933</v>
      </c>
      <c r="BL123" s="197">
        <f t="shared" si="303"/>
        <v>315.14106867772097</v>
      </c>
      <c r="BM123" s="197">
        <f t="shared" si="304"/>
        <v>-111.02680664761303</v>
      </c>
      <c r="BN123" s="199">
        <f t="shared" si="305"/>
        <v>134.52418526830627</v>
      </c>
      <c r="BO123" s="196">
        <f t="shared" si="331"/>
        <v>2140.4102954962304</v>
      </c>
      <c r="BP123" s="197">
        <f t="shared" si="306"/>
        <v>3144.9669361360243</v>
      </c>
      <c r="BQ123" s="197">
        <f t="shared" si="306"/>
        <v>6084.4331632322819</v>
      </c>
      <c r="BR123" s="197">
        <f t="shared" si="306"/>
        <v>-3944.0228677360515</v>
      </c>
      <c r="BS123" s="199">
        <f t="shared" si="306"/>
        <v>-799.05593160002798</v>
      </c>
      <c r="BV123" s="204">
        <f t="shared" si="332"/>
        <v>11</v>
      </c>
      <c r="BW123" s="760">
        <f>'Energy NPV'!$D49*$BX$109</f>
        <v>25.08</v>
      </c>
      <c r="BX123" s="197">
        <f>'Energy margins'!$L$12</f>
        <v>43.75</v>
      </c>
      <c r="BY123" s="197">
        <f t="shared" si="333"/>
        <v>1097.25</v>
      </c>
      <c r="BZ123" s="197">
        <f>'Margins summary'!$S$14</f>
        <v>330</v>
      </c>
      <c r="CA123" s="197">
        <f t="shared" si="307"/>
        <v>1427.25</v>
      </c>
      <c r="CB123" s="197"/>
      <c r="CC123" s="918">
        <f>'Energy NPV'!U49</f>
        <v>423.52324399999998</v>
      </c>
      <c r="CD123" s="197"/>
      <c r="CE123" s="197">
        <f t="shared" si="308"/>
        <v>423.52324399999998</v>
      </c>
      <c r="CF123" s="197">
        <f t="shared" si="279"/>
        <v>673.72675600000002</v>
      </c>
      <c r="CG123" s="197">
        <f t="shared" si="280"/>
        <v>1003.726756</v>
      </c>
      <c r="CH123" s="196">
        <f t="shared" si="309"/>
        <v>816.45704812043175</v>
      </c>
      <c r="CI123" s="197">
        <f t="shared" si="310"/>
        <v>245.55099191591933</v>
      </c>
      <c r="CJ123" s="197">
        <f t="shared" si="311"/>
        <v>315.14106867772097</v>
      </c>
      <c r="CK123" s="197">
        <f t="shared" si="312"/>
        <v>501.31597944271073</v>
      </c>
      <c r="CL123" s="199">
        <f t="shared" si="313"/>
        <v>746.86697135863005</v>
      </c>
      <c r="CM123" s="196">
        <f t="shared" si="334"/>
        <v>8561.6411819849218</v>
      </c>
      <c r="CN123" s="197">
        <f t="shared" si="314"/>
        <v>3144.9669361360243</v>
      </c>
      <c r="CO123" s="197">
        <f t="shared" si="314"/>
        <v>6084.4331632322819</v>
      </c>
      <c r="CP123" s="197">
        <f t="shared" si="314"/>
        <v>2477.2080187526394</v>
      </c>
      <c r="CQ123" s="199">
        <f t="shared" si="314"/>
        <v>5622.1749548886637</v>
      </c>
      <c r="CT123" s="204">
        <f t="shared" si="335"/>
        <v>11</v>
      </c>
      <c r="CU123" s="760">
        <f>'Energy NPV'!$D49*$CV$109</f>
        <v>0</v>
      </c>
      <c r="CV123" s="197">
        <f>'Energy margins'!$L$12</f>
        <v>43.75</v>
      </c>
      <c r="CW123" s="197">
        <f t="shared" si="336"/>
        <v>0</v>
      </c>
      <c r="CX123" s="197">
        <f>'Margins summary'!$S$14</f>
        <v>330</v>
      </c>
      <c r="CY123" s="197">
        <f t="shared" si="315"/>
        <v>330</v>
      </c>
      <c r="CZ123" s="197"/>
      <c r="DA123" s="918">
        <f>'Energy NPV'!U49</f>
        <v>423.52324399999998</v>
      </c>
      <c r="DB123" s="197"/>
      <c r="DC123" s="197">
        <f t="shared" si="316"/>
        <v>423.52324399999998</v>
      </c>
      <c r="DD123" s="197">
        <f t="shared" si="281"/>
        <v>-423.52324399999998</v>
      </c>
      <c r="DE123" s="197">
        <f t="shared" si="282"/>
        <v>-93.523243999999977</v>
      </c>
      <c r="DF123" s="196">
        <f t="shared" si="317"/>
        <v>0</v>
      </c>
      <c r="DG123" s="197">
        <f t="shared" si="318"/>
        <v>245.55099191591933</v>
      </c>
      <c r="DH123" s="197">
        <f t="shared" si="319"/>
        <v>315.14106867772097</v>
      </c>
      <c r="DI123" s="197">
        <f t="shared" si="320"/>
        <v>-315.14106867772097</v>
      </c>
      <c r="DJ123" s="199">
        <f t="shared" si="321"/>
        <v>-69.590076761801654</v>
      </c>
      <c r="DK123" s="196">
        <f t="shared" si="337"/>
        <v>0</v>
      </c>
      <c r="DL123" s="197">
        <f t="shared" si="322"/>
        <v>3144.9669361360243</v>
      </c>
      <c r="DM123" s="197">
        <f t="shared" si="322"/>
        <v>6084.4331632322819</v>
      </c>
      <c r="DN123" s="197">
        <f t="shared" si="322"/>
        <v>-6084.4331632322819</v>
      </c>
      <c r="DO123" s="199">
        <f t="shared" si="322"/>
        <v>-2939.4662270962576</v>
      </c>
    </row>
    <row r="124" spans="2:119" x14ac:dyDescent="0.3">
      <c r="B124" s="204">
        <f t="shared" si="323"/>
        <v>12</v>
      </c>
      <c r="C124" s="760">
        <f>'Energy NPV'!$D50*$E$109</f>
        <v>12.54</v>
      </c>
      <c r="D124" s="197">
        <f>'Energy margins'!$L$12</f>
        <v>43.75</v>
      </c>
      <c r="E124" s="197">
        <f t="shared" si="324"/>
        <v>548.625</v>
      </c>
      <c r="F124" s="197">
        <f>'Margins summary'!$S$14</f>
        <v>330</v>
      </c>
      <c r="G124" s="197">
        <f t="shared" si="283"/>
        <v>878.625</v>
      </c>
      <c r="H124" s="197"/>
      <c r="I124" s="918">
        <f>'Energy NPV'!U50</f>
        <v>423.52324399999998</v>
      </c>
      <c r="J124" s="197"/>
      <c r="K124" s="197">
        <f t="shared" si="284"/>
        <v>423.52324399999998</v>
      </c>
      <c r="L124" s="197">
        <f t="shared" si="273"/>
        <v>125.10175600000002</v>
      </c>
      <c r="M124" s="197">
        <f t="shared" si="274"/>
        <v>455.10175600000002</v>
      </c>
      <c r="N124" s="196">
        <f t="shared" si="285"/>
        <v>396.33837287399598</v>
      </c>
      <c r="O124" s="197">
        <f t="shared" si="286"/>
        <v>238.39902127759154</v>
      </c>
      <c r="P124" s="197">
        <f t="shared" si="287"/>
        <v>305.9622025997291</v>
      </c>
      <c r="Q124" s="197">
        <f t="shared" si="288"/>
        <v>90.376170274266883</v>
      </c>
      <c r="R124" s="199">
        <f t="shared" si="289"/>
        <v>328.77519155185843</v>
      </c>
      <c r="S124" s="196">
        <f t="shared" si="325"/>
        <v>4677.1589638664573</v>
      </c>
      <c r="T124" s="197">
        <f t="shared" si="290"/>
        <v>3383.3659574136159</v>
      </c>
      <c r="U124" s="197">
        <f t="shared" si="290"/>
        <v>6390.3953658320106</v>
      </c>
      <c r="V124" s="197">
        <f t="shared" si="290"/>
        <v>-1713.2364019655543</v>
      </c>
      <c r="W124" s="199">
        <f t="shared" si="290"/>
        <v>1670.1295554480607</v>
      </c>
      <c r="Z124" s="204">
        <f t="shared" si="326"/>
        <v>12</v>
      </c>
      <c r="AA124" s="760">
        <f>'Energy NPV'!$D50*$AB$109</f>
        <v>18.809999999999999</v>
      </c>
      <c r="AB124" s="197">
        <f>'Energy margins'!$L$12</f>
        <v>43.75</v>
      </c>
      <c r="AC124" s="197">
        <f t="shared" si="327"/>
        <v>822.9375</v>
      </c>
      <c r="AD124" s="197">
        <f>'Margins summary'!$S$14</f>
        <v>330</v>
      </c>
      <c r="AE124" s="197">
        <f t="shared" si="291"/>
        <v>1152.9375</v>
      </c>
      <c r="AF124" s="197"/>
      <c r="AG124" s="918">
        <f>'Energy NPV'!U50</f>
        <v>423.52324399999998</v>
      </c>
      <c r="AH124" s="197"/>
      <c r="AI124" s="197">
        <f t="shared" si="292"/>
        <v>423.52324399999998</v>
      </c>
      <c r="AJ124" s="197">
        <f t="shared" si="275"/>
        <v>399.41425600000002</v>
      </c>
      <c r="AK124" s="197">
        <f t="shared" si="276"/>
        <v>729.41425600000002</v>
      </c>
      <c r="AL124" s="196">
        <f t="shared" si="293"/>
        <v>594.507559310994</v>
      </c>
      <c r="AM124" s="197">
        <f t="shared" si="294"/>
        <v>238.39902127759154</v>
      </c>
      <c r="AN124" s="197">
        <f t="shared" si="295"/>
        <v>305.9622025997291</v>
      </c>
      <c r="AO124" s="197">
        <f t="shared" si="296"/>
        <v>288.54535671126484</v>
      </c>
      <c r="AP124" s="199">
        <f t="shared" si="297"/>
        <v>526.94437798885644</v>
      </c>
      <c r="AQ124" s="196">
        <f t="shared" si="328"/>
        <v>7015.7384457996859</v>
      </c>
      <c r="AR124" s="197">
        <f t="shared" si="298"/>
        <v>3383.3659574136159</v>
      </c>
      <c r="AS124" s="197">
        <f t="shared" si="298"/>
        <v>6390.3953658320106</v>
      </c>
      <c r="AT124" s="197">
        <f t="shared" si="298"/>
        <v>625.34307996767416</v>
      </c>
      <c r="AU124" s="199">
        <f t="shared" si="298"/>
        <v>4008.7090373812894</v>
      </c>
      <c r="AX124" s="204">
        <f t="shared" si="329"/>
        <v>12</v>
      </c>
      <c r="AY124" s="760">
        <f>'Energy NPV'!$D50*$AZ$109</f>
        <v>6.27</v>
      </c>
      <c r="AZ124" s="197">
        <f>'Energy margins'!$L$12</f>
        <v>43.75</v>
      </c>
      <c r="BA124" s="197">
        <f t="shared" si="330"/>
        <v>274.3125</v>
      </c>
      <c r="BB124" s="197">
        <f>'Margins summary'!$S$14</f>
        <v>330</v>
      </c>
      <c r="BC124" s="197">
        <f t="shared" si="299"/>
        <v>604.3125</v>
      </c>
      <c r="BD124" s="197"/>
      <c r="BE124" s="918">
        <f>'Energy NPV'!U50</f>
        <v>423.52324399999998</v>
      </c>
      <c r="BF124" s="197"/>
      <c r="BG124" s="197">
        <f t="shared" si="300"/>
        <v>423.52324399999998</v>
      </c>
      <c r="BH124" s="197">
        <f t="shared" si="277"/>
        <v>-149.21074399999998</v>
      </c>
      <c r="BI124" s="197">
        <f t="shared" si="278"/>
        <v>180.78925600000002</v>
      </c>
      <c r="BJ124" s="196">
        <f t="shared" si="301"/>
        <v>198.16918643699799</v>
      </c>
      <c r="BK124" s="197">
        <f t="shared" si="302"/>
        <v>238.39902127759154</v>
      </c>
      <c r="BL124" s="197">
        <f t="shared" si="303"/>
        <v>305.9622025997291</v>
      </c>
      <c r="BM124" s="197">
        <f t="shared" si="304"/>
        <v>-107.79301616273109</v>
      </c>
      <c r="BN124" s="199">
        <f t="shared" si="305"/>
        <v>130.60600511486047</v>
      </c>
      <c r="BO124" s="196">
        <f t="shared" si="331"/>
        <v>2338.5794819332286</v>
      </c>
      <c r="BP124" s="197">
        <f t="shared" si="306"/>
        <v>3383.3659574136159</v>
      </c>
      <c r="BQ124" s="197">
        <f t="shared" si="306"/>
        <v>6390.3953658320106</v>
      </c>
      <c r="BR124" s="197">
        <f t="shared" si="306"/>
        <v>-4051.8158838987824</v>
      </c>
      <c r="BS124" s="199">
        <f t="shared" si="306"/>
        <v>-668.44992648516745</v>
      </c>
      <c r="BV124" s="204">
        <f t="shared" si="332"/>
        <v>12</v>
      </c>
      <c r="BW124" s="760">
        <f>'Energy NPV'!$D50*$BX$109</f>
        <v>25.08</v>
      </c>
      <c r="BX124" s="197">
        <f>'Energy margins'!$L$12</f>
        <v>43.75</v>
      </c>
      <c r="BY124" s="197">
        <f t="shared" si="333"/>
        <v>1097.25</v>
      </c>
      <c r="BZ124" s="197">
        <f>'Margins summary'!$S$14</f>
        <v>330</v>
      </c>
      <c r="CA124" s="197">
        <f t="shared" si="307"/>
        <v>1427.25</v>
      </c>
      <c r="CB124" s="197"/>
      <c r="CC124" s="918">
        <f>'Energy NPV'!U50</f>
        <v>423.52324399999998</v>
      </c>
      <c r="CD124" s="197"/>
      <c r="CE124" s="197">
        <f t="shared" si="308"/>
        <v>423.52324399999998</v>
      </c>
      <c r="CF124" s="197">
        <f t="shared" si="279"/>
        <v>673.72675600000002</v>
      </c>
      <c r="CG124" s="197">
        <f t="shared" si="280"/>
        <v>1003.726756</v>
      </c>
      <c r="CH124" s="196">
        <f t="shared" si="309"/>
        <v>792.67674574799196</v>
      </c>
      <c r="CI124" s="197">
        <f t="shared" si="310"/>
        <v>238.39902127759154</v>
      </c>
      <c r="CJ124" s="197">
        <f t="shared" si="311"/>
        <v>305.9622025997291</v>
      </c>
      <c r="CK124" s="197">
        <f t="shared" si="312"/>
        <v>486.71454314826286</v>
      </c>
      <c r="CL124" s="199">
        <f t="shared" si="313"/>
        <v>725.11356442585441</v>
      </c>
      <c r="CM124" s="196">
        <f t="shared" si="334"/>
        <v>9354.3179277329145</v>
      </c>
      <c r="CN124" s="197">
        <f t="shared" si="314"/>
        <v>3383.3659574136159</v>
      </c>
      <c r="CO124" s="197">
        <f t="shared" si="314"/>
        <v>6390.3953658320106</v>
      </c>
      <c r="CP124" s="197">
        <f t="shared" si="314"/>
        <v>2963.9225619009021</v>
      </c>
      <c r="CQ124" s="199">
        <f t="shared" si="314"/>
        <v>6347.2885193145185</v>
      </c>
      <c r="CT124" s="204">
        <f t="shared" si="335"/>
        <v>12</v>
      </c>
      <c r="CU124" s="760">
        <f>'Energy NPV'!$D50*$CV$109</f>
        <v>0</v>
      </c>
      <c r="CV124" s="197">
        <f>'Energy margins'!$L$12</f>
        <v>43.75</v>
      </c>
      <c r="CW124" s="197">
        <f t="shared" si="336"/>
        <v>0</v>
      </c>
      <c r="CX124" s="197">
        <f>'Margins summary'!$S$14</f>
        <v>330</v>
      </c>
      <c r="CY124" s="197">
        <f t="shared" si="315"/>
        <v>330</v>
      </c>
      <c r="CZ124" s="197"/>
      <c r="DA124" s="918">
        <f>'Energy NPV'!U50</f>
        <v>423.52324399999998</v>
      </c>
      <c r="DB124" s="197"/>
      <c r="DC124" s="197">
        <f t="shared" si="316"/>
        <v>423.52324399999998</v>
      </c>
      <c r="DD124" s="197">
        <f t="shared" si="281"/>
        <v>-423.52324399999998</v>
      </c>
      <c r="DE124" s="197">
        <f t="shared" si="282"/>
        <v>-93.523243999999977</v>
      </c>
      <c r="DF124" s="196">
        <f t="shared" si="317"/>
        <v>0</v>
      </c>
      <c r="DG124" s="197">
        <f t="shared" si="318"/>
        <v>238.39902127759154</v>
      </c>
      <c r="DH124" s="197">
        <f t="shared" si="319"/>
        <v>305.9622025997291</v>
      </c>
      <c r="DI124" s="197">
        <f t="shared" si="320"/>
        <v>-305.9622025997291</v>
      </c>
      <c r="DJ124" s="199">
        <f t="shared" si="321"/>
        <v>-67.563181322137524</v>
      </c>
      <c r="DK124" s="196">
        <f t="shared" si="337"/>
        <v>0</v>
      </c>
      <c r="DL124" s="197">
        <f t="shared" si="322"/>
        <v>3383.3659574136159</v>
      </c>
      <c r="DM124" s="197">
        <f t="shared" si="322"/>
        <v>6390.3953658320106</v>
      </c>
      <c r="DN124" s="197">
        <f t="shared" si="322"/>
        <v>-6390.3953658320106</v>
      </c>
      <c r="DO124" s="199">
        <f t="shared" si="322"/>
        <v>-3007.0294084183952</v>
      </c>
    </row>
    <row r="125" spans="2:119" x14ac:dyDescent="0.3">
      <c r="B125" s="204">
        <f t="shared" si="323"/>
        <v>13</v>
      </c>
      <c r="C125" s="760">
        <f>'Energy NPV'!$D51*$E$109</f>
        <v>12.54</v>
      </c>
      <c r="D125" s="197">
        <f>'Energy margins'!$L$12</f>
        <v>43.75</v>
      </c>
      <c r="E125" s="197">
        <f t="shared" si="324"/>
        <v>548.625</v>
      </c>
      <c r="F125" s="197">
        <f>'Margins summary'!$S$14</f>
        <v>330</v>
      </c>
      <c r="G125" s="197">
        <f t="shared" si="283"/>
        <v>878.625</v>
      </c>
      <c r="H125" s="197"/>
      <c r="I125" s="918">
        <f>'Energy NPV'!U51</f>
        <v>423.52324399999998</v>
      </c>
      <c r="J125" s="197"/>
      <c r="K125" s="197">
        <f t="shared" si="284"/>
        <v>423.52324399999998</v>
      </c>
      <c r="L125" s="197">
        <f t="shared" si="273"/>
        <v>125.10175600000002</v>
      </c>
      <c r="M125" s="197">
        <f t="shared" si="274"/>
        <v>455.10175600000002</v>
      </c>
      <c r="N125" s="196">
        <f t="shared" si="285"/>
        <v>384.79453677086991</v>
      </c>
      <c r="O125" s="197">
        <f t="shared" si="286"/>
        <v>231.45536046368116</v>
      </c>
      <c r="P125" s="197">
        <f t="shared" si="287"/>
        <v>297.05068213565932</v>
      </c>
      <c r="Q125" s="197">
        <f t="shared" si="288"/>
        <v>87.743854635210582</v>
      </c>
      <c r="R125" s="199">
        <f t="shared" si="289"/>
        <v>319.19921509889173</v>
      </c>
      <c r="S125" s="196">
        <f t="shared" si="325"/>
        <v>5061.9535006373271</v>
      </c>
      <c r="T125" s="197">
        <f t="shared" si="290"/>
        <v>3614.8213178772971</v>
      </c>
      <c r="U125" s="197">
        <f t="shared" si="290"/>
        <v>6687.44604796767</v>
      </c>
      <c r="V125" s="197">
        <f t="shared" si="290"/>
        <v>-1625.4925473303438</v>
      </c>
      <c r="W125" s="199">
        <f t="shared" si="290"/>
        <v>1989.3287705469525</v>
      </c>
      <c r="Z125" s="204">
        <f t="shared" si="326"/>
        <v>13</v>
      </c>
      <c r="AA125" s="760">
        <f>'Energy NPV'!$D51*$AB$109</f>
        <v>18.809999999999999</v>
      </c>
      <c r="AB125" s="197">
        <f>'Energy margins'!$L$12</f>
        <v>43.75</v>
      </c>
      <c r="AC125" s="197">
        <f t="shared" si="327"/>
        <v>822.9375</v>
      </c>
      <c r="AD125" s="197">
        <f>'Margins summary'!$S$14</f>
        <v>330</v>
      </c>
      <c r="AE125" s="197">
        <f t="shared" si="291"/>
        <v>1152.9375</v>
      </c>
      <c r="AF125" s="197"/>
      <c r="AG125" s="918">
        <f>'Energy NPV'!U51</f>
        <v>423.52324399999998</v>
      </c>
      <c r="AH125" s="197"/>
      <c r="AI125" s="197">
        <f t="shared" si="292"/>
        <v>423.52324399999998</v>
      </c>
      <c r="AJ125" s="197">
        <f t="shared" si="275"/>
        <v>399.41425600000002</v>
      </c>
      <c r="AK125" s="197">
        <f t="shared" si="276"/>
        <v>729.41425600000002</v>
      </c>
      <c r="AL125" s="196">
        <f t="shared" si="293"/>
        <v>577.19180515630489</v>
      </c>
      <c r="AM125" s="197">
        <f t="shared" si="294"/>
        <v>231.45536046368116</v>
      </c>
      <c r="AN125" s="197">
        <f t="shared" si="295"/>
        <v>297.05068213565932</v>
      </c>
      <c r="AO125" s="197">
        <f t="shared" si="296"/>
        <v>280.14112302064552</v>
      </c>
      <c r="AP125" s="199">
        <f t="shared" si="297"/>
        <v>511.59648348432671</v>
      </c>
      <c r="AQ125" s="196">
        <f t="shared" si="328"/>
        <v>7592.9302509559911</v>
      </c>
      <c r="AR125" s="197">
        <f t="shared" si="298"/>
        <v>3614.8213178772971</v>
      </c>
      <c r="AS125" s="197">
        <f t="shared" si="298"/>
        <v>6687.44604796767</v>
      </c>
      <c r="AT125" s="197">
        <f t="shared" si="298"/>
        <v>905.48420298831968</v>
      </c>
      <c r="AU125" s="199">
        <f t="shared" si="298"/>
        <v>4520.305520865616</v>
      </c>
      <c r="AX125" s="204">
        <f t="shared" si="329"/>
        <v>13</v>
      </c>
      <c r="AY125" s="760">
        <f>'Energy NPV'!$D51*$AZ$109</f>
        <v>6.27</v>
      </c>
      <c r="AZ125" s="197">
        <f>'Energy margins'!$L$12</f>
        <v>43.75</v>
      </c>
      <c r="BA125" s="197">
        <f t="shared" si="330"/>
        <v>274.3125</v>
      </c>
      <c r="BB125" s="197">
        <f>'Margins summary'!$S$14</f>
        <v>330</v>
      </c>
      <c r="BC125" s="197">
        <f t="shared" si="299"/>
        <v>604.3125</v>
      </c>
      <c r="BD125" s="197"/>
      <c r="BE125" s="918">
        <f>'Energy NPV'!U51</f>
        <v>423.52324399999998</v>
      </c>
      <c r="BF125" s="197"/>
      <c r="BG125" s="197">
        <f t="shared" si="300"/>
        <v>423.52324399999998</v>
      </c>
      <c r="BH125" s="197">
        <f t="shared" si="277"/>
        <v>-149.21074399999998</v>
      </c>
      <c r="BI125" s="197">
        <f t="shared" si="278"/>
        <v>180.78925600000002</v>
      </c>
      <c r="BJ125" s="196">
        <f t="shared" si="301"/>
        <v>192.39726838543496</v>
      </c>
      <c r="BK125" s="197">
        <f t="shared" si="302"/>
        <v>231.45536046368116</v>
      </c>
      <c r="BL125" s="197">
        <f t="shared" si="303"/>
        <v>297.05068213565932</v>
      </c>
      <c r="BM125" s="197">
        <f t="shared" si="304"/>
        <v>-104.65341375022437</v>
      </c>
      <c r="BN125" s="199">
        <f t="shared" si="305"/>
        <v>126.80194671345677</v>
      </c>
      <c r="BO125" s="196">
        <f t="shared" si="331"/>
        <v>2530.9767503186636</v>
      </c>
      <c r="BP125" s="197">
        <f t="shared" si="306"/>
        <v>3614.8213178772971</v>
      </c>
      <c r="BQ125" s="197">
        <f t="shared" si="306"/>
        <v>6687.44604796767</v>
      </c>
      <c r="BR125" s="197">
        <f t="shared" si="306"/>
        <v>-4156.4692976490069</v>
      </c>
      <c r="BS125" s="199">
        <f t="shared" si="306"/>
        <v>-541.64797977171065</v>
      </c>
      <c r="BV125" s="204">
        <f t="shared" si="332"/>
        <v>13</v>
      </c>
      <c r="BW125" s="760">
        <f>'Energy NPV'!$D51*$BX$109</f>
        <v>25.08</v>
      </c>
      <c r="BX125" s="197">
        <f>'Energy margins'!$L$12</f>
        <v>43.75</v>
      </c>
      <c r="BY125" s="197">
        <f t="shared" si="333"/>
        <v>1097.25</v>
      </c>
      <c r="BZ125" s="197">
        <f>'Margins summary'!$S$14</f>
        <v>330</v>
      </c>
      <c r="CA125" s="197">
        <f t="shared" si="307"/>
        <v>1427.25</v>
      </c>
      <c r="CB125" s="197"/>
      <c r="CC125" s="918">
        <f>'Energy NPV'!U51</f>
        <v>423.52324399999998</v>
      </c>
      <c r="CD125" s="197"/>
      <c r="CE125" s="197">
        <f t="shared" si="308"/>
        <v>423.52324399999998</v>
      </c>
      <c r="CF125" s="197">
        <f t="shared" si="279"/>
        <v>673.72675600000002</v>
      </c>
      <c r="CG125" s="197">
        <f t="shared" si="280"/>
        <v>1003.726756</v>
      </c>
      <c r="CH125" s="196">
        <f t="shared" si="309"/>
        <v>769.58907354173982</v>
      </c>
      <c r="CI125" s="197">
        <f t="shared" si="310"/>
        <v>231.45536046368116</v>
      </c>
      <c r="CJ125" s="197">
        <f t="shared" si="311"/>
        <v>297.05068213565932</v>
      </c>
      <c r="CK125" s="197">
        <f t="shared" si="312"/>
        <v>472.53839140608051</v>
      </c>
      <c r="CL125" s="199">
        <f t="shared" si="313"/>
        <v>703.9937518697617</v>
      </c>
      <c r="CM125" s="196">
        <f t="shared" si="334"/>
        <v>10123.907001274654</v>
      </c>
      <c r="CN125" s="197">
        <f t="shared" si="314"/>
        <v>3614.8213178772971</v>
      </c>
      <c r="CO125" s="197">
        <f t="shared" si="314"/>
        <v>6687.44604796767</v>
      </c>
      <c r="CP125" s="197">
        <f t="shared" si="314"/>
        <v>3436.4609533069824</v>
      </c>
      <c r="CQ125" s="199">
        <f t="shared" si="314"/>
        <v>7051.28227118428</v>
      </c>
      <c r="CT125" s="204">
        <f t="shared" si="335"/>
        <v>13</v>
      </c>
      <c r="CU125" s="760">
        <f>'Energy NPV'!$D51*$CV$109</f>
        <v>0</v>
      </c>
      <c r="CV125" s="197">
        <f>'Energy margins'!$L$12</f>
        <v>43.75</v>
      </c>
      <c r="CW125" s="197">
        <f t="shared" si="336"/>
        <v>0</v>
      </c>
      <c r="CX125" s="197">
        <f>'Margins summary'!$S$14</f>
        <v>330</v>
      </c>
      <c r="CY125" s="197">
        <f t="shared" si="315"/>
        <v>330</v>
      </c>
      <c r="CZ125" s="197"/>
      <c r="DA125" s="918">
        <f>'Energy NPV'!U51</f>
        <v>423.52324399999998</v>
      </c>
      <c r="DB125" s="197"/>
      <c r="DC125" s="197">
        <f t="shared" si="316"/>
        <v>423.52324399999998</v>
      </c>
      <c r="DD125" s="197">
        <f t="shared" si="281"/>
        <v>-423.52324399999998</v>
      </c>
      <c r="DE125" s="197">
        <f t="shared" si="282"/>
        <v>-93.523243999999977</v>
      </c>
      <c r="DF125" s="196">
        <f t="shared" si="317"/>
        <v>0</v>
      </c>
      <c r="DG125" s="197">
        <f t="shared" si="318"/>
        <v>231.45536046368116</v>
      </c>
      <c r="DH125" s="197">
        <f t="shared" si="319"/>
        <v>297.05068213565932</v>
      </c>
      <c r="DI125" s="197">
        <f t="shared" si="320"/>
        <v>-297.05068213565932</v>
      </c>
      <c r="DJ125" s="199">
        <f t="shared" si="321"/>
        <v>-65.595321671978184</v>
      </c>
      <c r="DK125" s="196">
        <f t="shared" si="337"/>
        <v>0</v>
      </c>
      <c r="DL125" s="197">
        <f t="shared" si="322"/>
        <v>3614.8213178772971</v>
      </c>
      <c r="DM125" s="197">
        <f t="shared" si="322"/>
        <v>6687.44604796767</v>
      </c>
      <c r="DN125" s="197">
        <f t="shared" si="322"/>
        <v>-6687.44604796767</v>
      </c>
      <c r="DO125" s="199">
        <f t="shared" si="322"/>
        <v>-3072.6247300903733</v>
      </c>
    </row>
    <row r="126" spans="2:119" x14ac:dyDescent="0.3">
      <c r="B126" s="204">
        <f t="shared" si="323"/>
        <v>14</v>
      </c>
      <c r="C126" s="760">
        <f>'Energy NPV'!$D52*$E$109</f>
        <v>12.54</v>
      </c>
      <c r="D126" s="197">
        <f>'Energy margins'!$L$12</f>
        <v>43.75</v>
      </c>
      <c r="E126" s="197">
        <f t="shared" si="324"/>
        <v>548.625</v>
      </c>
      <c r="F126" s="197">
        <f>'Margins summary'!$S$14</f>
        <v>330</v>
      </c>
      <c r="G126" s="197">
        <f t="shared" si="283"/>
        <v>878.625</v>
      </c>
      <c r="H126" s="197"/>
      <c r="I126" s="918">
        <f>'Energy NPV'!U52</f>
        <v>423.52324399999998</v>
      </c>
      <c r="J126" s="197"/>
      <c r="K126" s="197">
        <f t="shared" si="284"/>
        <v>423.52324399999998</v>
      </c>
      <c r="L126" s="197">
        <f t="shared" si="273"/>
        <v>125.10175600000002</v>
      </c>
      <c r="M126" s="197">
        <f t="shared" si="274"/>
        <v>455.10175600000002</v>
      </c>
      <c r="N126" s="196">
        <f t="shared" si="285"/>
        <v>373.58692890375721</v>
      </c>
      <c r="O126" s="197">
        <f t="shared" si="286"/>
        <v>224.71394219774871</v>
      </c>
      <c r="P126" s="197">
        <f t="shared" si="287"/>
        <v>288.39872052005762</v>
      </c>
      <c r="Q126" s="197">
        <f t="shared" si="288"/>
        <v>85.188208383699603</v>
      </c>
      <c r="R126" s="199">
        <f t="shared" si="289"/>
        <v>309.90215058144832</v>
      </c>
      <c r="S126" s="196">
        <f t="shared" si="325"/>
        <v>5435.5404295410844</v>
      </c>
      <c r="T126" s="197">
        <f t="shared" si="290"/>
        <v>3839.5352600750457</v>
      </c>
      <c r="U126" s="197">
        <f t="shared" si="290"/>
        <v>6975.8447684877274</v>
      </c>
      <c r="V126" s="197">
        <f t="shared" si="290"/>
        <v>-1540.3043389466441</v>
      </c>
      <c r="W126" s="199">
        <f t="shared" si="290"/>
        <v>2299.230921128401</v>
      </c>
      <c r="Z126" s="204">
        <f t="shared" si="326"/>
        <v>14</v>
      </c>
      <c r="AA126" s="760">
        <f>'Energy NPV'!$D52*$AB$109</f>
        <v>18.809999999999999</v>
      </c>
      <c r="AB126" s="197">
        <f>'Energy margins'!$L$12</f>
        <v>43.75</v>
      </c>
      <c r="AC126" s="197">
        <f t="shared" si="327"/>
        <v>822.9375</v>
      </c>
      <c r="AD126" s="197">
        <f>'Margins summary'!$S$14</f>
        <v>330</v>
      </c>
      <c r="AE126" s="197">
        <f t="shared" si="291"/>
        <v>1152.9375</v>
      </c>
      <c r="AF126" s="197"/>
      <c r="AG126" s="918">
        <f>'Energy NPV'!U52</f>
        <v>423.52324399999998</v>
      </c>
      <c r="AH126" s="197"/>
      <c r="AI126" s="197">
        <f t="shared" si="292"/>
        <v>423.52324399999998</v>
      </c>
      <c r="AJ126" s="197">
        <f t="shared" si="275"/>
        <v>399.41425600000002</v>
      </c>
      <c r="AK126" s="197">
        <f t="shared" si="276"/>
        <v>729.41425600000002</v>
      </c>
      <c r="AL126" s="196">
        <f t="shared" si="293"/>
        <v>560.38039335563587</v>
      </c>
      <c r="AM126" s="197">
        <f t="shared" si="294"/>
        <v>224.71394219774871</v>
      </c>
      <c r="AN126" s="197">
        <f t="shared" si="295"/>
        <v>288.39872052005762</v>
      </c>
      <c r="AO126" s="197">
        <f t="shared" si="296"/>
        <v>271.98167283557819</v>
      </c>
      <c r="AP126" s="199">
        <f t="shared" si="297"/>
        <v>496.69561503332693</v>
      </c>
      <c r="AQ126" s="196">
        <f t="shared" si="328"/>
        <v>8153.3106443116267</v>
      </c>
      <c r="AR126" s="197">
        <f t="shared" si="298"/>
        <v>3839.5352600750457</v>
      </c>
      <c r="AS126" s="197">
        <f t="shared" si="298"/>
        <v>6975.8447684877274</v>
      </c>
      <c r="AT126" s="197">
        <f t="shared" si="298"/>
        <v>1177.4658758238979</v>
      </c>
      <c r="AU126" s="199">
        <f t="shared" si="298"/>
        <v>5017.0011358989432</v>
      </c>
      <c r="AX126" s="204">
        <f t="shared" si="329"/>
        <v>14</v>
      </c>
      <c r="AY126" s="760">
        <f>'Energy NPV'!$D52*$AZ$109</f>
        <v>6.27</v>
      </c>
      <c r="AZ126" s="197">
        <f>'Energy margins'!$L$12</f>
        <v>43.75</v>
      </c>
      <c r="BA126" s="197">
        <f t="shared" si="330"/>
        <v>274.3125</v>
      </c>
      <c r="BB126" s="197">
        <f>'Margins summary'!$S$14</f>
        <v>330</v>
      </c>
      <c r="BC126" s="197">
        <f t="shared" si="299"/>
        <v>604.3125</v>
      </c>
      <c r="BD126" s="197"/>
      <c r="BE126" s="918">
        <f>'Energy NPV'!U52</f>
        <v>423.52324399999998</v>
      </c>
      <c r="BF126" s="197"/>
      <c r="BG126" s="197">
        <f t="shared" si="300"/>
        <v>423.52324399999998</v>
      </c>
      <c r="BH126" s="197">
        <f t="shared" si="277"/>
        <v>-149.21074399999998</v>
      </c>
      <c r="BI126" s="197">
        <f t="shared" si="278"/>
        <v>180.78925600000002</v>
      </c>
      <c r="BJ126" s="196">
        <f t="shared" si="301"/>
        <v>186.79346445187861</v>
      </c>
      <c r="BK126" s="197">
        <f t="shared" si="302"/>
        <v>224.71394219774871</v>
      </c>
      <c r="BL126" s="197">
        <f t="shared" si="303"/>
        <v>288.39872052005762</v>
      </c>
      <c r="BM126" s="197">
        <f t="shared" si="304"/>
        <v>-101.60525606817902</v>
      </c>
      <c r="BN126" s="199">
        <f t="shared" si="305"/>
        <v>123.10868612956969</v>
      </c>
      <c r="BO126" s="196">
        <f t="shared" si="331"/>
        <v>2717.7702147705422</v>
      </c>
      <c r="BP126" s="197">
        <f t="shared" si="306"/>
        <v>3839.5352600750457</v>
      </c>
      <c r="BQ126" s="197">
        <f t="shared" si="306"/>
        <v>6975.8447684877274</v>
      </c>
      <c r="BR126" s="197">
        <f t="shared" si="306"/>
        <v>-4258.0745537171861</v>
      </c>
      <c r="BS126" s="199">
        <f t="shared" si="306"/>
        <v>-418.53929364214093</v>
      </c>
      <c r="BV126" s="204">
        <f t="shared" si="332"/>
        <v>14</v>
      </c>
      <c r="BW126" s="760">
        <f>'Energy NPV'!$D52*$BX$109</f>
        <v>25.08</v>
      </c>
      <c r="BX126" s="197">
        <f>'Energy margins'!$L$12</f>
        <v>43.75</v>
      </c>
      <c r="BY126" s="197">
        <f t="shared" si="333"/>
        <v>1097.25</v>
      </c>
      <c r="BZ126" s="197">
        <f>'Margins summary'!$S$14</f>
        <v>330</v>
      </c>
      <c r="CA126" s="197">
        <f t="shared" si="307"/>
        <v>1427.25</v>
      </c>
      <c r="CB126" s="197"/>
      <c r="CC126" s="918">
        <f>'Energy NPV'!U52</f>
        <v>423.52324399999998</v>
      </c>
      <c r="CD126" s="197"/>
      <c r="CE126" s="197">
        <f t="shared" si="308"/>
        <v>423.52324399999998</v>
      </c>
      <c r="CF126" s="197">
        <f t="shared" si="279"/>
        <v>673.72675600000002</v>
      </c>
      <c r="CG126" s="197">
        <f t="shared" si="280"/>
        <v>1003.726756</v>
      </c>
      <c r="CH126" s="196">
        <f t="shared" si="309"/>
        <v>747.17385780751442</v>
      </c>
      <c r="CI126" s="197">
        <f t="shared" si="310"/>
        <v>224.71394219774871</v>
      </c>
      <c r="CJ126" s="197">
        <f t="shared" si="311"/>
        <v>288.39872052005762</v>
      </c>
      <c r="CK126" s="197">
        <f t="shared" si="312"/>
        <v>458.77513728745686</v>
      </c>
      <c r="CL126" s="199">
        <f t="shared" si="313"/>
        <v>683.48907948520559</v>
      </c>
      <c r="CM126" s="196">
        <f t="shared" si="334"/>
        <v>10871.080859082169</v>
      </c>
      <c r="CN126" s="197">
        <f t="shared" si="314"/>
        <v>3839.5352600750457</v>
      </c>
      <c r="CO126" s="197">
        <f t="shared" si="314"/>
        <v>6975.8447684877274</v>
      </c>
      <c r="CP126" s="197">
        <f t="shared" si="314"/>
        <v>3895.2360905944392</v>
      </c>
      <c r="CQ126" s="199">
        <f t="shared" si="314"/>
        <v>7734.7713506694854</v>
      </c>
      <c r="CT126" s="204">
        <f t="shared" si="335"/>
        <v>14</v>
      </c>
      <c r="CU126" s="760">
        <f>'Energy NPV'!$D52*$CV$109</f>
        <v>0</v>
      </c>
      <c r="CV126" s="197">
        <f>'Energy margins'!$L$12</f>
        <v>43.75</v>
      </c>
      <c r="CW126" s="197">
        <f t="shared" si="336"/>
        <v>0</v>
      </c>
      <c r="CX126" s="197">
        <f>'Margins summary'!$S$14</f>
        <v>330</v>
      </c>
      <c r="CY126" s="197">
        <f t="shared" si="315"/>
        <v>330</v>
      </c>
      <c r="CZ126" s="197"/>
      <c r="DA126" s="918">
        <f>'Energy NPV'!U52</f>
        <v>423.52324399999998</v>
      </c>
      <c r="DB126" s="197"/>
      <c r="DC126" s="197">
        <f t="shared" si="316"/>
        <v>423.52324399999998</v>
      </c>
      <c r="DD126" s="197">
        <f t="shared" si="281"/>
        <v>-423.52324399999998</v>
      </c>
      <c r="DE126" s="197">
        <f t="shared" si="282"/>
        <v>-93.523243999999977</v>
      </c>
      <c r="DF126" s="196">
        <f t="shared" si="317"/>
        <v>0</v>
      </c>
      <c r="DG126" s="197">
        <f t="shared" si="318"/>
        <v>224.71394219774871</v>
      </c>
      <c r="DH126" s="197">
        <f t="shared" si="319"/>
        <v>288.39872052005762</v>
      </c>
      <c r="DI126" s="197">
        <f t="shared" si="320"/>
        <v>-288.39872052005762</v>
      </c>
      <c r="DJ126" s="199">
        <f t="shared" si="321"/>
        <v>-63.684778322308922</v>
      </c>
      <c r="DK126" s="196">
        <f t="shared" si="337"/>
        <v>0</v>
      </c>
      <c r="DL126" s="197">
        <f t="shared" si="322"/>
        <v>3839.5352600750457</v>
      </c>
      <c r="DM126" s="197">
        <f t="shared" si="322"/>
        <v>6975.8447684877274</v>
      </c>
      <c r="DN126" s="197">
        <f t="shared" si="322"/>
        <v>-6975.8447684877274</v>
      </c>
      <c r="DO126" s="199">
        <f t="shared" si="322"/>
        <v>-3136.3095084126821</v>
      </c>
    </row>
    <row r="127" spans="2:119" x14ac:dyDescent="0.3">
      <c r="B127" s="204">
        <f t="shared" si="323"/>
        <v>15</v>
      </c>
      <c r="C127" s="760">
        <f>'Energy NPV'!$D53*$E$109</f>
        <v>12.54</v>
      </c>
      <c r="D127" s="197">
        <f>'Energy margins'!$L$12</f>
        <v>43.75</v>
      </c>
      <c r="E127" s="197">
        <f t="shared" si="324"/>
        <v>548.625</v>
      </c>
      <c r="F127" s="197">
        <f>'Margins summary'!$S$14</f>
        <v>330</v>
      </c>
      <c r="G127" s="197">
        <f t="shared" si="283"/>
        <v>878.625</v>
      </c>
      <c r="H127" s="197"/>
      <c r="I127" s="918">
        <f>'Energy NPV'!U53</f>
        <v>423.52324399999998</v>
      </c>
      <c r="J127" s="197"/>
      <c r="K127" s="197">
        <f t="shared" si="284"/>
        <v>423.52324399999998</v>
      </c>
      <c r="L127" s="197">
        <f t="shared" si="273"/>
        <v>125.10175600000002</v>
      </c>
      <c r="M127" s="197">
        <f t="shared" si="274"/>
        <v>455.10175600000002</v>
      </c>
      <c r="N127" s="196">
        <f t="shared" si="285"/>
        <v>362.70575621723998</v>
      </c>
      <c r="O127" s="197">
        <f t="shared" si="286"/>
        <v>218.16887592014436</v>
      </c>
      <c r="P127" s="197">
        <f t="shared" si="287"/>
        <v>279.99875778646367</v>
      </c>
      <c r="Q127" s="197">
        <f t="shared" si="288"/>
        <v>82.706998430776295</v>
      </c>
      <c r="R127" s="199">
        <f t="shared" si="289"/>
        <v>300.87587435092064</v>
      </c>
      <c r="S127" s="196">
        <f t="shared" si="325"/>
        <v>5798.2461857583248</v>
      </c>
      <c r="T127" s="197">
        <f t="shared" si="290"/>
        <v>4057.70413599519</v>
      </c>
      <c r="U127" s="197">
        <f t="shared" si="290"/>
        <v>7255.8435262741914</v>
      </c>
      <c r="V127" s="197">
        <f t="shared" si="290"/>
        <v>-1457.5973405158677</v>
      </c>
      <c r="W127" s="199">
        <f t="shared" si="290"/>
        <v>2600.1067954793216</v>
      </c>
      <c r="Z127" s="204">
        <f t="shared" si="326"/>
        <v>15</v>
      </c>
      <c r="AA127" s="760">
        <f>'Energy NPV'!$D53*$AB$109</f>
        <v>18.809999999999999</v>
      </c>
      <c r="AB127" s="197">
        <f>'Energy margins'!$L$12</f>
        <v>43.75</v>
      </c>
      <c r="AC127" s="197">
        <f t="shared" si="327"/>
        <v>822.9375</v>
      </c>
      <c r="AD127" s="197">
        <f>'Margins summary'!$S$14</f>
        <v>330</v>
      </c>
      <c r="AE127" s="197">
        <f t="shared" si="291"/>
        <v>1152.9375</v>
      </c>
      <c r="AF127" s="197"/>
      <c r="AG127" s="918">
        <f>'Energy NPV'!U53</f>
        <v>423.52324399999998</v>
      </c>
      <c r="AH127" s="197"/>
      <c r="AI127" s="197">
        <f t="shared" si="292"/>
        <v>423.52324399999998</v>
      </c>
      <c r="AJ127" s="197">
        <f t="shared" si="275"/>
        <v>399.41425600000002</v>
      </c>
      <c r="AK127" s="197">
        <f t="shared" si="276"/>
        <v>729.41425600000002</v>
      </c>
      <c r="AL127" s="196">
        <f t="shared" si="293"/>
        <v>544.05863432586</v>
      </c>
      <c r="AM127" s="197">
        <f t="shared" si="294"/>
        <v>218.16887592014436</v>
      </c>
      <c r="AN127" s="197">
        <f t="shared" si="295"/>
        <v>279.99875778646367</v>
      </c>
      <c r="AO127" s="197">
        <f t="shared" si="296"/>
        <v>264.05987653939627</v>
      </c>
      <c r="AP127" s="199">
        <f t="shared" si="297"/>
        <v>482.22875245954066</v>
      </c>
      <c r="AQ127" s="196">
        <f t="shared" si="328"/>
        <v>8697.3692786374868</v>
      </c>
      <c r="AR127" s="197">
        <f t="shared" si="298"/>
        <v>4057.70413599519</v>
      </c>
      <c r="AS127" s="197">
        <f t="shared" si="298"/>
        <v>7255.8435262741914</v>
      </c>
      <c r="AT127" s="197">
        <f t="shared" si="298"/>
        <v>1441.5257523632943</v>
      </c>
      <c r="AU127" s="199">
        <f t="shared" si="298"/>
        <v>5499.2298883584835</v>
      </c>
      <c r="AX127" s="204">
        <f t="shared" si="329"/>
        <v>15</v>
      </c>
      <c r="AY127" s="760">
        <f>'Energy NPV'!$D53*$AZ$109</f>
        <v>6.27</v>
      </c>
      <c r="AZ127" s="197">
        <f>'Energy margins'!$L$12</f>
        <v>43.75</v>
      </c>
      <c r="BA127" s="197">
        <f t="shared" si="330"/>
        <v>274.3125</v>
      </c>
      <c r="BB127" s="197">
        <f>'Margins summary'!$S$14</f>
        <v>330</v>
      </c>
      <c r="BC127" s="197">
        <f t="shared" si="299"/>
        <v>604.3125</v>
      </c>
      <c r="BD127" s="197"/>
      <c r="BE127" s="918">
        <f>'Energy NPV'!U53</f>
        <v>423.52324399999998</v>
      </c>
      <c r="BF127" s="197"/>
      <c r="BG127" s="197">
        <f t="shared" si="300"/>
        <v>423.52324399999998</v>
      </c>
      <c r="BH127" s="197">
        <f t="shared" si="277"/>
        <v>-149.21074399999998</v>
      </c>
      <c r="BI127" s="197">
        <f t="shared" si="278"/>
        <v>180.78925600000002</v>
      </c>
      <c r="BJ127" s="196">
        <f t="shared" si="301"/>
        <v>181.35287810861999</v>
      </c>
      <c r="BK127" s="197">
        <f t="shared" si="302"/>
        <v>218.16887592014436</v>
      </c>
      <c r="BL127" s="197">
        <f t="shared" si="303"/>
        <v>279.99875778646367</v>
      </c>
      <c r="BM127" s="197">
        <f t="shared" si="304"/>
        <v>-98.645879677843695</v>
      </c>
      <c r="BN127" s="199">
        <f t="shared" si="305"/>
        <v>119.52299624230066</v>
      </c>
      <c r="BO127" s="196">
        <f t="shared" si="331"/>
        <v>2899.1230928791624</v>
      </c>
      <c r="BP127" s="197">
        <f t="shared" si="306"/>
        <v>4057.70413599519</v>
      </c>
      <c r="BQ127" s="197">
        <f t="shared" si="306"/>
        <v>7255.8435262741914</v>
      </c>
      <c r="BR127" s="197">
        <f t="shared" si="306"/>
        <v>-4356.7204333950294</v>
      </c>
      <c r="BS127" s="199">
        <f t="shared" si="306"/>
        <v>-299.01629739984025</v>
      </c>
      <c r="BV127" s="204">
        <f t="shared" si="332"/>
        <v>15</v>
      </c>
      <c r="BW127" s="760">
        <f>'Energy NPV'!$D53*$BX$109</f>
        <v>25.08</v>
      </c>
      <c r="BX127" s="197">
        <f>'Energy margins'!$L$12</f>
        <v>43.75</v>
      </c>
      <c r="BY127" s="197">
        <f t="shared" si="333"/>
        <v>1097.25</v>
      </c>
      <c r="BZ127" s="197">
        <f>'Margins summary'!$S$14</f>
        <v>330</v>
      </c>
      <c r="CA127" s="197">
        <f t="shared" si="307"/>
        <v>1427.25</v>
      </c>
      <c r="CB127" s="197"/>
      <c r="CC127" s="918">
        <f>'Energy NPV'!U53</f>
        <v>423.52324399999998</v>
      </c>
      <c r="CD127" s="197"/>
      <c r="CE127" s="197">
        <f t="shared" si="308"/>
        <v>423.52324399999998</v>
      </c>
      <c r="CF127" s="197">
        <f t="shared" si="279"/>
        <v>673.72675600000002</v>
      </c>
      <c r="CG127" s="197">
        <f t="shared" si="280"/>
        <v>1003.726756</v>
      </c>
      <c r="CH127" s="196">
        <f t="shared" si="309"/>
        <v>725.41151243447996</v>
      </c>
      <c r="CI127" s="197">
        <f t="shared" si="310"/>
        <v>218.16887592014436</v>
      </c>
      <c r="CJ127" s="197">
        <f t="shared" si="311"/>
        <v>279.99875778646367</v>
      </c>
      <c r="CK127" s="197">
        <f t="shared" si="312"/>
        <v>445.41275464801629</v>
      </c>
      <c r="CL127" s="199">
        <f t="shared" si="313"/>
        <v>663.58163056816068</v>
      </c>
      <c r="CM127" s="196">
        <f t="shared" si="334"/>
        <v>11596.49237151665</v>
      </c>
      <c r="CN127" s="197">
        <f t="shared" si="314"/>
        <v>4057.70413599519</v>
      </c>
      <c r="CO127" s="197">
        <f t="shared" si="314"/>
        <v>7255.8435262741914</v>
      </c>
      <c r="CP127" s="197">
        <f t="shared" si="314"/>
        <v>4340.6488452424555</v>
      </c>
      <c r="CQ127" s="199">
        <f t="shared" si="314"/>
        <v>8398.3529812376455</v>
      </c>
      <c r="CT127" s="204">
        <f t="shared" si="335"/>
        <v>15</v>
      </c>
      <c r="CU127" s="760">
        <f>'Energy NPV'!$D53*$CV$109</f>
        <v>0</v>
      </c>
      <c r="CV127" s="197">
        <f>'Energy margins'!$L$12</f>
        <v>43.75</v>
      </c>
      <c r="CW127" s="197">
        <f t="shared" si="336"/>
        <v>0</v>
      </c>
      <c r="CX127" s="197">
        <f>'Margins summary'!$S$14</f>
        <v>330</v>
      </c>
      <c r="CY127" s="197">
        <f t="shared" si="315"/>
        <v>330</v>
      </c>
      <c r="CZ127" s="197"/>
      <c r="DA127" s="918">
        <f>'Energy NPV'!U53</f>
        <v>423.52324399999998</v>
      </c>
      <c r="DB127" s="197"/>
      <c r="DC127" s="197">
        <f t="shared" si="316"/>
        <v>423.52324399999998</v>
      </c>
      <c r="DD127" s="197">
        <f t="shared" si="281"/>
        <v>-423.52324399999998</v>
      </c>
      <c r="DE127" s="197">
        <f t="shared" si="282"/>
        <v>-93.523243999999977</v>
      </c>
      <c r="DF127" s="196">
        <f t="shared" si="317"/>
        <v>0</v>
      </c>
      <c r="DG127" s="197">
        <f t="shared" si="318"/>
        <v>218.16887592014436</v>
      </c>
      <c r="DH127" s="197">
        <f t="shared" si="319"/>
        <v>279.99875778646367</v>
      </c>
      <c r="DI127" s="197">
        <f t="shared" si="320"/>
        <v>-279.99875778646367</v>
      </c>
      <c r="DJ127" s="199">
        <f t="shared" si="321"/>
        <v>-61.829881866319333</v>
      </c>
      <c r="DK127" s="196">
        <f t="shared" si="337"/>
        <v>0</v>
      </c>
      <c r="DL127" s="197">
        <f t="shared" si="322"/>
        <v>4057.70413599519</v>
      </c>
      <c r="DM127" s="197">
        <f t="shared" si="322"/>
        <v>7255.8435262741914</v>
      </c>
      <c r="DN127" s="197">
        <f t="shared" si="322"/>
        <v>-7255.8435262741914</v>
      </c>
      <c r="DO127" s="199">
        <f t="shared" si="322"/>
        <v>-3198.1393902790014</v>
      </c>
    </row>
    <row r="128" spans="2:119" x14ac:dyDescent="0.3">
      <c r="B128" s="206">
        <f t="shared" si="323"/>
        <v>16</v>
      </c>
      <c r="C128" s="761">
        <f>'Energy NPV'!$D54*$E$109</f>
        <v>12.54</v>
      </c>
      <c r="D128" s="207">
        <f>'Energy margins'!$L$12</f>
        <v>43.75</v>
      </c>
      <c r="E128" s="207">
        <f t="shared" si="324"/>
        <v>548.625</v>
      </c>
      <c r="F128" s="207">
        <f>'Margins summary'!$S$14</f>
        <v>330</v>
      </c>
      <c r="G128" s="207">
        <f t="shared" si="283"/>
        <v>878.625</v>
      </c>
      <c r="H128" s="207"/>
      <c r="I128" s="919">
        <f>'Energy NPV'!U54</f>
        <v>423.52324399999998</v>
      </c>
      <c r="J128" s="207">
        <f>'Energy margins'!$Q$67</f>
        <v>192.1</v>
      </c>
      <c r="K128" s="207">
        <f t="shared" si="284"/>
        <v>615.623244</v>
      </c>
      <c r="L128" s="207">
        <f t="shared" si="273"/>
        <v>-66.998244</v>
      </c>
      <c r="M128" s="207">
        <f t="shared" si="274"/>
        <v>263.001756</v>
      </c>
      <c r="N128" s="208">
        <f t="shared" si="285"/>
        <v>352.14151089052422</v>
      </c>
      <c r="O128" s="207">
        <f t="shared" si="286"/>
        <v>211.81444264091684</v>
      </c>
      <c r="P128" s="207">
        <f t="shared" si="287"/>
        <v>395.14513425652467</v>
      </c>
      <c r="Q128" s="207">
        <f t="shared" si="288"/>
        <v>-43.003623366000454</v>
      </c>
      <c r="R128" s="209">
        <f t="shared" si="289"/>
        <v>168.81081927491638</v>
      </c>
      <c r="S128" s="208">
        <f t="shared" si="325"/>
        <v>6150.3876966488488</v>
      </c>
      <c r="T128" s="207">
        <f t="shared" si="290"/>
        <v>4269.5185786361071</v>
      </c>
      <c r="U128" s="207">
        <f t="shared" si="290"/>
        <v>7650.9886605307165</v>
      </c>
      <c r="V128" s="207">
        <f t="shared" si="290"/>
        <v>-1500.6009638818682</v>
      </c>
      <c r="W128" s="209">
        <f t="shared" si="290"/>
        <v>2768.917614754238</v>
      </c>
      <c r="Z128" s="206">
        <f t="shared" si="326"/>
        <v>16</v>
      </c>
      <c r="AA128" s="761">
        <f>'Energy NPV'!$D54*$AB$109</f>
        <v>18.809999999999999</v>
      </c>
      <c r="AB128" s="207">
        <f>'Energy margins'!$L$12</f>
        <v>43.75</v>
      </c>
      <c r="AC128" s="207">
        <f t="shared" si="327"/>
        <v>822.9375</v>
      </c>
      <c r="AD128" s="207">
        <f>'Margins summary'!$S$14</f>
        <v>330</v>
      </c>
      <c r="AE128" s="207">
        <f t="shared" si="291"/>
        <v>1152.9375</v>
      </c>
      <c r="AF128" s="207"/>
      <c r="AG128" s="919">
        <f>'Energy NPV'!U54</f>
        <v>423.52324399999998</v>
      </c>
      <c r="AH128" s="207">
        <f>'Energy margins'!$Q$67</f>
        <v>192.1</v>
      </c>
      <c r="AI128" s="207">
        <f t="shared" si="292"/>
        <v>615.623244</v>
      </c>
      <c r="AJ128" s="207">
        <f t="shared" si="275"/>
        <v>207.314256</v>
      </c>
      <c r="AK128" s="207">
        <f t="shared" si="276"/>
        <v>537.314256</v>
      </c>
      <c r="AL128" s="208">
        <f t="shared" si="293"/>
        <v>528.21226633578635</v>
      </c>
      <c r="AM128" s="207">
        <f t="shared" si="294"/>
        <v>211.81444264091684</v>
      </c>
      <c r="AN128" s="207">
        <f t="shared" si="295"/>
        <v>395.14513425652467</v>
      </c>
      <c r="AO128" s="207">
        <f t="shared" si="296"/>
        <v>133.06713207926165</v>
      </c>
      <c r="AP128" s="209">
        <f t="shared" si="297"/>
        <v>344.88157472017849</v>
      </c>
      <c r="AQ128" s="208">
        <f>AQ127+AL128</f>
        <v>9225.5815449732727</v>
      </c>
      <c r="AR128" s="207">
        <f t="shared" si="298"/>
        <v>4269.5185786361071</v>
      </c>
      <c r="AS128" s="207">
        <f t="shared" si="298"/>
        <v>7650.9886605307165</v>
      </c>
      <c r="AT128" s="207">
        <f t="shared" si="298"/>
        <v>1574.5928844425559</v>
      </c>
      <c r="AU128" s="209">
        <f t="shared" si="298"/>
        <v>5844.1114630786624</v>
      </c>
      <c r="AX128" s="206">
        <f t="shared" si="329"/>
        <v>16</v>
      </c>
      <c r="AY128" s="761">
        <f>'Energy NPV'!$D54*$AZ$109</f>
        <v>6.27</v>
      </c>
      <c r="AZ128" s="207">
        <f>'Energy margins'!$L$12</f>
        <v>43.75</v>
      </c>
      <c r="BA128" s="207">
        <f t="shared" si="330"/>
        <v>274.3125</v>
      </c>
      <c r="BB128" s="207">
        <f>'Margins summary'!$S$14</f>
        <v>330</v>
      </c>
      <c r="BC128" s="207">
        <f t="shared" si="299"/>
        <v>604.3125</v>
      </c>
      <c r="BD128" s="207"/>
      <c r="BE128" s="919">
        <f>'Energy NPV'!U54</f>
        <v>423.52324399999998</v>
      </c>
      <c r="BF128" s="207">
        <f>'Energy margins'!$Q$67</f>
        <v>192.1</v>
      </c>
      <c r="BG128" s="207">
        <f t="shared" si="300"/>
        <v>615.623244</v>
      </c>
      <c r="BH128" s="207">
        <f t="shared" si="277"/>
        <v>-341.310744</v>
      </c>
      <c r="BI128" s="207">
        <f t="shared" si="278"/>
        <v>-11.310744</v>
      </c>
      <c r="BJ128" s="208">
        <f t="shared" si="301"/>
        <v>176.07075544526211</v>
      </c>
      <c r="BK128" s="207">
        <f t="shared" si="302"/>
        <v>211.81444264091684</v>
      </c>
      <c r="BL128" s="207">
        <f t="shared" si="303"/>
        <v>395.14513425652467</v>
      </c>
      <c r="BM128" s="207">
        <f t="shared" si="304"/>
        <v>-219.07437881126256</v>
      </c>
      <c r="BN128" s="209">
        <f t="shared" si="305"/>
        <v>-7.2599361703457399</v>
      </c>
      <c r="BO128" s="208">
        <f t="shared" si="331"/>
        <v>3075.1938483244244</v>
      </c>
      <c r="BP128" s="207">
        <f t="shared" si="306"/>
        <v>4269.5185786361071</v>
      </c>
      <c r="BQ128" s="207">
        <f>BQ127+BL128</f>
        <v>7650.9886605307165</v>
      </c>
      <c r="BR128" s="207">
        <f t="shared" si="306"/>
        <v>-4575.7948122062917</v>
      </c>
      <c r="BS128" s="209">
        <f t="shared" si="306"/>
        <v>-306.27623357018598</v>
      </c>
      <c r="BV128" s="206">
        <f t="shared" si="332"/>
        <v>16</v>
      </c>
      <c r="BW128" s="761">
        <f>'Energy NPV'!$D54*$BX$109</f>
        <v>25.08</v>
      </c>
      <c r="BX128" s="207">
        <f>'Energy margins'!$L$12</f>
        <v>43.75</v>
      </c>
      <c r="BY128" s="207">
        <f t="shared" si="333"/>
        <v>1097.25</v>
      </c>
      <c r="BZ128" s="207">
        <f>'Margins summary'!$S$14</f>
        <v>330</v>
      </c>
      <c r="CA128" s="207">
        <f t="shared" si="307"/>
        <v>1427.25</v>
      </c>
      <c r="CB128" s="207"/>
      <c r="CC128" s="919">
        <f>'Energy NPV'!U54</f>
        <v>423.52324399999998</v>
      </c>
      <c r="CD128" s="207">
        <f>'Energy margins'!$Q$67</f>
        <v>192.1</v>
      </c>
      <c r="CE128" s="207">
        <f t="shared" si="308"/>
        <v>615.623244</v>
      </c>
      <c r="CF128" s="207">
        <f t="shared" si="279"/>
        <v>481.626756</v>
      </c>
      <c r="CG128" s="207">
        <f t="shared" si="280"/>
        <v>811.626756</v>
      </c>
      <c r="CH128" s="208">
        <f t="shared" si="309"/>
        <v>704.28302178104843</v>
      </c>
      <c r="CI128" s="207">
        <f t="shared" si="310"/>
        <v>211.81444264091684</v>
      </c>
      <c r="CJ128" s="207">
        <f t="shared" si="311"/>
        <v>395.14513425652467</v>
      </c>
      <c r="CK128" s="207">
        <f t="shared" si="312"/>
        <v>309.13788752452376</v>
      </c>
      <c r="CL128" s="209">
        <f t="shared" si="313"/>
        <v>520.95233016544057</v>
      </c>
      <c r="CM128" s="208">
        <f t="shared" si="334"/>
        <v>12300.775393297698</v>
      </c>
      <c r="CN128" s="207">
        <f t="shared" si="314"/>
        <v>4269.5185786361071</v>
      </c>
      <c r="CO128" s="207">
        <f t="shared" si="314"/>
        <v>7650.9886605307165</v>
      </c>
      <c r="CP128" s="207">
        <f t="shared" si="314"/>
        <v>4649.7867327669792</v>
      </c>
      <c r="CQ128" s="209">
        <f t="shared" si="314"/>
        <v>8919.3053114030863</v>
      </c>
      <c r="CT128" s="206">
        <f t="shared" si="335"/>
        <v>16</v>
      </c>
      <c r="CU128" s="761">
        <f>'Energy NPV'!$D54*$CV$109</f>
        <v>0</v>
      </c>
      <c r="CV128" s="207">
        <f>'Energy margins'!$L$12</f>
        <v>43.75</v>
      </c>
      <c r="CW128" s="207">
        <f t="shared" si="336"/>
        <v>0</v>
      </c>
      <c r="CX128" s="207">
        <f>'Margins summary'!$S$14</f>
        <v>330</v>
      </c>
      <c r="CY128" s="207">
        <f t="shared" si="315"/>
        <v>330</v>
      </c>
      <c r="CZ128" s="207"/>
      <c r="DA128" s="919">
        <f>'Energy NPV'!U54</f>
        <v>423.52324399999998</v>
      </c>
      <c r="DB128" s="207">
        <f>'Energy margins'!$Q$67</f>
        <v>192.1</v>
      </c>
      <c r="DC128" s="207">
        <f t="shared" si="316"/>
        <v>615.623244</v>
      </c>
      <c r="DD128" s="207">
        <f t="shared" si="281"/>
        <v>-615.623244</v>
      </c>
      <c r="DE128" s="207">
        <f t="shared" si="282"/>
        <v>-285.623244</v>
      </c>
      <c r="DF128" s="208">
        <f t="shared" si="317"/>
        <v>0</v>
      </c>
      <c r="DG128" s="207">
        <f t="shared" si="318"/>
        <v>211.81444264091684</v>
      </c>
      <c r="DH128" s="207">
        <f t="shared" si="319"/>
        <v>395.14513425652467</v>
      </c>
      <c r="DI128" s="207">
        <f t="shared" si="320"/>
        <v>-395.14513425652467</v>
      </c>
      <c r="DJ128" s="209">
        <f>DE128/((1+$B$4)^(CT128-1))</f>
        <v>-183.33069161560786</v>
      </c>
      <c r="DK128" s="208">
        <f t="shared" si="337"/>
        <v>0</v>
      </c>
      <c r="DL128" s="207">
        <f t="shared" si="322"/>
        <v>4269.5185786361071</v>
      </c>
      <c r="DM128" s="207">
        <f t="shared" si="322"/>
        <v>7650.9886605307165</v>
      </c>
      <c r="DN128" s="207">
        <f t="shared" si="322"/>
        <v>-7650.9886605307165</v>
      </c>
      <c r="DO128" s="209">
        <f t="shared" si="322"/>
        <v>-3381.4700818946094</v>
      </c>
    </row>
    <row r="134" spans="2:118" x14ac:dyDescent="0.3">
      <c r="B134" s="212" t="s">
        <v>255</v>
      </c>
      <c r="C134" s="763" t="s">
        <v>408</v>
      </c>
      <c r="D134" s="269" t="s">
        <v>395</v>
      </c>
      <c r="E134" s="913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255</v>
      </c>
      <c r="AA134" s="763" t="s">
        <v>400</v>
      </c>
      <c r="AB134" s="269" t="s">
        <v>395</v>
      </c>
      <c r="AC134" s="913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255</v>
      </c>
      <c r="AY134" s="763" t="s">
        <v>401</v>
      </c>
      <c r="AZ134" s="269" t="s">
        <v>395</v>
      </c>
      <c r="BA134" s="913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255</v>
      </c>
      <c r="BW134" s="763" t="s">
        <v>402</v>
      </c>
      <c r="BX134" s="269" t="s">
        <v>395</v>
      </c>
      <c r="BY134" s="913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255</v>
      </c>
      <c r="CU134" s="763" t="s">
        <v>403</v>
      </c>
      <c r="CV134" s="269" t="s">
        <v>395</v>
      </c>
      <c r="CW134" s="913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8"/>
      <c r="F135" s="758"/>
      <c r="G135" s="758"/>
      <c r="H135" s="148"/>
      <c r="I135" s="148"/>
      <c r="J135" s="758"/>
      <c r="K135" s="148"/>
      <c r="L135" s="148"/>
      <c r="M135" s="894" t="s">
        <v>270</v>
      </c>
      <c r="N135" s="895"/>
      <c r="O135" s="895"/>
      <c r="P135" s="895"/>
      <c r="Q135" s="896"/>
      <c r="R135" s="894" t="s">
        <v>271</v>
      </c>
      <c r="S135" s="895"/>
      <c r="T135" s="895"/>
      <c r="U135" s="895"/>
      <c r="V135" s="896"/>
      <c r="Z135" s="203"/>
      <c r="AB135" s="158"/>
      <c r="AC135" s="758"/>
      <c r="AD135" s="758"/>
      <c r="AE135" s="758"/>
      <c r="AF135" s="148"/>
      <c r="AG135" s="148"/>
      <c r="AH135" s="758"/>
      <c r="AI135" s="148"/>
      <c r="AJ135" s="148"/>
      <c r="AK135" s="894" t="s">
        <v>270</v>
      </c>
      <c r="AL135" s="895"/>
      <c r="AM135" s="895"/>
      <c r="AN135" s="895"/>
      <c r="AO135" s="896"/>
      <c r="AP135" s="894" t="s">
        <v>271</v>
      </c>
      <c r="AQ135" s="895"/>
      <c r="AR135" s="895"/>
      <c r="AS135" s="895"/>
      <c r="AT135" s="896"/>
      <c r="AX135" s="203"/>
      <c r="AZ135" s="158"/>
      <c r="BA135" s="758"/>
      <c r="BB135" s="758"/>
      <c r="BC135" s="758"/>
      <c r="BD135" s="148"/>
      <c r="BE135" s="148"/>
      <c r="BF135" s="758"/>
      <c r="BG135" s="148"/>
      <c r="BH135" s="148"/>
      <c r="BI135" s="894" t="s">
        <v>270</v>
      </c>
      <c r="BJ135" s="895"/>
      <c r="BK135" s="895"/>
      <c r="BL135" s="895"/>
      <c r="BM135" s="896"/>
      <c r="BN135" s="894" t="s">
        <v>271</v>
      </c>
      <c r="BO135" s="895"/>
      <c r="BP135" s="895"/>
      <c r="BQ135" s="895"/>
      <c r="BR135" s="896"/>
      <c r="BV135" s="203"/>
      <c r="BX135" s="158"/>
      <c r="BY135" s="758"/>
      <c r="BZ135" s="758"/>
      <c r="CA135" s="758"/>
      <c r="CB135" s="148"/>
      <c r="CC135" s="148"/>
      <c r="CD135" s="758"/>
      <c r="CE135" s="148"/>
      <c r="CF135" s="148"/>
      <c r="CG135" s="894" t="s">
        <v>270</v>
      </c>
      <c r="CH135" s="895"/>
      <c r="CI135" s="895"/>
      <c r="CJ135" s="895"/>
      <c r="CK135" s="896"/>
      <c r="CL135" s="894" t="s">
        <v>271</v>
      </c>
      <c r="CM135" s="895"/>
      <c r="CN135" s="895"/>
      <c r="CO135" s="895"/>
      <c r="CP135" s="896"/>
      <c r="CT135" s="203"/>
      <c r="CV135" s="158"/>
      <c r="CW135" s="758"/>
      <c r="CX135" s="758"/>
      <c r="CY135" s="758"/>
      <c r="CZ135" s="148"/>
      <c r="DA135" s="148"/>
      <c r="DB135" s="758"/>
      <c r="DC135" s="148"/>
      <c r="DD135" s="148"/>
      <c r="DE135" s="894" t="s">
        <v>270</v>
      </c>
      <c r="DF135" s="895"/>
      <c r="DG135" s="895"/>
      <c r="DH135" s="895"/>
      <c r="DI135" s="896"/>
      <c r="DJ135" s="894" t="s">
        <v>271</v>
      </c>
      <c r="DK135" s="895"/>
      <c r="DL135" s="895"/>
      <c r="DM135" s="895"/>
      <c r="DN135" s="896"/>
    </row>
    <row r="136" spans="2:118" ht="51" x14ac:dyDescent="0.3">
      <c r="B136" s="204" t="s">
        <v>272</v>
      </c>
      <c r="C136" s="205" t="s">
        <v>289</v>
      </c>
      <c r="D136" s="205" t="s">
        <v>290</v>
      </c>
      <c r="E136" s="171" t="s">
        <v>676</v>
      </c>
      <c r="F136" s="171" t="s">
        <v>672</v>
      </c>
      <c r="G136" s="171" t="s">
        <v>677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276</v>
      </c>
      <c r="K136" s="171" t="s">
        <v>678</v>
      </c>
      <c r="L136" s="171" t="s">
        <v>679</v>
      </c>
      <c r="M136" s="195" t="s">
        <v>277</v>
      </c>
      <c r="N136" s="171" t="s">
        <v>680</v>
      </c>
      <c r="O136" s="171" t="s">
        <v>278</v>
      </c>
      <c r="P136" s="171" t="s">
        <v>681</v>
      </c>
      <c r="Q136" s="198" t="s">
        <v>279</v>
      </c>
      <c r="R136" s="195" t="s">
        <v>280</v>
      </c>
      <c r="S136" s="171" t="s">
        <v>682</v>
      </c>
      <c r="T136" s="171" t="s">
        <v>281</v>
      </c>
      <c r="U136" s="171" t="s">
        <v>683</v>
      </c>
      <c r="V136" s="198" t="s">
        <v>282</v>
      </c>
      <c r="Z136" s="204" t="s">
        <v>272</v>
      </c>
      <c r="AA136" s="205" t="s">
        <v>289</v>
      </c>
      <c r="AB136" s="205" t="s">
        <v>290</v>
      </c>
      <c r="AC136" s="171" t="s">
        <v>676</v>
      </c>
      <c r="AD136" s="171" t="s">
        <v>672</v>
      </c>
      <c r="AE136" s="171" t="s">
        <v>677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276</v>
      </c>
      <c r="AI136" s="171" t="s">
        <v>678</v>
      </c>
      <c r="AJ136" s="171" t="s">
        <v>679</v>
      </c>
      <c r="AK136" s="195" t="s">
        <v>277</v>
      </c>
      <c r="AL136" s="171" t="s">
        <v>680</v>
      </c>
      <c r="AM136" s="171" t="s">
        <v>278</v>
      </c>
      <c r="AN136" s="171" t="s">
        <v>681</v>
      </c>
      <c r="AO136" s="198" t="s">
        <v>279</v>
      </c>
      <c r="AP136" s="195" t="s">
        <v>280</v>
      </c>
      <c r="AQ136" s="171" t="s">
        <v>682</v>
      </c>
      <c r="AR136" s="171" t="s">
        <v>281</v>
      </c>
      <c r="AS136" s="171" t="s">
        <v>683</v>
      </c>
      <c r="AT136" s="198" t="s">
        <v>282</v>
      </c>
      <c r="AX136" s="204" t="s">
        <v>272</v>
      </c>
      <c r="AY136" s="205" t="s">
        <v>289</v>
      </c>
      <c r="AZ136" s="205" t="s">
        <v>290</v>
      </c>
      <c r="BA136" s="171" t="s">
        <v>676</v>
      </c>
      <c r="BB136" s="171" t="s">
        <v>672</v>
      </c>
      <c r="BC136" s="171" t="s">
        <v>677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276</v>
      </c>
      <c r="BG136" s="171" t="s">
        <v>678</v>
      </c>
      <c r="BH136" s="171" t="s">
        <v>679</v>
      </c>
      <c r="BI136" s="195" t="s">
        <v>277</v>
      </c>
      <c r="BJ136" s="171" t="s">
        <v>680</v>
      </c>
      <c r="BK136" s="171" t="s">
        <v>278</v>
      </c>
      <c r="BL136" s="171" t="s">
        <v>681</v>
      </c>
      <c r="BM136" s="198" t="s">
        <v>279</v>
      </c>
      <c r="BN136" s="195" t="s">
        <v>280</v>
      </c>
      <c r="BO136" s="171" t="s">
        <v>682</v>
      </c>
      <c r="BP136" s="171" t="s">
        <v>281</v>
      </c>
      <c r="BQ136" s="171" t="s">
        <v>683</v>
      </c>
      <c r="BR136" s="198" t="s">
        <v>282</v>
      </c>
      <c r="BV136" s="204" t="s">
        <v>272</v>
      </c>
      <c r="BW136" s="205" t="s">
        <v>289</v>
      </c>
      <c r="BX136" s="205" t="s">
        <v>290</v>
      </c>
      <c r="BY136" s="171" t="s">
        <v>676</v>
      </c>
      <c r="BZ136" s="171" t="s">
        <v>672</v>
      </c>
      <c r="CA136" s="171" t="s">
        <v>677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276</v>
      </c>
      <c r="CE136" s="171" t="s">
        <v>678</v>
      </c>
      <c r="CF136" s="171" t="s">
        <v>679</v>
      </c>
      <c r="CG136" s="195" t="s">
        <v>277</v>
      </c>
      <c r="CH136" s="171" t="s">
        <v>680</v>
      </c>
      <c r="CI136" s="171" t="s">
        <v>278</v>
      </c>
      <c r="CJ136" s="171" t="s">
        <v>681</v>
      </c>
      <c r="CK136" s="198" t="s">
        <v>279</v>
      </c>
      <c r="CL136" s="195" t="s">
        <v>280</v>
      </c>
      <c r="CM136" s="171" t="s">
        <v>682</v>
      </c>
      <c r="CN136" s="171" t="s">
        <v>281</v>
      </c>
      <c r="CO136" s="171" t="s">
        <v>683</v>
      </c>
      <c r="CP136" s="198" t="s">
        <v>282</v>
      </c>
      <c r="CT136" s="204" t="s">
        <v>272</v>
      </c>
      <c r="CU136" s="205" t="s">
        <v>289</v>
      </c>
      <c r="CV136" s="205" t="s">
        <v>290</v>
      </c>
      <c r="CW136" s="171" t="s">
        <v>676</v>
      </c>
      <c r="CX136" s="171" t="s">
        <v>672</v>
      </c>
      <c r="CY136" s="171" t="s">
        <v>677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276</v>
      </c>
      <c r="DC136" s="171" t="s">
        <v>678</v>
      </c>
      <c r="DD136" s="171" t="s">
        <v>679</v>
      </c>
      <c r="DE136" s="195" t="s">
        <v>277</v>
      </c>
      <c r="DF136" s="171" t="s">
        <v>680</v>
      </c>
      <c r="DG136" s="171" t="s">
        <v>278</v>
      </c>
      <c r="DH136" s="171" t="s">
        <v>681</v>
      </c>
      <c r="DI136" s="198" t="s">
        <v>279</v>
      </c>
      <c r="DJ136" s="195" t="s">
        <v>280</v>
      </c>
      <c r="DK136" s="171" t="s">
        <v>682</v>
      </c>
      <c r="DL136" s="171" t="s">
        <v>281</v>
      </c>
      <c r="DM136" s="171" t="s">
        <v>683</v>
      </c>
      <c r="DN136" s="198" t="s">
        <v>282</v>
      </c>
    </row>
    <row r="137" spans="2:118" x14ac:dyDescent="0.3">
      <c r="B137" s="173"/>
      <c r="C137" s="226" t="s">
        <v>332</v>
      </c>
      <c r="D137" s="226" t="s">
        <v>569</v>
      </c>
      <c r="E137" s="201" t="s">
        <v>567</v>
      </c>
      <c r="F137" s="201" t="s">
        <v>567</v>
      </c>
      <c r="G137" s="201" t="s">
        <v>567</v>
      </c>
      <c r="H137" s="201" t="s">
        <v>567</v>
      </c>
      <c r="I137" s="201" t="s">
        <v>567</v>
      </c>
      <c r="J137" s="201" t="s">
        <v>567</v>
      </c>
      <c r="K137" s="201" t="s">
        <v>567</v>
      </c>
      <c r="L137" s="202" t="s">
        <v>567</v>
      </c>
      <c r="M137" s="201" t="s">
        <v>567</v>
      </c>
      <c r="N137" s="201" t="s">
        <v>567</v>
      </c>
      <c r="O137" s="201" t="s">
        <v>567</v>
      </c>
      <c r="P137" s="201" t="s">
        <v>567</v>
      </c>
      <c r="Q137" s="202" t="s">
        <v>567</v>
      </c>
      <c r="R137" s="201" t="s">
        <v>567</v>
      </c>
      <c r="S137" s="201" t="s">
        <v>567</v>
      </c>
      <c r="T137" s="201" t="s">
        <v>567</v>
      </c>
      <c r="U137" s="201" t="s">
        <v>567</v>
      </c>
      <c r="V137" s="202" t="s">
        <v>567</v>
      </c>
      <c r="Z137" s="173"/>
      <c r="AA137" s="226" t="s">
        <v>332</v>
      </c>
      <c r="AB137" s="226" t="s">
        <v>569</v>
      </c>
      <c r="AC137" s="201" t="s">
        <v>567</v>
      </c>
      <c r="AD137" s="201" t="s">
        <v>567</v>
      </c>
      <c r="AE137" s="201" t="s">
        <v>567</v>
      </c>
      <c r="AF137" s="201" t="s">
        <v>567</v>
      </c>
      <c r="AG137" s="201" t="s">
        <v>567</v>
      </c>
      <c r="AH137" s="201" t="s">
        <v>567</v>
      </c>
      <c r="AI137" s="201" t="s">
        <v>567</v>
      </c>
      <c r="AJ137" s="202" t="s">
        <v>567</v>
      </c>
      <c r="AK137" s="201" t="s">
        <v>567</v>
      </c>
      <c r="AL137" s="201" t="s">
        <v>567</v>
      </c>
      <c r="AM137" s="201" t="s">
        <v>567</v>
      </c>
      <c r="AN137" s="201" t="s">
        <v>567</v>
      </c>
      <c r="AO137" s="202" t="s">
        <v>567</v>
      </c>
      <c r="AP137" s="201" t="s">
        <v>567</v>
      </c>
      <c r="AQ137" s="201" t="s">
        <v>567</v>
      </c>
      <c r="AR137" s="201" t="s">
        <v>567</v>
      </c>
      <c r="AS137" s="201" t="s">
        <v>567</v>
      </c>
      <c r="AT137" s="202" t="s">
        <v>567</v>
      </c>
      <c r="AX137" s="173"/>
      <c r="AY137" s="226" t="s">
        <v>332</v>
      </c>
      <c r="AZ137" s="226" t="s">
        <v>569</v>
      </c>
      <c r="BA137" s="201" t="s">
        <v>567</v>
      </c>
      <c r="BB137" s="201" t="s">
        <v>567</v>
      </c>
      <c r="BC137" s="201" t="s">
        <v>567</v>
      </c>
      <c r="BD137" s="201" t="s">
        <v>567</v>
      </c>
      <c r="BE137" s="201" t="s">
        <v>567</v>
      </c>
      <c r="BF137" s="201" t="s">
        <v>567</v>
      </c>
      <c r="BG137" s="201" t="s">
        <v>567</v>
      </c>
      <c r="BH137" s="202" t="s">
        <v>567</v>
      </c>
      <c r="BI137" s="201" t="s">
        <v>567</v>
      </c>
      <c r="BJ137" s="201" t="s">
        <v>567</v>
      </c>
      <c r="BK137" s="201" t="s">
        <v>567</v>
      </c>
      <c r="BL137" s="201" t="s">
        <v>567</v>
      </c>
      <c r="BM137" s="202" t="s">
        <v>567</v>
      </c>
      <c r="BN137" s="201" t="s">
        <v>567</v>
      </c>
      <c r="BO137" s="201" t="s">
        <v>567</v>
      </c>
      <c r="BP137" s="201" t="s">
        <v>567</v>
      </c>
      <c r="BQ137" s="201" t="s">
        <v>567</v>
      </c>
      <c r="BR137" s="202" t="s">
        <v>567</v>
      </c>
      <c r="BV137" s="173"/>
      <c r="BW137" s="226" t="s">
        <v>332</v>
      </c>
      <c r="BX137" s="226" t="s">
        <v>569</v>
      </c>
      <c r="BY137" s="201" t="s">
        <v>567</v>
      </c>
      <c r="BZ137" s="201" t="s">
        <v>567</v>
      </c>
      <c r="CA137" s="201" t="s">
        <v>567</v>
      </c>
      <c r="CB137" s="201" t="s">
        <v>567</v>
      </c>
      <c r="CC137" s="201" t="s">
        <v>567</v>
      </c>
      <c r="CD137" s="201" t="s">
        <v>567</v>
      </c>
      <c r="CE137" s="201" t="s">
        <v>567</v>
      </c>
      <c r="CF137" s="202" t="s">
        <v>567</v>
      </c>
      <c r="CG137" s="201" t="s">
        <v>567</v>
      </c>
      <c r="CH137" s="201" t="s">
        <v>567</v>
      </c>
      <c r="CI137" s="201" t="s">
        <v>567</v>
      </c>
      <c r="CJ137" s="201" t="s">
        <v>567</v>
      </c>
      <c r="CK137" s="202" t="s">
        <v>567</v>
      </c>
      <c r="CL137" s="201" t="s">
        <v>567</v>
      </c>
      <c r="CM137" s="201" t="s">
        <v>567</v>
      </c>
      <c r="CN137" s="201" t="s">
        <v>567</v>
      </c>
      <c r="CO137" s="201" t="s">
        <v>567</v>
      </c>
      <c r="CP137" s="202" t="s">
        <v>567</v>
      </c>
      <c r="CT137" s="173"/>
      <c r="CU137" s="226" t="s">
        <v>332</v>
      </c>
      <c r="CV137" s="226" t="s">
        <v>569</v>
      </c>
      <c r="CW137" s="201" t="s">
        <v>567</v>
      </c>
      <c r="CX137" s="201" t="s">
        <v>567</v>
      </c>
      <c r="CY137" s="201" t="s">
        <v>567</v>
      </c>
      <c r="CZ137" s="201" t="s">
        <v>567</v>
      </c>
      <c r="DA137" s="201" t="s">
        <v>567</v>
      </c>
      <c r="DB137" s="201" t="s">
        <v>567</v>
      </c>
      <c r="DC137" s="201" t="s">
        <v>567</v>
      </c>
      <c r="DD137" s="202" t="s">
        <v>567</v>
      </c>
      <c r="DE137" s="201" t="s">
        <v>567</v>
      </c>
      <c r="DF137" s="201" t="s">
        <v>567</v>
      </c>
      <c r="DG137" s="201" t="s">
        <v>567</v>
      </c>
      <c r="DH137" s="201" t="s">
        <v>567</v>
      </c>
      <c r="DI137" s="202" t="s">
        <v>567</v>
      </c>
      <c r="DJ137" s="201" t="s">
        <v>567</v>
      </c>
      <c r="DK137" s="201" t="s">
        <v>567</v>
      </c>
      <c r="DL137" s="201" t="s">
        <v>567</v>
      </c>
      <c r="DM137" s="201" t="s">
        <v>567</v>
      </c>
      <c r="DN137" s="202" t="s">
        <v>567</v>
      </c>
    </row>
    <row r="138" spans="2:118" x14ac:dyDescent="0.3">
      <c r="B138" s="899">
        <v>1</v>
      </c>
      <c r="C138" s="911">
        <f>'Arable Inputs'!$H$18*$E$134</f>
        <v>9.4</v>
      </c>
      <c r="D138" s="760">
        <f>'Arable Inputs'!$H$25</f>
        <v>94.285714285714292</v>
      </c>
      <c r="E138" s="762">
        <f>C138*D138</f>
        <v>886.28571428571433</v>
      </c>
      <c r="F138" s="197">
        <f>'Arable NPV'!$D117</f>
        <v>330</v>
      </c>
      <c r="G138" s="197">
        <f>E138+F138</f>
        <v>1216.2857142857142</v>
      </c>
      <c r="H138" s="197">
        <f>'Arable NPV'!$F117</f>
        <v>566.71194999999989</v>
      </c>
      <c r="I138" s="197">
        <f>'Arable NPV'!$G117</f>
        <v>691.46913599999993</v>
      </c>
      <c r="J138" s="197">
        <f>H138+I138</f>
        <v>1258.1810859999998</v>
      </c>
      <c r="K138" s="197">
        <f>E138-J138</f>
        <v>-371.89537171428549</v>
      </c>
      <c r="L138" s="197">
        <f>G138-J138</f>
        <v>-41.895371714285602</v>
      </c>
      <c r="M138" s="1033">
        <f>E138/(1+$B$4)^(B138-1)</f>
        <v>886.28571428571433</v>
      </c>
      <c r="N138" s="213">
        <f>F138/(1+$B$4)^(B138-1)</f>
        <v>330</v>
      </c>
      <c r="O138" s="213">
        <f>J138/(1+$B$4)^(B138-1)</f>
        <v>1258.1810859999998</v>
      </c>
      <c r="P138" s="213">
        <f>K138/(1+$B$4)^(B138-1)</f>
        <v>-371.89537171428549</v>
      </c>
      <c r="Q138" s="929">
        <f>L138/(1+$B$4)^(B138-1)</f>
        <v>-41.895371714285602</v>
      </c>
      <c r="R138" s="196">
        <f>M138</f>
        <v>886.28571428571433</v>
      </c>
      <c r="S138" s="197">
        <f>N138</f>
        <v>330</v>
      </c>
      <c r="T138" s="197">
        <f>O138</f>
        <v>1258.1810859999998</v>
      </c>
      <c r="U138" s="197">
        <f>P138</f>
        <v>-371.89537171428549</v>
      </c>
      <c r="V138" s="199">
        <f>Q138</f>
        <v>-41.895371714285602</v>
      </c>
      <c r="Z138" s="899">
        <v>1</v>
      </c>
      <c r="AA138" s="911">
        <f>'Arable Inputs'!$H$18*$AC$134</f>
        <v>14.100000000000001</v>
      </c>
      <c r="AB138" s="760">
        <f>'Arable Inputs'!$H$25</f>
        <v>94.285714285714292</v>
      </c>
      <c r="AC138" s="762">
        <f>AA138*AB138</f>
        <v>1329.4285714285716</v>
      </c>
      <c r="AD138" s="197">
        <f>'Arable NPV'!$D117</f>
        <v>330</v>
      </c>
      <c r="AE138" s="197">
        <f>AC138+AD138</f>
        <v>1659.4285714285716</v>
      </c>
      <c r="AF138" s="197">
        <f>'Arable NPV'!$F117</f>
        <v>566.71194999999989</v>
      </c>
      <c r="AG138" s="197">
        <f>'Arable NPV'!$G117</f>
        <v>691.46913599999993</v>
      </c>
      <c r="AH138" s="197">
        <f>AF138+AG138</f>
        <v>1258.1810859999998</v>
      </c>
      <c r="AI138" s="197">
        <f>AC138-AH138</f>
        <v>71.247485428571736</v>
      </c>
      <c r="AJ138" s="197">
        <f>AE138-AH138</f>
        <v>401.24748542857174</v>
      </c>
      <c r="AK138" s="1033">
        <f>AC138/(1+$B$4)^(Z138-1)</f>
        <v>1329.4285714285716</v>
      </c>
      <c r="AL138" s="213">
        <f>AD138/(1+$B$4)^(Z138-1)</f>
        <v>330</v>
      </c>
      <c r="AM138" s="213">
        <f>AH138/(1+$B$4)^(Z138-1)</f>
        <v>1258.1810859999998</v>
      </c>
      <c r="AN138" s="213">
        <f>AI138/(1+$B$4)^(Z138-1)</f>
        <v>71.247485428571736</v>
      </c>
      <c r="AO138" s="929">
        <f>AJ138/(1+$B$4)^(Z138-1)</f>
        <v>401.24748542857174</v>
      </c>
      <c r="AP138" s="196">
        <f>AK138</f>
        <v>1329.4285714285716</v>
      </c>
      <c r="AQ138" s="197">
        <f>AL138</f>
        <v>330</v>
      </c>
      <c r="AR138" s="197">
        <f>AM138</f>
        <v>1258.1810859999998</v>
      </c>
      <c r="AS138" s="197">
        <f>AN138</f>
        <v>71.247485428571736</v>
      </c>
      <c r="AT138" s="199">
        <f>AO138</f>
        <v>401.24748542857174</v>
      </c>
      <c r="AX138" s="899">
        <v>1</v>
      </c>
      <c r="AY138" s="911">
        <f>'Arable Inputs'!$H$18*$BA$134</f>
        <v>4.7</v>
      </c>
      <c r="AZ138" s="760">
        <f>'Arable Inputs'!$H$25</f>
        <v>94.285714285714292</v>
      </c>
      <c r="BA138" s="762">
        <f>AY138*AZ138</f>
        <v>443.14285714285717</v>
      </c>
      <c r="BB138" s="197">
        <f>'Arable NPV'!$D117</f>
        <v>330</v>
      </c>
      <c r="BC138" s="197">
        <f>BA138+BB138</f>
        <v>773.14285714285711</v>
      </c>
      <c r="BD138" s="197">
        <f>'Arable NPV'!$F117</f>
        <v>566.71194999999989</v>
      </c>
      <c r="BE138" s="197">
        <f>'Arable NPV'!$G117</f>
        <v>691.46913599999993</v>
      </c>
      <c r="BF138" s="197">
        <f>BD138+BE138</f>
        <v>1258.1810859999998</v>
      </c>
      <c r="BG138" s="197">
        <f>BA138-BF138</f>
        <v>-815.03822885714271</v>
      </c>
      <c r="BH138" s="197">
        <f>BC138-BF138</f>
        <v>-485.03822885714271</v>
      </c>
      <c r="BI138" s="1033">
        <f>BA138/(1+$B$4)^(AX138-1)</f>
        <v>443.14285714285717</v>
      </c>
      <c r="BJ138" s="213">
        <f>BB138/(1+$B$4)^(AX138-1)</f>
        <v>330</v>
      </c>
      <c r="BK138" s="213">
        <f>BF138/(1+$B$4)^(AX138-1)</f>
        <v>1258.1810859999998</v>
      </c>
      <c r="BL138" s="213">
        <f>BG138/(1+$B$4)^(AX138-1)</f>
        <v>-815.03822885714271</v>
      </c>
      <c r="BM138" s="929">
        <f>BH138/(1+$B$4)^(AX138-1)</f>
        <v>-485.03822885714271</v>
      </c>
      <c r="BN138" s="196">
        <f>BI138</f>
        <v>443.14285714285717</v>
      </c>
      <c r="BO138" s="197">
        <f>BJ138</f>
        <v>330</v>
      </c>
      <c r="BP138" s="197">
        <f>BK138</f>
        <v>1258.1810859999998</v>
      </c>
      <c r="BQ138" s="197">
        <f>BL138</f>
        <v>-815.03822885714271</v>
      </c>
      <c r="BR138" s="199">
        <f>BM138</f>
        <v>-485.03822885714271</v>
      </c>
      <c r="BV138" s="899">
        <v>1</v>
      </c>
      <c r="BW138" s="911">
        <f>'Arable Inputs'!$H$18*$BY$134</f>
        <v>18.8</v>
      </c>
      <c r="BX138" s="760">
        <f>'Arable Inputs'!$H$25</f>
        <v>94.285714285714292</v>
      </c>
      <c r="BY138" s="762">
        <f>BW138*BX138</f>
        <v>1772.5714285714287</v>
      </c>
      <c r="BZ138" s="197">
        <f>'Arable NPV'!$D117</f>
        <v>330</v>
      </c>
      <c r="CA138" s="197">
        <f>BY138+BZ138</f>
        <v>2102.5714285714284</v>
      </c>
      <c r="CB138" s="197">
        <f>'Arable NPV'!$F117</f>
        <v>566.71194999999989</v>
      </c>
      <c r="CC138" s="197">
        <f>'Arable NPV'!$G117</f>
        <v>691.46913599999993</v>
      </c>
      <c r="CD138" s="197">
        <f>CB138+CC138</f>
        <v>1258.1810859999998</v>
      </c>
      <c r="CE138" s="197">
        <f>BY138-CD138</f>
        <v>514.39034257142885</v>
      </c>
      <c r="CF138" s="197">
        <f>CA138-CD138</f>
        <v>844.39034257142862</v>
      </c>
      <c r="CG138" s="1033">
        <f>BY138/(1+$B$4)^(BV138-1)</f>
        <v>1772.5714285714287</v>
      </c>
      <c r="CH138" s="213">
        <f>BZ138/(1+$B$4)^(BV138-1)</f>
        <v>330</v>
      </c>
      <c r="CI138" s="213">
        <f>CD138/(1+$B$4)^(BV138-1)</f>
        <v>1258.1810859999998</v>
      </c>
      <c r="CJ138" s="213">
        <f>CE138/(1+$B$4)^(BV138-1)</f>
        <v>514.39034257142885</v>
      </c>
      <c r="CK138" s="929">
        <f>CF138/(1+$B$4)^(BV138-1)</f>
        <v>844.39034257142862</v>
      </c>
      <c r="CL138" s="196">
        <f>CG138</f>
        <v>1772.5714285714287</v>
      </c>
      <c r="CM138" s="197">
        <f>CH138</f>
        <v>330</v>
      </c>
      <c r="CN138" s="197">
        <f>CI138</f>
        <v>1258.1810859999998</v>
      </c>
      <c r="CO138" s="197">
        <f>CJ138</f>
        <v>514.39034257142885</v>
      </c>
      <c r="CP138" s="199">
        <f>CK138</f>
        <v>844.39034257142862</v>
      </c>
      <c r="CT138" s="899">
        <v>1</v>
      </c>
      <c r="CU138" s="911">
        <f>'Arable Inputs'!$H$18*$CW$134</f>
        <v>0</v>
      </c>
      <c r="CV138" s="760">
        <f>'Arable Inputs'!$H$25</f>
        <v>94.285714285714292</v>
      </c>
      <c r="CW138" s="762">
        <f>CU138*CV138</f>
        <v>0</v>
      </c>
      <c r="CX138" s="197">
        <f>'Arable NPV'!$D117</f>
        <v>330</v>
      </c>
      <c r="CY138" s="197">
        <f>CW138+CX138</f>
        <v>330</v>
      </c>
      <c r="CZ138" s="197">
        <f>'Arable NPV'!$F117</f>
        <v>566.71194999999989</v>
      </c>
      <c r="DA138" s="197">
        <f>'Arable NPV'!$G117</f>
        <v>691.46913599999993</v>
      </c>
      <c r="DB138" s="197">
        <f>CZ138+DA138</f>
        <v>1258.1810859999998</v>
      </c>
      <c r="DC138" s="197">
        <f>CW138-DB138</f>
        <v>-1258.1810859999998</v>
      </c>
      <c r="DD138" s="197">
        <f>CY138-DB138</f>
        <v>-928.18108599999982</v>
      </c>
      <c r="DE138" s="1033">
        <f>CW138/(1+$B$4)^(CT138-1)</f>
        <v>0</v>
      </c>
      <c r="DF138" s="213">
        <f>CX138/(1+$B$4)^(CT138-1)</f>
        <v>330</v>
      </c>
      <c r="DG138" s="213">
        <f>DB138/(1+$B$4)^(CT138-1)</f>
        <v>1258.1810859999998</v>
      </c>
      <c r="DH138" s="213">
        <f>DC138/(1+$B$4)^(CT138-1)</f>
        <v>-1258.1810859999998</v>
      </c>
      <c r="DI138" s="929">
        <f>DD138/(1+$B$4)^(CT138-1)</f>
        <v>-928.18108599999982</v>
      </c>
      <c r="DJ138" s="196">
        <f>DE138</f>
        <v>0</v>
      </c>
      <c r="DK138" s="197">
        <f>DF138</f>
        <v>330</v>
      </c>
      <c r="DL138" s="197">
        <f>DG138</f>
        <v>1258.1810859999998</v>
      </c>
      <c r="DM138" s="197">
        <f>DH138</f>
        <v>-1258.1810859999998</v>
      </c>
      <c r="DN138" s="199">
        <f>DI138</f>
        <v>-928.18108599999982</v>
      </c>
    </row>
    <row r="139" spans="2:118" x14ac:dyDescent="0.3">
      <c r="B139" s="900">
        <v>2</v>
      </c>
      <c r="C139" s="911">
        <f>'Arable Inputs'!$H$18*$E$134</f>
        <v>9.4</v>
      </c>
      <c r="D139" s="760">
        <f>'Arable Inputs'!$H$25</f>
        <v>94.285714285714292</v>
      </c>
      <c r="E139" s="762">
        <f t="shared" ref="E139:E153" si="338">C139*D139</f>
        <v>886.28571428571433</v>
      </c>
      <c r="F139" s="197">
        <f>'Arable NPV'!$D118</f>
        <v>330</v>
      </c>
      <c r="G139" s="197">
        <f>E139+F139</f>
        <v>1216.2857142857142</v>
      </c>
      <c r="H139" s="197">
        <f>'Arable NPV'!$F118</f>
        <v>566.71194999999989</v>
      </c>
      <c r="I139" s="197">
        <f>'Arable NPV'!$G118</f>
        <v>691.46913599999993</v>
      </c>
      <c r="J139" s="197">
        <f>H139+I139</f>
        <v>1258.1810859999998</v>
      </c>
      <c r="K139" s="197">
        <f t="shared" ref="K139:K153" si="339">E139-J139</f>
        <v>-371.89537171428549</v>
      </c>
      <c r="L139" s="197">
        <f t="shared" ref="L139:L153" si="340">G139-J139</f>
        <v>-41.895371714285602</v>
      </c>
      <c r="M139" s="196">
        <f t="shared" ref="M139:M153" si="341">E139/(1+$B$4)^(B139-1)</f>
        <v>860.47156726768378</v>
      </c>
      <c r="N139" s="197">
        <f t="shared" ref="N139:N153" si="342">F139/(1+$B$4)^(B139-1)</f>
        <v>320.38834951456312</v>
      </c>
      <c r="O139" s="197">
        <f t="shared" ref="O139:O153" si="343">J139/(1+$B$4)^(B139-1)</f>
        <v>1221.5350349514561</v>
      </c>
      <c r="P139" s="197">
        <f t="shared" ref="P139:P153" si="344">K139/(1+$B$4)^(B139-1)</f>
        <v>-361.06346768377233</v>
      </c>
      <c r="Q139" s="199">
        <f t="shared" ref="Q139:Q153" si="345">L139/(1+$B$4)^(B139-1)</f>
        <v>-40.67511816920932</v>
      </c>
      <c r="R139" s="196">
        <f t="shared" ref="R139:V153" si="346">R138+M139</f>
        <v>1746.7572815533981</v>
      </c>
      <c r="S139" s="197">
        <f t="shared" si="346"/>
        <v>650.38834951456306</v>
      </c>
      <c r="T139" s="197">
        <f t="shared" si="346"/>
        <v>2479.7161209514561</v>
      </c>
      <c r="U139" s="197">
        <f t="shared" si="346"/>
        <v>-732.95883939805776</v>
      </c>
      <c r="V139" s="199">
        <f t="shared" si="346"/>
        <v>-82.570489883494929</v>
      </c>
      <c r="Z139" s="900">
        <v>2</v>
      </c>
      <c r="AA139" s="911">
        <f>'Arable Inputs'!$H$18*$AC$134</f>
        <v>14.100000000000001</v>
      </c>
      <c r="AB139" s="760">
        <f>'Arable Inputs'!$H$25</f>
        <v>94.285714285714292</v>
      </c>
      <c r="AC139" s="762">
        <f t="shared" ref="AC139:AC153" si="347">AA139*AB139</f>
        <v>1329.4285714285716</v>
      </c>
      <c r="AD139" s="197">
        <f>'Arable NPV'!$D118</f>
        <v>330</v>
      </c>
      <c r="AE139" s="197">
        <f>AC139+AD139</f>
        <v>1659.4285714285716</v>
      </c>
      <c r="AF139" s="197">
        <f>'Arable NPV'!$F118</f>
        <v>566.71194999999989</v>
      </c>
      <c r="AG139" s="197">
        <f>'Arable NPV'!$G118</f>
        <v>691.46913599999993</v>
      </c>
      <c r="AH139" s="197">
        <f>AF139+AG139</f>
        <v>1258.1810859999998</v>
      </c>
      <c r="AI139" s="197">
        <f t="shared" ref="AI139:AI153" si="348">AC139-AH139</f>
        <v>71.247485428571736</v>
      </c>
      <c r="AJ139" s="197">
        <f t="shared" ref="AJ139:AJ153" si="349">AE139-AH139</f>
        <v>401.24748542857174</v>
      </c>
      <c r="AK139" s="196">
        <f t="shared" ref="AK139:AK153" si="350">AC139/(1+$B$4)^(Z139-1)</f>
        <v>1290.7073509015258</v>
      </c>
      <c r="AL139" s="197">
        <f t="shared" ref="AL139:AL153" si="351">AD139/(1+$B$4)^(Z139-1)</f>
        <v>320.38834951456312</v>
      </c>
      <c r="AM139" s="197">
        <f t="shared" ref="AM139:AM153" si="352">AH139/(1+$B$4)^(Z139-1)</f>
        <v>1221.5350349514561</v>
      </c>
      <c r="AN139" s="197">
        <f t="shared" ref="AN139:AN153" si="353">AI139/(1+$B$4)^(Z139-1)</f>
        <v>69.172315950069645</v>
      </c>
      <c r="AO139" s="199">
        <f t="shared" ref="AO139:AO153" si="354">AJ139/(1+$B$4)^(Z139-1)</f>
        <v>389.56066546463273</v>
      </c>
      <c r="AP139" s="196">
        <f t="shared" ref="AP139:AP153" si="355">AP138+AK139</f>
        <v>2620.1359223300974</v>
      </c>
      <c r="AQ139" s="197">
        <f t="shared" ref="AQ139:AQ153" si="356">AQ138+AL139</f>
        <v>650.38834951456306</v>
      </c>
      <c r="AR139" s="197">
        <f t="shared" ref="AR139:AR153" si="357">AR138+AM139</f>
        <v>2479.7161209514561</v>
      </c>
      <c r="AS139" s="197">
        <f t="shared" ref="AS139:AS153" si="358">AS138+AN139</f>
        <v>140.41980137864138</v>
      </c>
      <c r="AT139" s="199">
        <f t="shared" ref="AT139:AT153" si="359">AT138+AO139</f>
        <v>790.80815089320447</v>
      </c>
      <c r="AX139" s="900">
        <v>2</v>
      </c>
      <c r="AY139" s="911">
        <f>'Arable Inputs'!$H$18*$BA$134</f>
        <v>4.7</v>
      </c>
      <c r="AZ139" s="760">
        <f>'Arable Inputs'!$H$25</f>
        <v>94.285714285714292</v>
      </c>
      <c r="BA139" s="762">
        <f t="shared" ref="BA139:BA153" si="360">AY139*AZ139</f>
        <v>443.14285714285717</v>
      </c>
      <c r="BB139" s="197">
        <f>'Arable NPV'!$D118</f>
        <v>330</v>
      </c>
      <c r="BC139" s="197">
        <f>BA139+BB139</f>
        <v>773.14285714285711</v>
      </c>
      <c r="BD139" s="197">
        <f>'Arable NPV'!$F118</f>
        <v>566.71194999999989</v>
      </c>
      <c r="BE139" s="197">
        <f>'Arable NPV'!$G118</f>
        <v>691.46913599999993</v>
      </c>
      <c r="BF139" s="197">
        <f>BD139+BE139</f>
        <v>1258.1810859999998</v>
      </c>
      <c r="BG139" s="197">
        <f t="shared" ref="BG139:BG153" si="361">BA139-BF139</f>
        <v>-815.03822885714271</v>
      </c>
      <c r="BH139" s="197">
        <f t="shared" ref="BH139:BH153" si="362">BC139-BF139</f>
        <v>-485.03822885714271</v>
      </c>
      <c r="BI139" s="196">
        <f t="shared" ref="BI139:BI153" si="363">BA139/(1+$B$4)^(AX139-1)</f>
        <v>430.23578363384189</v>
      </c>
      <c r="BJ139" s="197">
        <f t="shared" ref="BJ139:BJ153" si="364">BB139/(1+$B$4)^(AX139-1)</f>
        <v>320.38834951456312</v>
      </c>
      <c r="BK139" s="197">
        <f t="shared" ref="BK139:BK153" si="365">BF139/(1+$B$4)^(AX139-1)</f>
        <v>1221.5350349514561</v>
      </c>
      <c r="BL139" s="197">
        <f t="shared" ref="BL139:BL153" si="366">BG139/(1+$B$4)^(AX139-1)</f>
        <v>-791.29925131761422</v>
      </c>
      <c r="BM139" s="199">
        <f t="shared" ref="BM139:BM153" si="367">BH139/(1+$B$4)^(AX139-1)</f>
        <v>-470.91090180305116</v>
      </c>
      <c r="BN139" s="196">
        <f t="shared" ref="BN139:BN153" si="368">BN138+BI139</f>
        <v>873.37864077669906</v>
      </c>
      <c r="BO139" s="197">
        <f t="shared" ref="BO139:BO153" si="369">BO138+BJ139</f>
        <v>650.38834951456306</v>
      </c>
      <c r="BP139" s="197">
        <f t="shared" ref="BP139:BP153" si="370">BP138+BK139</f>
        <v>2479.7161209514561</v>
      </c>
      <c r="BQ139" s="197">
        <f t="shared" ref="BQ139:BQ153" si="371">BQ138+BL139</f>
        <v>-1606.3374801747568</v>
      </c>
      <c r="BR139" s="199">
        <f t="shared" ref="BR139:BR153" si="372">BR138+BM139</f>
        <v>-955.94913066019387</v>
      </c>
      <c r="BV139" s="900">
        <v>2</v>
      </c>
      <c r="BW139" s="911">
        <f>'Arable Inputs'!$H$18*$BY$134</f>
        <v>18.8</v>
      </c>
      <c r="BX139" s="760">
        <f>'Arable Inputs'!$H$25</f>
        <v>94.285714285714292</v>
      </c>
      <c r="BY139" s="762">
        <f t="shared" ref="BY139:BY153" si="373">BW139*BX139</f>
        <v>1772.5714285714287</v>
      </c>
      <c r="BZ139" s="197">
        <f>'Arable NPV'!$D118</f>
        <v>330</v>
      </c>
      <c r="CA139" s="197">
        <f>BY139+BZ139</f>
        <v>2102.5714285714284</v>
      </c>
      <c r="CB139" s="197">
        <f>'Arable NPV'!$F118</f>
        <v>566.71194999999989</v>
      </c>
      <c r="CC139" s="197">
        <f>'Arable NPV'!$G118</f>
        <v>691.46913599999993</v>
      </c>
      <c r="CD139" s="197">
        <f>CB139+CC139</f>
        <v>1258.1810859999998</v>
      </c>
      <c r="CE139" s="197">
        <f t="shared" ref="CE139:CE153" si="374">BY139-CD139</f>
        <v>514.39034257142885</v>
      </c>
      <c r="CF139" s="197">
        <f t="shared" ref="CF139:CF153" si="375">CA139-CD139</f>
        <v>844.39034257142862</v>
      </c>
      <c r="CG139" s="196">
        <f t="shared" ref="CG139:CG153" si="376">BY139/(1+$B$4)^(BV139-1)</f>
        <v>1720.9431345353676</v>
      </c>
      <c r="CH139" s="197">
        <f t="shared" ref="CH139:CH153" si="377">BZ139/(1+$B$4)^(BV139-1)</f>
        <v>320.38834951456312</v>
      </c>
      <c r="CI139" s="197">
        <f t="shared" ref="CI139:CI153" si="378">CD139/(1+$B$4)^(BV139-1)</f>
        <v>1221.5350349514561</v>
      </c>
      <c r="CJ139" s="197">
        <f t="shared" ref="CJ139:CJ153" si="379">CE139/(1+$B$4)^(BV139-1)</f>
        <v>499.40809958391151</v>
      </c>
      <c r="CK139" s="199">
        <f t="shared" ref="CK139:CK153" si="380">CF139/(1+$B$4)^(BV139-1)</f>
        <v>819.79644909847434</v>
      </c>
      <c r="CL139" s="196">
        <f t="shared" ref="CL139:CL153" si="381">CL138+CG139</f>
        <v>3493.5145631067962</v>
      </c>
      <c r="CM139" s="197">
        <f t="shared" ref="CM139:CM153" si="382">CM138+CH139</f>
        <v>650.38834951456306</v>
      </c>
      <c r="CN139" s="197">
        <f t="shared" ref="CN139:CN153" si="383">CN138+CI139</f>
        <v>2479.7161209514561</v>
      </c>
      <c r="CO139" s="197">
        <f t="shared" ref="CO139:CO153" si="384">CO138+CJ139</f>
        <v>1013.7984421553404</v>
      </c>
      <c r="CP139" s="199">
        <f t="shared" ref="CP139:CP153" si="385">CP138+CK139</f>
        <v>1664.186791669903</v>
      </c>
      <c r="CT139" s="900">
        <v>2</v>
      </c>
      <c r="CU139" s="911">
        <f>'Arable Inputs'!$H$18*$CW$134</f>
        <v>0</v>
      </c>
      <c r="CV139" s="760">
        <f>'Arable Inputs'!$H$25</f>
        <v>94.285714285714292</v>
      </c>
      <c r="CW139" s="762">
        <f t="shared" ref="CW139:CW153" si="386">CU139*CV139</f>
        <v>0</v>
      </c>
      <c r="CX139" s="197">
        <f>'Arable NPV'!$D118</f>
        <v>330</v>
      </c>
      <c r="CY139" s="197">
        <f>CW139+CX139</f>
        <v>330</v>
      </c>
      <c r="CZ139" s="197">
        <f>'Arable NPV'!$F118</f>
        <v>566.71194999999989</v>
      </c>
      <c r="DA139" s="197">
        <f>'Arable NPV'!$G118</f>
        <v>691.46913599999993</v>
      </c>
      <c r="DB139" s="197">
        <f>CZ139+DA139</f>
        <v>1258.1810859999998</v>
      </c>
      <c r="DC139" s="197">
        <f t="shared" ref="DC139:DC153" si="387">CW139-DB139</f>
        <v>-1258.1810859999998</v>
      </c>
      <c r="DD139" s="197">
        <f t="shared" ref="DD139:DD153" si="388">CY139-DB139</f>
        <v>-928.18108599999982</v>
      </c>
      <c r="DE139" s="196">
        <f t="shared" ref="DE139:DE153" si="389">CW139/(1+$B$4)^(CT139-1)</f>
        <v>0</v>
      </c>
      <c r="DF139" s="197">
        <f t="shared" ref="DF139:DF153" si="390">CX139/(1+$B$4)^(CT139-1)</f>
        <v>320.38834951456312</v>
      </c>
      <c r="DG139" s="197">
        <f t="shared" ref="DG139:DG153" si="391">DB139/(1+$B$4)^(CT139-1)</f>
        <v>1221.5350349514561</v>
      </c>
      <c r="DH139" s="197">
        <f t="shared" ref="DH139:DH153" si="392">DC139/(1+$B$4)^(CT139-1)</f>
        <v>-1221.5350349514561</v>
      </c>
      <c r="DI139" s="199">
        <f t="shared" ref="DI139:DI153" si="393">DD139/(1+$B$4)^(CT139-1)</f>
        <v>-901.14668543689299</v>
      </c>
      <c r="DJ139" s="196">
        <f t="shared" ref="DJ139:DJ153" si="394">DJ138+DE139</f>
        <v>0</v>
      </c>
      <c r="DK139" s="197">
        <f t="shared" ref="DK139:DK153" si="395">DK138+DF139</f>
        <v>650.38834951456306</v>
      </c>
      <c r="DL139" s="197">
        <f t="shared" ref="DL139:DL153" si="396">DL138+DG139</f>
        <v>2479.7161209514561</v>
      </c>
      <c r="DM139" s="197">
        <f t="shared" ref="DM139:DM153" si="397">DM138+DH139</f>
        <v>-2479.7161209514561</v>
      </c>
      <c r="DN139" s="199">
        <f t="shared" ref="DN139:DN153" si="398">DN138+DI139</f>
        <v>-1829.3277714368928</v>
      </c>
    </row>
    <row r="140" spans="2:118" x14ac:dyDescent="0.3">
      <c r="B140" s="900">
        <v>3</v>
      </c>
      <c r="C140" s="911">
        <f>'Arable Inputs'!$H$18*$E$134</f>
        <v>9.4</v>
      </c>
      <c r="D140" s="760">
        <f>'Arable Inputs'!$H$25</f>
        <v>94.285714285714292</v>
      </c>
      <c r="E140" s="762">
        <f t="shared" si="338"/>
        <v>886.28571428571433</v>
      </c>
      <c r="F140" s="197">
        <f>'Arable NPV'!$D119</f>
        <v>330</v>
      </c>
      <c r="G140" s="197">
        <f t="shared" ref="G140:G152" si="399">E140+F140</f>
        <v>1216.2857142857142</v>
      </c>
      <c r="H140" s="197">
        <f>'Arable NPV'!$F119</f>
        <v>566.71194999999989</v>
      </c>
      <c r="I140" s="197">
        <f>'Arable NPV'!$G119</f>
        <v>691.46913599999993</v>
      </c>
      <c r="J140" s="197">
        <f t="shared" ref="J140:J153" si="400">H140+I140</f>
        <v>1258.1810859999998</v>
      </c>
      <c r="K140" s="197">
        <f t="shared" si="339"/>
        <v>-371.89537171428549</v>
      </c>
      <c r="L140" s="197">
        <f t="shared" si="340"/>
        <v>-41.895371714285602</v>
      </c>
      <c r="M140" s="196">
        <f t="shared" si="341"/>
        <v>835.40928860940176</v>
      </c>
      <c r="N140" s="197">
        <f t="shared" si="342"/>
        <v>311.05665001413894</v>
      </c>
      <c r="O140" s="197">
        <f t="shared" si="343"/>
        <v>1185.9563446130642</v>
      </c>
      <c r="P140" s="197">
        <f t="shared" si="344"/>
        <v>-350.54705600366248</v>
      </c>
      <c r="Q140" s="199">
        <f t="shared" si="345"/>
        <v>-39.490405989523616</v>
      </c>
      <c r="R140" s="196">
        <f t="shared" si="346"/>
        <v>2582.1665701627999</v>
      </c>
      <c r="S140" s="197">
        <f t="shared" si="346"/>
        <v>961.44499952870206</v>
      </c>
      <c r="T140" s="197">
        <f t="shared" si="346"/>
        <v>3665.6724655645203</v>
      </c>
      <c r="U140" s="197">
        <f t="shared" si="346"/>
        <v>-1083.5058954017202</v>
      </c>
      <c r="V140" s="199">
        <f t="shared" si="346"/>
        <v>-122.06089587301855</v>
      </c>
      <c r="Z140" s="900">
        <v>3</v>
      </c>
      <c r="AA140" s="911">
        <f>'Arable Inputs'!$H$18*$AC$134</f>
        <v>14.100000000000001</v>
      </c>
      <c r="AB140" s="760">
        <f>'Arable Inputs'!$H$25</f>
        <v>94.285714285714292</v>
      </c>
      <c r="AC140" s="762">
        <f t="shared" si="347"/>
        <v>1329.4285714285716</v>
      </c>
      <c r="AD140" s="197">
        <f>'Arable NPV'!$D119</f>
        <v>330</v>
      </c>
      <c r="AE140" s="197">
        <f t="shared" ref="AE140:AE152" si="401">AC140+AD140</f>
        <v>1659.4285714285716</v>
      </c>
      <c r="AF140" s="197">
        <f>'Arable NPV'!$F119</f>
        <v>566.71194999999989</v>
      </c>
      <c r="AG140" s="197">
        <f>'Arable NPV'!$G119</f>
        <v>691.46913599999993</v>
      </c>
      <c r="AH140" s="197">
        <f t="shared" ref="AH140:AH153" si="402">AF140+AG140</f>
        <v>1258.1810859999998</v>
      </c>
      <c r="AI140" s="197">
        <f t="shared" si="348"/>
        <v>71.247485428571736</v>
      </c>
      <c r="AJ140" s="197">
        <f t="shared" si="349"/>
        <v>401.24748542857174</v>
      </c>
      <c r="AK140" s="196">
        <f t="shared" si="350"/>
        <v>1253.1139329141029</v>
      </c>
      <c r="AL140" s="197">
        <f t="shared" si="351"/>
        <v>311.05665001413894</v>
      </c>
      <c r="AM140" s="197">
        <f t="shared" si="352"/>
        <v>1185.9563446130642</v>
      </c>
      <c r="AN140" s="197">
        <f t="shared" si="353"/>
        <v>67.157588301038501</v>
      </c>
      <c r="AO140" s="199">
        <f t="shared" si="354"/>
        <v>378.21423831517745</v>
      </c>
      <c r="AP140" s="196">
        <f t="shared" si="355"/>
        <v>3873.2498552442003</v>
      </c>
      <c r="AQ140" s="197">
        <f t="shared" si="356"/>
        <v>961.44499952870206</v>
      </c>
      <c r="AR140" s="197">
        <f t="shared" si="357"/>
        <v>3665.6724655645203</v>
      </c>
      <c r="AS140" s="197">
        <f t="shared" si="358"/>
        <v>207.57738967967987</v>
      </c>
      <c r="AT140" s="199">
        <f t="shared" si="359"/>
        <v>1169.0223892083818</v>
      </c>
      <c r="AX140" s="900">
        <v>3</v>
      </c>
      <c r="AY140" s="911">
        <f>'Arable Inputs'!$H$18*$BA$134</f>
        <v>4.7</v>
      </c>
      <c r="AZ140" s="760">
        <f>'Arable Inputs'!$H$25</f>
        <v>94.285714285714292</v>
      </c>
      <c r="BA140" s="762">
        <f t="shared" si="360"/>
        <v>443.14285714285717</v>
      </c>
      <c r="BB140" s="197">
        <f>'Arable NPV'!$D119</f>
        <v>330</v>
      </c>
      <c r="BC140" s="197">
        <f t="shared" ref="BC140:BC152" si="403">BA140+BB140</f>
        <v>773.14285714285711</v>
      </c>
      <c r="BD140" s="197">
        <f>'Arable NPV'!$F119</f>
        <v>566.71194999999989</v>
      </c>
      <c r="BE140" s="197">
        <f>'Arable NPV'!$G119</f>
        <v>691.46913599999993</v>
      </c>
      <c r="BF140" s="197">
        <f t="shared" ref="BF140:BF153" si="404">BD140+BE140</f>
        <v>1258.1810859999998</v>
      </c>
      <c r="BG140" s="197">
        <f t="shared" si="361"/>
        <v>-815.03822885714271</v>
      </c>
      <c r="BH140" s="197">
        <f t="shared" si="362"/>
        <v>-485.03822885714271</v>
      </c>
      <c r="BI140" s="196">
        <f t="shared" si="363"/>
        <v>417.70464430470088</v>
      </c>
      <c r="BJ140" s="197">
        <f t="shared" si="364"/>
        <v>311.05665001413894</v>
      </c>
      <c r="BK140" s="197">
        <f t="shared" si="365"/>
        <v>1185.9563446130642</v>
      </c>
      <c r="BL140" s="197">
        <f t="shared" si="366"/>
        <v>-768.25170030836341</v>
      </c>
      <c r="BM140" s="199">
        <f t="shared" si="367"/>
        <v>-457.19505029422447</v>
      </c>
      <c r="BN140" s="196">
        <f t="shared" si="368"/>
        <v>1291.0832850813999</v>
      </c>
      <c r="BO140" s="197">
        <f t="shared" si="369"/>
        <v>961.44499952870206</v>
      </c>
      <c r="BP140" s="197">
        <f t="shared" si="370"/>
        <v>3665.6724655645203</v>
      </c>
      <c r="BQ140" s="197">
        <f t="shared" si="371"/>
        <v>-2374.5891804831203</v>
      </c>
      <c r="BR140" s="199">
        <f t="shared" si="372"/>
        <v>-1413.1441809544183</v>
      </c>
      <c r="BV140" s="900">
        <v>3</v>
      </c>
      <c r="BW140" s="911">
        <f>'Arable Inputs'!$H$18*$BY$134</f>
        <v>18.8</v>
      </c>
      <c r="BX140" s="760">
        <f>'Arable Inputs'!$H$25</f>
        <v>94.285714285714292</v>
      </c>
      <c r="BY140" s="762">
        <f t="shared" si="373"/>
        <v>1772.5714285714287</v>
      </c>
      <c r="BZ140" s="197">
        <f>'Arable NPV'!$D119</f>
        <v>330</v>
      </c>
      <c r="CA140" s="197">
        <f t="shared" ref="CA140:CA152" si="405">BY140+BZ140</f>
        <v>2102.5714285714284</v>
      </c>
      <c r="CB140" s="197">
        <f>'Arable NPV'!$F119</f>
        <v>566.71194999999989</v>
      </c>
      <c r="CC140" s="197">
        <f>'Arable NPV'!$G119</f>
        <v>691.46913599999993</v>
      </c>
      <c r="CD140" s="197">
        <f t="shared" ref="CD140:CD153" si="406">CB140+CC140</f>
        <v>1258.1810859999998</v>
      </c>
      <c r="CE140" s="197">
        <f t="shared" si="374"/>
        <v>514.39034257142885</v>
      </c>
      <c r="CF140" s="197">
        <f t="shared" si="375"/>
        <v>844.39034257142862</v>
      </c>
      <c r="CG140" s="196">
        <f t="shared" si="376"/>
        <v>1670.8185772188035</v>
      </c>
      <c r="CH140" s="197">
        <f t="shared" si="377"/>
        <v>311.05665001413894</v>
      </c>
      <c r="CI140" s="197">
        <f t="shared" si="378"/>
        <v>1185.9563446130642</v>
      </c>
      <c r="CJ140" s="197">
        <f t="shared" si="379"/>
        <v>484.86223260573934</v>
      </c>
      <c r="CK140" s="199">
        <f t="shared" si="380"/>
        <v>795.9188826198781</v>
      </c>
      <c r="CL140" s="196">
        <f t="shared" si="381"/>
        <v>5164.3331403255997</v>
      </c>
      <c r="CM140" s="197">
        <f t="shared" si="382"/>
        <v>961.44499952870206</v>
      </c>
      <c r="CN140" s="197">
        <f t="shared" si="383"/>
        <v>3665.6724655645203</v>
      </c>
      <c r="CO140" s="197">
        <f t="shared" si="384"/>
        <v>1498.6606747610797</v>
      </c>
      <c r="CP140" s="199">
        <f t="shared" si="385"/>
        <v>2460.1056742897808</v>
      </c>
      <c r="CT140" s="900">
        <v>3</v>
      </c>
      <c r="CU140" s="911">
        <f>'Arable Inputs'!$H$18*$CW$134</f>
        <v>0</v>
      </c>
      <c r="CV140" s="760">
        <f>'Arable Inputs'!$H$25</f>
        <v>94.285714285714292</v>
      </c>
      <c r="CW140" s="762">
        <f t="shared" si="386"/>
        <v>0</v>
      </c>
      <c r="CX140" s="197">
        <f>'Arable NPV'!$D119</f>
        <v>330</v>
      </c>
      <c r="CY140" s="197">
        <f t="shared" ref="CY140:CY152" si="407">CW140+CX140</f>
        <v>330</v>
      </c>
      <c r="CZ140" s="197">
        <f>'Arable NPV'!$F119</f>
        <v>566.71194999999989</v>
      </c>
      <c r="DA140" s="197">
        <f>'Arable NPV'!$G119</f>
        <v>691.46913599999993</v>
      </c>
      <c r="DB140" s="197">
        <f t="shared" ref="DB140:DB153" si="408">CZ140+DA140</f>
        <v>1258.1810859999998</v>
      </c>
      <c r="DC140" s="197">
        <f t="shared" si="387"/>
        <v>-1258.1810859999998</v>
      </c>
      <c r="DD140" s="197">
        <f t="shared" si="388"/>
        <v>-928.18108599999982</v>
      </c>
      <c r="DE140" s="196">
        <f t="shared" si="389"/>
        <v>0</v>
      </c>
      <c r="DF140" s="197">
        <f t="shared" si="390"/>
        <v>311.05665001413894</v>
      </c>
      <c r="DG140" s="197">
        <f t="shared" si="391"/>
        <v>1185.9563446130642</v>
      </c>
      <c r="DH140" s="197">
        <f t="shared" si="392"/>
        <v>-1185.9563446130642</v>
      </c>
      <c r="DI140" s="199">
        <f t="shared" si="393"/>
        <v>-874.89969459892529</v>
      </c>
      <c r="DJ140" s="196">
        <f t="shared" si="394"/>
        <v>0</v>
      </c>
      <c r="DK140" s="197">
        <f t="shared" si="395"/>
        <v>961.44499952870206</v>
      </c>
      <c r="DL140" s="197">
        <f t="shared" si="396"/>
        <v>3665.6724655645203</v>
      </c>
      <c r="DM140" s="197">
        <f t="shared" si="397"/>
        <v>-3665.6724655645203</v>
      </c>
      <c r="DN140" s="199">
        <f t="shared" si="398"/>
        <v>-2704.227466035818</v>
      </c>
    </row>
    <row r="141" spans="2:118" x14ac:dyDescent="0.3">
      <c r="B141" s="900">
        <v>4</v>
      </c>
      <c r="C141" s="911">
        <f>'Arable Inputs'!$H$18*$E$134</f>
        <v>9.4</v>
      </c>
      <c r="D141" s="760">
        <f>'Arable Inputs'!$H$25</f>
        <v>94.285714285714292</v>
      </c>
      <c r="E141" s="762">
        <f t="shared" si="338"/>
        <v>886.28571428571433</v>
      </c>
      <c r="F141" s="197">
        <f>'Arable NPV'!$D120</f>
        <v>330</v>
      </c>
      <c r="G141" s="197">
        <f t="shared" si="399"/>
        <v>1216.2857142857142</v>
      </c>
      <c r="H141" s="197">
        <f>'Arable NPV'!$F120</f>
        <v>566.71194999999989</v>
      </c>
      <c r="I141" s="197">
        <f>'Arable NPV'!$G120</f>
        <v>691.46913599999993</v>
      </c>
      <c r="J141" s="197">
        <f t="shared" si="400"/>
        <v>1258.1810859999998</v>
      </c>
      <c r="K141" s="197">
        <f t="shared" si="339"/>
        <v>-371.89537171428549</v>
      </c>
      <c r="L141" s="197">
        <f t="shared" si="340"/>
        <v>-41.895371714285602</v>
      </c>
      <c r="M141" s="196">
        <f t="shared" si="341"/>
        <v>811.07697923242893</v>
      </c>
      <c r="N141" s="197">
        <f t="shared" si="342"/>
        <v>301.99674758654265</v>
      </c>
      <c r="O141" s="197">
        <f t="shared" si="343"/>
        <v>1151.4139268088002</v>
      </c>
      <c r="P141" s="197">
        <f t="shared" si="344"/>
        <v>-340.3369475763713</v>
      </c>
      <c r="Q141" s="199">
        <f t="shared" si="345"/>
        <v>-38.340199989828754</v>
      </c>
      <c r="R141" s="196">
        <f t="shared" si="346"/>
        <v>3393.2435493952289</v>
      </c>
      <c r="S141" s="197">
        <f t="shared" si="346"/>
        <v>1263.4417471152447</v>
      </c>
      <c r="T141" s="197">
        <f t="shared" si="346"/>
        <v>4817.0863923733205</v>
      </c>
      <c r="U141" s="197">
        <f t="shared" si="346"/>
        <v>-1423.8428429780915</v>
      </c>
      <c r="V141" s="199">
        <f t="shared" si="346"/>
        <v>-160.40109586284731</v>
      </c>
      <c r="Z141" s="900">
        <v>4</v>
      </c>
      <c r="AA141" s="911">
        <f>'Arable Inputs'!$H$18*$AC$134</f>
        <v>14.100000000000001</v>
      </c>
      <c r="AB141" s="760">
        <f>'Arable Inputs'!$H$25</f>
        <v>94.285714285714292</v>
      </c>
      <c r="AC141" s="762">
        <f t="shared" si="347"/>
        <v>1329.4285714285716</v>
      </c>
      <c r="AD141" s="197">
        <f>'Arable NPV'!$D120</f>
        <v>330</v>
      </c>
      <c r="AE141" s="197">
        <f t="shared" si="401"/>
        <v>1659.4285714285716</v>
      </c>
      <c r="AF141" s="197">
        <f>'Arable NPV'!$F120</f>
        <v>566.71194999999989</v>
      </c>
      <c r="AG141" s="197">
        <f>'Arable NPV'!$G120</f>
        <v>691.46913599999993</v>
      </c>
      <c r="AH141" s="197">
        <f t="shared" si="402"/>
        <v>1258.1810859999998</v>
      </c>
      <c r="AI141" s="197">
        <f t="shared" si="348"/>
        <v>71.247485428571736</v>
      </c>
      <c r="AJ141" s="197">
        <f t="shared" si="349"/>
        <v>401.24748542857174</v>
      </c>
      <c r="AK141" s="196">
        <f t="shared" si="350"/>
        <v>1216.6154688486433</v>
      </c>
      <c r="AL141" s="197">
        <f t="shared" si="351"/>
        <v>301.99674758654265</v>
      </c>
      <c r="AM141" s="197">
        <f t="shared" si="352"/>
        <v>1151.4139268088002</v>
      </c>
      <c r="AN141" s="197">
        <f t="shared" si="353"/>
        <v>65.20154203984319</v>
      </c>
      <c r="AO141" s="199">
        <f t="shared" si="354"/>
        <v>367.19828962638587</v>
      </c>
      <c r="AP141" s="196">
        <f t="shared" si="355"/>
        <v>5089.8653240928434</v>
      </c>
      <c r="AQ141" s="197">
        <f t="shared" si="356"/>
        <v>1263.4417471152447</v>
      </c>
      <c r="AR141" s="197">
        <f t="shared" si="357"/>
        <v>4817.0863923733205</v>
      </c>
      <c r="AS141" s="197">
        <f t="shared" si="358"/>
        <v>272.77893171952303</v>
      </c>
      <c r="AT141" s="199">
        <f t="shared" si="359"/>
        <v>1536.2206788347676</v>
      </c>
      <c r="AX141" s="900">
        <v>4</v>
      </c>
      <c r="AY141" s="911">
        <f>'Arable Inputs'!$H$18*$BA$134</f>
        <v>4.7</v>
      </c>
      <c r="AZ141" s="760">
        <f>'Arable Inputs'!$H$25</f>
        <v>94.285714285714292</v>
      </c>
      <c r="BA141" s="762">
        <f t="shared" si="360"/>
        <v>443.14285714285717</v>
      </c>
      <c r="BB141" s="197">
        <f>'Arable NPV'!$D120</f>
        <v>330</v>
      </c>
      <c r="BC141" s="197">
        <f t="shared" si="403"/>
        <v>773.14285714285711</v>
      </c>
      <c r="BD141" s="197">
        <f>'Arable NPV'!$F120</f>
        <v>566.71194999999989</v>
      </c>
      <c r="BE141" s="197">
        <f>'Arable NPV'!$G120</f>
        <v>691.46913599999993</v>
      </c>
      <c r="BF141" s="197">
        <f t="shared" si="404"/>
        <v>1258.1810859999998</v>
      </c>
      <c r="BG141" s="197">
        <f t="shared" si="361"/>
        <v>-815.03822885714271</v>
      </c>
      <c r="BH141" s="197">
        <f t="shared" si="362"/>
        <v>-485.03822885714271</v>
      </c>
      <c r="BI141" s="196">
        <f t="shared" si="363"/>
        <v>405.53848961621446</v>
      </c>
      <c r="BJ141" s="197">
        <f t="shared" si="364"/>
        <v>301.99674758654265</v>
      </c>
      <c r="BK141" s="197">
        <f t="shared" si="365"/>
        <v>1151.4139268088002</v>
      </c>
      <c r="BL141" s="197">
        <f t="shared" si="366"/>
        <v>-745.87543719258576</v>
      </c>
      <c r="BM141" s="199">
        <f t="shared" si="367"/>
        <v>-443.87868960604317</v>
      </c>
      <c r="BN141" s="196">
        <f t="shared" si="368"/>
        <v>1696.6217746976145</v>
      </c>
      <c r="BO141" s="197">
        <f t="shared" si="369"/>
        <v>1263.4417471152447</v>
      </c>
      <c r="BP141" s="197">
        <f t="shared" si="370"/>
        <v>4817.0863923733205</v>
      </c>
      <c r="BQ141" s="197">
        <f t="shared" si="371"/>
        <v>-3120.464617675706</v>
      </c>
      <c r="BR141" s="199">
        <f t="shared" si="372"/>
        <v>-1857.0228705604613</v>
      </c>
      <c r="BV141" s="900">
        <v>4</v>
      </c>
      <c r="BW141" s="911">
        <f>'Arable Inputs'!$H$18*$BY$134</f>
        <v>18.8</v>
      </c>
      <c r="BX141" s="760">
        <f>'Arable Inputs'!$H$25</f>
        <v>94.285714285714292</v>
      </c>
      <c r="BY141" s="762">
        <f t="shared" si="373"/>
        <v>1772.5714285714287</v>
      </c>
      <c r="BZ141" s="197">
        <f>'Arable NPV'!$D120</f>
        <v>330</v>
      </c>
      <c r="CA141" s="197">
        <f t="shared" si="405"/>
        <v>2102.5714285714284</v>
      </c>
      <c r="CB141" s="197">
        <f>'Arable NPV'!$F120</f>
        <v>566.71194999999989</v>
      </c>
      <c r="CC141" s="197">
        <f>'Arable NPV'!$G120</f>
        <v>691.46913599999993</v>
      </c>
      <c r="CD141" s="197">
        <f t="shared" si="406"/>
        <v>1258.1810859999998</v>
      </c>
      <c r="CE141" s="197">
        <f t="shared" si="374"/>
        <v>514.39034257142885</v>
      </c>
      <c r="CF141" s="197">
        <f t="shared" si="375"/>
        <v>844.39034257142862</v>
      </c>
      <c r="CG141" s="196">
        <f t="shared" si="376"/>
        <v>1622.1539584648579</v>
      </c>
      <c r="CH141" s="197">
        <f t="shared" si="377"/>
        <v>301.99674758654265</v>
      </c>
      <c r="CI141" s="197">
        <f t="shared" si="378"/>
        <v>1151.4139268088002</v>
      </c>
      <c r="CJ141" s="197">
        <f t="shared" si="379"/>
        <v>470.74003165605757</v>
      </c>
      <c r="CK141" s="199">
        <f t="shared" si="380"/>
        <v>772.73677924260005</v>
      </c>
      <c r="CL141" s="196">
        <f t="shared" si="381"/>
        <v>6786.4870987904578</v>
      </c>
      <c r="CM141" s="197">
        <f t="shared" si="382"/>
        <v>1263.4417471152447</v>
      </c>
      <c r="CN141" s="197">
        <f t="shared" si="383"/>
        <v>4817.0863923733205</v>
      </c>
      <c r="CO141" s="197">
        <f t="shared" si="384"/>
        <v>1969.4007064171374</v>
      </c>
      <c r="CP141" s="199">
        <f t="shared" si="385"/>
        <v>3232.8424535323811</v>
      </c>
      <c r="CT141" s="900">
        <v>4</v>
      </c>
      <c r="CU141" s="911">
        <f>'Arable Inputs'!$H$18*$CW$134</f>
        <v>0</v>
      </c>
      <c r="CV141" s="760">
        <f>'Arable Inputs'!$H$25</f>
        <v>94.285714285714292</v>
      </c>
      <c r="CW141" s="762">
        <f t="shared" si="386"/>
        <v>0</v>
      </c>
      <c r="CX141" s="197">
        <f>'Arable NPV'!$D120</f>
        <v>330</v>
      </c>
      <c r="CY141" s="197">
        <f t="shared" si="407"/>
        <v>330</v>
      </c>
      <c r="CZ141" s="197">
        <f>'Arable NPV'!$F120</f>
        <v>566.71194999999989</v>
      </c>
      <c r="DA141" s="197">
        <f>'Arable NPV'!$G120</f>
        <v>691.46913599999993</v>
      </c>
      <c r="DB141" s="197">
        <f t="shared" si="408"/>
        <v>1258.1810859999998</v>
      </c>
      <c r="DC141" s="197">
        <f t="shared" si="387"/>
        <v>-1258.1810859999998</v>
      </c>
      <c r="DD141" s="197">
        <f t="shared" si="388"/>
        <v>-928.18108599999982</v>
      </c>
      <c r="DE141" s="196">
        <f t="shared" si="389"/>
        <v>0</v>
      </c>
      <c r="DF141" s="197">
        <f t="shared" si="390"/>
        <v>301.99674758654265</v>
      </c>
      <c r="DG141" s="197">
        <f t="shared" si="391"/>
        <v>1151.4139268088002</v>
      </c>
      <c r="DH141" s="197">
        <f t="shared" si="392"/>
        <v>-1151.4139268088002</v>
      </c>
      <c r="DI141" s="199">
        <f t="shared" si="393"/>
        <v>-849.41717922225757</v>
      </c>
      <c r="DJ141" s="196">
        <f t="shared" si="394"/>
        <v>0</v>
      </c>
      <c r="DK141" s="197">
        <f t="shared" si="395"/>
        <v>1263.4417471152447</v>
      </c>
      <c r="DL141" s="197">
        <f t="shared" si="396"/>
        <v>4817.0863923733205</v>
      </c>
      <c r="DM141" s="197">
        <f t="shared" si="397"/>
        <v>-4817.0863923733205</v>
      </c>
      <c r="DN141" s="199">
        <f t="shared" si="398"/>
        <v>-3553.6446452580758</v>
      </c>
    </row>
    <row r="142" spans="2:118" x14ac:dyDescent="0.3">
      <c r="B142" s="900">
        <v>5</v>
      </c>
      <c r="C142" s="911">
        <f>'Arable Inputs'!$H$18*$E$134</f>
        <v>9.4</v>
      </c>
      <c r="D142" s="760">
        <f>'Arable Inputs'!$H$25</f>
        <v>94.285714285714292</v>
      </c>
      <c r="E142" s="762">
        <f t="shared" si="338"/>
        <v>886.28571428571433</v>
      </c>
      <c r="F142" s="197">
        <f>'Arable NPV'!$D121</f>
        <v>330</v>
      </c>
      <c r="G142" s="197">
        <f t="shared" si="399"/>
        <v>1216.2857142857142</v>
      </c>
      <c r="H142" s="197">
        <f>'Arable NPV'!$F121</f>
        <v>566.71194999999989</v>
      </c>
      <c r="I142" s="197">
        <f>'Arable NPV'!$G121</f>
        <v>691.46913599999993</v>
      </c>
      <c r="J142" s="197">
        <f t="shared" si="400"/>
        <v>1258.1810859999998</v>
      </c>
      <c r="K142" s="197">
        <f t="shared" si="339"/>
        <v>-371.89537171428549</v>
      </c>
      <c r="L142" s="197">
        <f t="shared" si="340"/>
        <v>-41.895371714285602</v>
      </c>
      <c r="M142" s="196">
        <f t="shared" si="341"/>
        <v>787.45337789556208</v>
      </c>
      <c r="N142" s="197">
        <f t="shared" si="342"/>
        <v>293.20072581217738</v>
      </c>
      <c r="O142" s="197">
        <f t="shared" si="343"/>
        <v>1117.8775988434954</v>
      </c>
      <c r="P142" s="197">
        <f t="shared" si="344"/>
        <v>-330.42422094793335</v>
      </c>
      <c r="Q142" s="199">
        <f t="shared" si="345"/>
        <v>-37.223495135756075</v>
      </c>
      <c r="R142" s="196">
        <f t="shared" si="346"/>
        <v>4180.6969272907909</v>
      </c>
      <c r="S142" s="197">
        <f t="shared" si="346"/>
        <v>1556.642472927422</v>
      </c>
      <c r="T142" s="197">
        <f t="shared" si="346"/>
        <v>5934.9639912168159</v>
      </c>
      <c r="U142" s="197">
        <f t="shared" si="346"/>
        <v>-1754.267063926025</v>
      </c>
      <c r="V142" s="199">
        <f t="shared" si="346"/>
        <v>-197.6245909986034</v>
      </c>
      <c r="Z142" s="900">
        <v>5</v>
      </c>
      <c r="AA142" s="911">
        <f>'Arable Inputs'!$H$18*$AC$134</f>
        <v>14.100000000000001</v>
      </c>
      <c r="AB142" s="760">
        <f>'Arable Inputs'!$H$25</f>
        <v>94.285714285714292</v>
      </c>
      <c r="AC142" s="762">
        <f t="shared" si="347"/>
        <v>1329.4285714285716</v>
      </c>
      <c r="AD142" s="197">
        <f>'Arable NPV'!$D121</f>
        <v>330</v>
      </c>
      <c r="AE142" s="197">
        <f t="shared" si="401"/>
        <v>1659.4285714285716</v>
      </c>
      <c r="AF142" s="197">
        <f>'Arable NPV'!$F121</f>
        <v>566.71194999999989</v>
      </c>
      <c r="AG142" s="197">
        <f>'Arable NPV'!$G121</f>
        <v>691.46913599999993</v>
      </c>
      <c r="AH142" s="197">
        <f t="shared" si="402"/>
        <v>1258.1810859999998</v>
      </c>
      <c r="AI142" s="197">
        <f t="shared" si="348"/>
        <v>71.247485428571736</v>
      </c>
      <c r="AJ142" s="197">
        <f t="shared" si="349"/>
        <v>401.24748542857174</v>
      </c>
      <c r="AK142" s="196">
        <f t="shared" si="350"/>
        <v>1181.1800668433432</v>
      </c>
      <c r="AL142" s="197">
        <f t="shared" si="351"/>
        <v>293.20072581217738</v>
      </c>
      <c r="AM142" s="197">
        <f t="shared" si="352"/>
        <v>1117.8775988434954</v>
      </c>
      <c r="AN142" s="197">
        <f t="shared" si="353"/>
        <v>63.302467999847771</v>
      </c>
      <c r="AO142" s="199">
        <f t="shared" si="354"/>
        <v>356.50319381202513</v>
      </c>
      <c r="AP142" s="196">
        <f t="shared" si="355"/>
        <v>6271.0453909361868</v>
      </c>
      <c r="AQ142" s="197">
        <f t="shared" si="356"/>
        <v>1556.642472927422</v>
      </c>
      <c r="AR142" s="197">
        <f t="shared" si="357"/>
        <v>5934.9639912168159</v>
      </c>
      <c r="AS142" s="197">
        <f t="shared" si="358"/>
        <v>336.08139971937078</v>
      </c>
      <c r="AT142" s="199">
        <f t="shared" si="359"/>
        <v>1892.7238726467926</v>
      </c>
      <c r="AX142" s="900">
        <v>5</v>
      </c>
      <c r="AY142" s="911">
        <f>'Arable Inputs'!$H$18*$BA$134</f>
        <v>4.7</v>
      </c>
      <c r="AZ142" s="760">
        <f>'Arable Inputs'!$H$25</f>
        <v>94.285714285714292</v>
      </c>
      <c r="BA142" s="762">
        <f t="shared" si="360"/>
        <v>443.14285714285717</v>
      </c>
      <c r="BB142" s="197">
        <f>'Arable NPV'!$D121</f>
        <v>330</v>
      </c>
      <c r="BC142" s="197">
        <f t="shared" si="403"/>
        <v>773.14285714285711</v>
      </c>
      <c r="BD142" s="197">
        <f>'Arable NPV'!$F121</f>
        <v>566.71194999999989</v>
      </c>
      <c r="BE142" s="197">
        <f>'Arable NPV'!$G121</f>
        <v>691.46913599999993</v>
      </c>
      <c r="BF142" s="197">
        <f t="shared" si="404"/>
        <v>1258.1810859999998</v>
      </c>
      <c r="BG142" s="197">
        <f t="shared" si="361"/>
        <v>-815.03822885714271</v>
      </c>
      <c r="BH142" s="197">
        <f t="shared" si="362"/>
        <v>-485.03822885714271</v>
      </c>
      <c r="BI142" s="196">
        <f t="shared" si="363"/>
        <v>393.72668894778104</v>
      </c>
      <c r="BJ142" s="197">
        <f t="shared" si="364"/>
        <v>293.20072581217738</v>
      </c>
      <c r="BK142" s="197">
        <f t="shared" si="365"/>
        <v>1117.8775988434954</v>
      </c>
      <c r="BL142" s="197">
        <f t="shared" si="366"/>
        <v>-724.15090989571445</v>
      </c>
      <c r="BM142" s="199">
        <f t="shared" si="367"/>
        <v>-430.95018408353707</v>
      </c>
      <c r="BN142" s="196">
        <f t="shared" si="368"/>
        <v>2090.3484636453954</v>
      </c>
      <c r="BO142" s="197">
        <f t="shared" si="369"/>
        <v>1556.642472927422</v>
      </c>
      <c r="BP142" s="197">
        <f t="shared" si="370"/>
        <v>5934.9639912168159</v>
      </c>
      <c r="BQ142" s="197">
        <f t="shared" si="371"/>
        <v>-3844.6155275714204</v>
      </c>
      <c r="BR142" s="199">
        <f t="shared" si="372"/>
        <v>-2287.9730546439982</v>
      </c>
      <c r="BV142" s="900">
        <v>5</v>
      </c>
      <c r="BW142" s="911">
        <f>'Arable Inputs'!$H$18*$BY$134</f>
        <v>18.8</v>
      </c>
      <c r="BX142" s="760">
        <f>'Arable Inputs'!$H$25</f>
        <v>94.285714285714292</v>
      </c>
      <c r="BY142" s="762">
        <f t="shared" si="373"/>
        <v>1772.5714285714287</v>
      </c>
      <c r="BZ142" s="197">
        <f>'Arable NPV'!$D121</f>
        <v>330</v>
      </c>
      <c r="CA142" s="197">
        <f t="shared" si="405"/>
        <v>2102.5714285714284</v>
      </c>
      <c r="CB142" s="197">
        <f>'Arable NPV'!$F121</f>
        <v>566.71194999999989</v>
      </c>
      <c r="CC142" s="197">
        <f>'Arable NPV'!$G121</f>
        <v>691.46913599999993</v>
      </c>
      <c r="CD142" s="197">
        <f t="shared" si="406"/>
        <v>1258.1810859999998</v>
      </c>
      <c r="CE142" s="197">
        <f t="shared" si="374"/>
        <v>514.39034257142885</v>
      </c>
      <c r="CF142" s="197">
        <f t="shared" si="375"/>
        <v>844.39034257142862</v>
      </c>
      <c r="CG142" s="196">
        <f t="shared" si="376"/>
        <v>1574.9067557911242</v>
      </c>
      <c r="CH142" s="197">
        <f t="shared" si="377"/>
        <v>293.20072581217738</v>
      </c>
      <c r="CI142" s="197">
        <f t="shared" si="378"/>
        <v>1117.8775988434954</v>
      </c>
      <c r="CJ142" s="197">
        <f t="shared" si="379"/>
        <v>457.02915694762879</v>
      </c>
      <c r="CK142" s="199">
        <f t="shared" si="380"/>
        <v>750.22988275980595</v>
      </c>
      <c r="CL142" s="196">
        <f t="shared" si="381"/>
        <v>8361.3938545815818</v>
      </c>
      <c r="CM142" s="197">
        <f t="shared" si="382"/>
        <v>1556.642472927422</v>
      </c>
      <c r="CN142" s="197">
        <f t="shared" si="383"/>
        <v>5934.9639912168159</v>
      </c>
      <c r="CO142" s="197">
        <f t="shared" si="384"/>
        <v>2426.4298633647663</v>
      </c>
      <c r="CP142" s="199">
        <f t="shared" si="385"/>
        <v>3983.0723362921872</v>
      </c>
      <c r="CT142" s="900">
        <v>5</v>
      </c>
      <c r="CU142" s="911">
        <f>'Arable Inputs'!$H$18*$CW$134</f>
        <v>0</v>
      </c>
      <c r="CV142" s="760">
        <f>'Arable Inputs'!$H$25</f>
        <v>94.285714285714292</v>
      </c>
      <c r="CW142" s="762">
        <f t="shared" si="386"/>
        <v>0</v>
      </c>
      <c r="CX142" s="197">
        <f>'Arable NPV'!$D121</f>
        <v>330</v>
      </c>
      <c r="CY142" s="197">
        <f t="shared" si="407"/>
        <v>330</v>
      </c>
      <c r="CZ142" s="197">
        <f>'Arable NPV'!$F121</f>
        <v>566.71194999999989</v>
      </c>
      <c r="DA142" s="197">
        <f>'Arable NPV'!$G121</f>
        <v>691.46913599999993</v>
      </c>
      <c r="DB142" s="197">
        <f t="shared" si="408"/>
        <v>1258.1810859999998</v>
      </c>
      <c r="DC142" s="197">
        <f t="shared" si="387"/>
        <v>-1258.1810859999998</v>
      </c>
      <c r="DD142" s="197">
        <f t="shared" si="388"/>
        <v>-928.18108599999982</v>
      </c>
      <c r="DE142" s="196">
        <f t="shared" si="389"/>
        <v>0</v>
      </c>
      <c r="DF142" s="197">
        <f t="shared" si="390"/>
        <v>293.20072581217738</v>
      </c>
      <c r="DG142" s="197">
        <f t="shared" si="391"/>
        <v>1117.8775988434954</v>
      </c>
      <c r="DH142" s="197">
        <f t="shared" si="392"/>
        <v>-1117.8775988434954</v>
      </c>
      <c r="DI142" s="199">
        <f t="shared" si="393"/>
        <v>-824.67687303131811</v>
      </c>
      <c r="DJ142" s="196">
        <f t="shared" si="394"/>
        <v>0</v>
      </c>
      <c r="DK142" s="197">
        <f t="shared" si="395"/>
        <v>1556.642472927422</v>
      </c>
      <c r="DL142" s="197">
        <f t="shared" si="396"/>
        <v>5934.9639912168159</v>
      </c>
      <c r="DM142" s="197">
        <f t="shared" si="397"/>
        <v>-5934.9639912168159</v>
      </c>
      <c r="DN142" s="199">
        <f t="shared" si="398"/>
        <v>-4378.3215182893937</v>
      </c>
    </row>
    <row r="143" spans="2:118" x14ac:dyDescent="0.3">
      <c r="B143" s="900">
        <v>6</v>
      </c>
      <c r="C143" s="911">
        <f>'Arable Inputs'!$H$18*$E$134</f>
        <v>9.4</v>
      </c>
      <c r="D143" s="760">
        <f>'Arable Inputs'!$H$25</f>
        <v>94.285714285714292</v>
      </c>
      <c r="E143" s="762">
        <f t="shared" si="338"/>
        <v>886.28571428571433</v>
      </c>
      <c r="F143" s="197">
        <f>'Arable NPV'!$D122</f>
        <v>330</v>
      </c>
      <c r="G143" s="197">
        <f t="shared" si="399"/>
        <v>1216.2857142857142</v>
      </c>
      <c r="H143" s="197">
        <f>'Arable NPV'!$F122</f>
        <v>566.71194999999989</v>
      </c>
      <c r="I143" s="197">
        <f>'Arable NPV'!$G122</f>
        <v>691.46913599999993</v>
      </c>
      <c r="J143" s="197">
        <f t="shared" si="400"/>
        <v>1258.1810859999998</v>
      </c>
      <c r="K143" s="197">
        <f t="shared" si="339"/>
        <v>-371.89537171428549</v>
      </c>
      <c r="L143" s="197">
        <f t="shared" si="340"/>
        <v>-41.895371714285602</v>
      </c>
      <c r="M143" s="196">
        <f t="shared" si="341"/>
        <v>764.51784261705063</v>
      </c>
      <c r="N143" s="197">
        <f t="shared" si="342"/>
        <v>284.66089884677416</v>
      </c>
      <c r="O143" s="197">
        <f t="shared" si="343"/>
        <v>1085.3180571296073</v>
      </c>
      <c r="P143" s="197">
        <f t="shared" si="344"/>
        <v>-320.80021451255664</v>
      </c>
      <c r="Q143" s="199">
        <f t="shared" si="345"/>
        <v>-36.139315665782597</v>
      </c>
      <c r="R143" s="196">
        <f t="shared" si="346"/>
        <v>4945.2147699078414</v>
      </c>
      <c r="S143" s="197">
        <f t="shared" si="346"/>
        <v>1841.3033717741962</v>
      </c>
      <c r="T143" s="197">
        <f t="shared" si="346"/>
        <v>7020.2820483464229</v>
      </c>
      <c r="U143" s="197">
        <f t="shared" si="346"/>
        <v>-2075.0672784385815</v>
      </c>
      <c r="V143" s="199">
        <f t="shared" si="346"/>
        <v>-233.76390666438598</v>
      </c>
      <c r="Z143" s="900">
        <v>6</v>
      </c>
      <c r="AA143" s="911">
        <f>'Arable Inputs'!$H$18*$AC$134</f>
        <v>14.100000000000001</v>
      </c>
      <c r="AB143" s="760">
        <f>'Arable Inputs'!$H$25</f>
        <v>94.285714285714292</v>
      </c>
      <c r="AC143" s="762">
        <f t="shared" si="347"/>
        <v>1329.4285714285716</v>
      </c>
      <c r="AD143" s="197">
        <f>'Arable NPV'!$D122</f>
        <v>330</v>
      </c>
      <c r="AE143" s="197">
        <f t="shared" si="401"/>
        <v>1659.4285714285716</v>
      </c>
      <c r="AF143" s="197">
        <f>'Arable NPV'!$F122</f>
        <v>566.71194999999989</v>
      </c>
      <c r="AG143" s="197">
        <f>'Arable NPV'!$G122</f>
        <v>691.46913599999993</v>
      </c>
      <c r="AH143" s="197">
        <f t="shared" si="402"/>
        <v>1258.1810859999998</v>
      </c>
      <c r="AI143" s="197">
        <f t="shared" si="348"/>
        <v>71.247485428571736</v>
      </c>
      <c r="AJ143" s="197">
        <f t="shared" si="349"/>
        <v>401.24748542857174</v>
      </c>
      <c r="AK143" s="196">
        <f t="shared" si="350"/>
        <v>1146.776763925576</v>
      </c>
      <c r="AL143" s="197">
        <f t="shared" si="351"/>
        <v>284.66089884677416</v>
      </c>
      <c r="AM143" s="197">
        <f t="shared" si="352"/>
        <v>1085.3180571296073</v>
      </c>
      <c r="AN143" s="197">
        <f t="shared" si="353"/>
        <v>61.458706795968709</v>
      </c>
      <c r="AO143" s="199">
        <f t="shared" si="354"/>
        <v>346.11960564274284</v>
      </c>
      <c r="AP143" s="196">
        <f t="shared" si="355"/>
        <v>7417.822154861763</v>
      </c>
      <c r="AQ143" s="197">
        <f t="shared" si="356"/>
        <v>1841.3033717741962</v>
      </c>
      <c r="AR143" s="197">
        <f t="shared" si="357"/>
        <v>7020.2820483464229</v>
      </c>
      <c r="AS143" s="197">
        <f t="shared" si="358"/>
        <v>397.54010651533952</v>
      </c>
      <c r="AT143" s="199">
        <f t="shared" si="359"/>
        <v>2238.8434782895356</v>
      </c>
      <c r="AX143" s="900">
        <v>6</v>
      </c>
      <c r="AY143" s="911">
        <f>'Arable Inputs'!$H$18*$BA$134</f>
        <v>4.7</v>
      </c>
      <c r="AZ143" s="760">
        <f>'Arable Inputs'!$H$25</f>
        <v>94.285714285714292</v>
      </c>
      <c r="BA143" s="762">
        <f t="shared" si="360"/>
        <v>443.14285714285717</v>
      </c>
      <c r="BB143" s="197">
        <f>'Arable NPV'!$D122</f>
        <v>330</v>
      </c>
      <c r="BC143" s="197">
        <f t="shared" si="403"/>
        <v>773.14285714285711</v>
      </c>
      <c r="BD143" s="197">
        <f>'Arable NPV'!$F122</f>
        <v>566.71194999999989</v>
      </c>
      <c r="BE143" s="197">
        <f>'Arable NPV'!$G122</f>
        <v>691.46913599999993</v>
      </c>
      <c r="BF143" s="197">
        <f t="shared" si="404"/>
        <v>1258.1810859999998</v>
      </c>
      <c r="BG143" s="197">
        <f t="shared" si="361"/>
        <v>-815.03822885714271</v>
      </c>
      <c r="BH143" s="197">
        <f t="shared" si="362"/>
        <v>-485.03822885714271</v>
      </c>
      <c r="BI143" s="196">
        <f t="shared" si="363"/>
        <v>382.25892130852532</v>
      </c>
      <c r="BJ143" s="197">
        <f t="shared" si="364"/>
        <v>284.66089884677416</v>
      </c>
      <c r="BK143" s="197">
        <f t="shared" si="365"/>
        <v>1085.3180571296073</v>
      </c>
      <c r="BL143" s="197">
        <f t="shared" si="366"/>
        <v>-703.05913582108201</v>
      </c>
      <c r="BM143" s="199">
        <f t="shared" si="367"/>
        <v>-418.39823697430785</v>
      </c>
      <c r="BN143" s="196">
        <f t="shared" si="368"/>
        <v>2472.6073849539207</v>
      </c>
      <c r="BO143" s="197">
        <f t="shared" si="369"/>
        <v>1841.3033717741962</v>
      </c>
      <c r="BP143" s="197">
        <f t="shared" si="370"/>
        <v>7020.2820483464229</v>
      </c>
      <c r="BQ143" s="197">
        <f t="shared" si="371"/>
        <v>-4547.6746633925022</v>
      </c>
      <c r="BR143" s="199">
        <f t="shared" si="372"/>
        <v>-2706.3712916183063</v>
      </c>
      <c r="BV143" s="900">
        <v>6</v>
      </c>
      <c r="BW143" s="911">
        <f>'Arable Inputs'!$H$18*$BY$134</f>
        <v>18.8</v>
      </c>
      <c r="BX143" s="760">
        <f>'Arable Inputs'!$H$25</f>
        <v>94.285714285714292</v>
      </c>
      <c r="BY143" s="762">
        <f t="shared" si="373"/>
        <v>1772.5714285714287</v>
      </c>
      <c r="BZ143" s="197">
        <f>'Arable NPV'!$D122</f>
        <v>330</v>
      </c>
      <c r="CA143" s="197">
        <f t="shared" si="405"/>
        <v>2102.5714285714284</v>
      </c>
      <c r="CB143" s="197">
        <f>'Arable NPV'!$F122</f>
        <v>566.71194999999989</v>
      </c>
      <c r="CC143" s="197">
        <f>'Arable NPV'!$G122</f>
        <v>691.46913599999993</v>
      </c>
      <c r="CD143" s="197">
        <f t="shared" si="406"/>
        <v>1258.1810859999998</v>
      </c>
      <c r="CE143" s="197">
        <f t="shared" si="374"/>
        <v>514.39034257142885</v>
      </c>
      <c r="CF143" s="197">
        <f t="shared" si="375"/>
        <v>844.39034257142862</v>
      </c>
      <c r="CG143" s="196">
        <f t="shared" si="376"/>
        <v>1529.0356852341013</v>
      </c>
      <c r="CH143" s="197">
        <f t="shared" si="377"/>
        <v>284.66089884677416</v>
      </c>
      <c r="CI143" s="197">
        <f t="shared" si="378"/>
        <v>1085.3180571296073</v>
      </c>
      <c r="CJ143" s="197">
        <f t="shared" si="379"/>
        <v>443.717628104494</v>
      </c>
      <c r="CK143" s="199">
        <f t="shared" si="380"/>
        <v>728.37852695126799</v>
      </c>
      <c r="CL143" s="196">
        <f t="shared" si="381"/>
        <v>9890.4295398156828</v>
      </c>
      <c r="CM143" s="197">
        <f t="shared" si="382"/>
        <v>1841.3033717741962</v>
      </c>
      <c r="CN143" s="197">
        <f t="shared" si="383"/>
        <v>7020.2820483464229</v>
      </c>
      <c r="CO143" s="197">
        <f t="shared" si="384"/>
        <v>2870.1474914692603</v>
      </c>
      <c r="CP143" s="199">
        <f t="shared" si="385"/>
        <v>4711.4508632434554</v>
      </c>
      <c r="CT143" s="900">
        <v>6</v>
      </c>
      <c r="CU143" s="911">
        <f>'Arable Inputs'!$H$18*$CW$134</f>
        <v>0</v>
      </c>
      <c r="CV143" s="760">
        <f>'Arable Inputs'!$H$25</f>
        <v>94.285714285714292</v>
      </c>
      <c r="CW143" s="762">
        <f t="shared" si="386"/>
        <v>0</v>
      </c>
      <c r="CX143" s="197">
        <f>'Arable NPV'!$D122</f>
        <v>330</v>
      </c>
      <c r="CY143" s="197">
        <f t="shared" si="407"/>
        <v>330</v>
      </c>
      <c r="CZ143" s="197">
        <f>'Arable NPV'!$F122</f>
        <v>566.71194999999989</v>
      </c>
      <c r="DA143" s="197">
        <f>'Arable NPV'!$G122</f>
        <v>691.46913599999993</v>
      </c>
      <c r="DB143" s="197">
        <f t="shared" si="408"/>
        <v>1258.1810859999998</v>
      </c>
      <c r="DC143" s="197">
        <f t="shared" si="387"/>
        <v>-1258.1810859999998</v>
      </c>
      <c r="DD143" s="197">
        <f t="shared" si="388"/>
        <v>-928.18108599999982</v>
      </c>
      <c r="DE143" s="196">
        <f t="shared" si="389"/>
        <v>0</v>
      </c>
      <c r="DF143" s="197">
        <f t="shared" si="390"/>
        <v>284.66089884677416</v>
      </c>
      <c r="DG143" s="197">
        <f t="shared" si="391"/>
        <v>1085.3180571296073</v>
      </c>
      <c r="DH143" s="197">
        <f t="shared" si="392"/>
        <v>-1085.3180571296073</v>
      </c>
      <c r="DI143" s="199">
        <f t="shared" si="393"/>
        <v>-800.65715828283317</v>
      </c>
      <c r="DJ143" s="196">
        <f t="shared" si="394"/>
        <v>0</v>
      </c>
      <c r="DK143" s="197">
        <f t="shared" si="395"/>
        <v>1841.3033717741962</v>
      </c>
      <c r="DL143" s="197">
        <f t="shared" si="396"/>
        <v>7020.2820483464229</v>
      </c>
      <c r="DM143" s="197">
        <f t="shared" si="397"/>
        <v>-7020.2820483464229</v>
      </c>
      <c r="DN143" s="199">
        <f t="shared" si="398"/>
        <v>-5178.9786765722265</v>
      </c>
    </row>
    <row r="144" spans="2:118" x14ac:dyDescent="0.3">
      <c r="B144" s="900">
        <v>7</v>
      </c>
      <c r="C144" s="911">
        <f>'Arable Inputs'!$H$18*$E$134</f>
        <v>9.4</v>
      </c>
      <c r="D144" s="760">
        <f>'Arable Inputs'!$H$25</f>
        <v>94.285714285714292</v>
      </c>
      <c r="E144" s="762">
        <f t="shared" si="338"/>
        <v>886.28571428571433</v>
      </c>
      <c r="F144" s="197">
        <f>'Arable NPV'!$D123</f>
        <v>330</v>
      </c>
      <c r="G144" s="197">
        <f t="shared" si="399"/>
        <v>1216.2857142857142</v>
      </c>
      <c r="H144" s="197">
        <f>'Arable NPV'!$F123</f>
        <v>566.71194999999989</v>
      </c>
      <c r="I144" s="197">
        <f>'Arable NPV'!$G123</f>
        <v>691.46913599999993</v>
      </c>
      <c r="J144" s="197">
        <f t="shared" si="400"/>
        <v>1258.1810859999998</v>
      </c>
      <c r="K144" s="197">
        <f t="shared" si="339"/>
        <v>-371.89537171428549</v>
      </c>
      <c r="L144" s="197">
        <f t="shared" si="340"/>
        <v>-41.895371714285602</v>
      </c>
      <c r="M144" s="196">
        <f t="shared" si="341"/>
        <v>742.25033263791317</v>
      </c>
      <c r="N144" s="197">
        <f t="shared" si="342"/>
        <v>276.36980470560593</v>
      </c>
      <c r="O144" s="197">
        <f t="shared" si="343"/>
        <v>1053.7068515821429</v>
      </c>
      <c r="P144" s="197">
        <f t="shared" si="344"/>
        <v>-311.45651894422974</v>
      </c>
      <c r="Q144" s="199">
        <f t="shared" si="345"/>
        <v>-35.086714238623877</v>
      </c>
      <c r="R144" s="196">
        <f t="shared" si="346"/>
        <v>5687.4651025457542</v>
      </c>
      <c r="S144" s="197">
        <f t="shared" si="346"/>
        <v>2117.6731764798024</v>
      </c>
      <c r="T144" s="197">
        <f t="shared" si="346"/>
        <v>8073.9888999285658</v>
      </c>
      <c r="U144" s="197">
        <f t="shared" si="346"/>
        <v>-2386.5237973828112</v>
      </c>
      <c r="V144" s="199">
        <f t="shared" si="346"/>
        <v>-268.85062090300988</v>
      </c>
      <c r="Z144" s="900">
        <v>7</v>
      </c>
      <c r="AA144" s="911">
        <f>'Arable Inputs'!$H$18*$AC$134</f>
        <v>14.100000000000001</v>
      </c>
      <c r="AB144" s="760">
        <f>'Arable Inputs'!$H$25</f>
        <v>94.285714285714292</v>
      </c>
      <c r="AC144" s="762">
        <f t="shared" si="347"/>
        <v>1329.4285714285716</v>
      </c>
      <c r="AD144" s="197">
        <f>'Arable NPV'!$D123</f>
        <v>330</v>
      </c>
      <c r="AE144" s="197">
        <f t="shared" si="401"/>
        <v>1659.4285714285716</v>
      </c>
      <c r="AF144" s="197">
        <f>'Arable NPV'!$F123</f>
        <v>566.71194999999989</v>
      </c>
      <c r="AG144" s="197">
        <f>'Arable NPV'!$G123</f>
        <v>691.46913599999993</v>
      </c>
      <c r="AH144" s="197">
        <f t="shared" si="402"/>
        <v>1258.1810859999998</v>
      </c>
      <c r="AI144" s="197">
        <f t="shared" si="348"/>
        <v>71.247485428571736</v>
      </c>
      <c r="AJ144" s="197">
        <f t="shared" si="349"/>
        <v>401.24748542857174</v>
      </c>
      <c r="AK144" s="196">
        <f t="shared" si="350"/>
        <v>1113.3754989568699</v>
      </c>
      <c r="AL144" s="197">
        <f t="shared" si="351"/>
        <v>276.36980470560593</v>
      </c>
      <c r="AM144" s="197">
        <f t="shared" si="352"/>
        <v>1053.7068515821429</v>
      </c>
      <c r="AN144" s="197">
        <f t="shared" si="353"/>
        <v>59.668647374726902</v>
      </c>
      <c r="AO144" s="199">
        <f t="shared" si="354"/>
        <v>336.03845208033283</v>
      </c>
      <c r="AP144" s="196">
        <f t="shared" si="355"/>
        <v>8531.1976538186336</v>
      </c>
      <c r="AQ144" s="197">
        <f t="shared" si="356"/>
        <v>2117.6731764798024</v>
      </c>
      <c r="AR144" s="197">
        <f t="shared" si="357"/>
        <v>8073.9888999285658</v>
      </c>
      <c r="AS144" s="197">
        <f t="shared" si="358"/>
        <v>457.20875389006642</v>
      </c>
      <c r="AT144" s="199">
        <f t="shared" si="359"/>
        <v>2574.8819303698683</v>
      </c>
      <c r="AX144" s="900">
        <v>7</v>
      </c>
      <c r="AY144" s="911">
        <f>'Arable Inputs'!$H$18*$BA$134</f>
        <v>4.7</v>
      </c>
      <c r="AZ144" s="760">
        <f>'Arable Inputs'!$H$25</f>
        <v>94.285714285714292</v>
      </c>
      <c r="BA144" s="762">
        <f t="shared" si="360"/>
        <v>443.14285714285717</v>
      </c>
      <c r="BB144" s="197">
        <f>'Arable NPV'!$D123</f>
        <v>330</v>
      </c>
      <c r="BC144" s="197">
        <f t="shared" si="403"/>
        <v>773.14285714285711</v>
      </c>
      <c r="BD144" s="197">
        <f>'Arable NPV'!$F123</f>
        <v>566.71194999999989</v>
      </c>
      <c r="BE144" s="197">
        <f>'Arable NPV'!$G123</f>
        <v>691.46913599999993</v>
      </c>
      <c r="BF144" s="197">
        <f t="shared" si="404"/>
        <v>1258.1810859999998</v>
      </c>
      <c r="BG144" s="197">
        <f t="shared" si="361"/>
        <v>-815.03822885714271</v>
      </c>
      <c r="BH144" s="197">
        <f t="shared" si="362"/>
        <v>-485.03822885714271</v>
      </c>
      <c r="BI144" s="196">
        <f t="shared" si="363"/>
        <v>371.12516631895659</v>
      </c>
      <c r="BJ144" s="197">
        <f t="shared" si="364"/>
        <v>276.36980470560593</v>
      </c>
      <c r="BK144" s="197">
        <f t="shared" si="365"/>
        <v>1053.7068515821429</v>
      </c>
      <c r="BL144" s="197">
        <f t="shared" si="366"/>
        <v>-682.58168526318639</v>
      </c>
      <c r="BM144" s="199">
        <f t="shared" si="367"/>
        <v>-406.2118805575804</v>
      </c>
      <c r="BN144" s="196">
        <f t="shared" si="368"/>
        <v>2843.7325512728771</v>
      </c>
      <c r="BO144" s="197">
        <f t="shared" si="369"/>
        <v>2117.6731764798024</v>
      </c>
      <c r="BP144" s="197">
        <f t="shared" si="370"/>
        <v>8073.9888999285658</v>
      </c>
      <c r="BQ144" s="197">
        <f t="shared" si="371"/>
        <v>-5230.2563486556883</v>
      </c>
      <c r="BR144" s="199">
        <f t="shared" si="372"/>
        <v>-3112.5831721758868</v>
      </c>
      <c r="BV144" s="900">
        <v>7</v>
      </c>
      <c r="BW144" s="911">
        <f>'Arable Inputs'!$H$18*$BY$134</f>
        <v>18.8</v>
      </c>
      <c r="BX144" s="760">
        <f>'Arable Inputs'!$H$25</f>
        <v>94.285714285714292</v>
      </c>
      <c r="BY144" s="762">
        <f t="shared" si="373"/>
        <v>1772.5714285714287</v>
      </c>
      <c r="BZ144" s="197">
        <f>'Arable NPV'!$D123</f>
        <v>330</v>
      </c>
      <c r="CA144" s="197">
        <f t="shared" si="405"/>
        <v>2102.5714285714284</v>
      </c>
      <c r="CB144" s="197">
        <f>'Arable NPV'!$F123</f>
        <v>566.71194999999989</v>
      </c>
      <c r="CC144" s="197">
        <f>'Arable NPV'!$G123</f>
        <v>691.46913599999993</v>
      </c>
      <c r="CD144" s="197">
        <f t="shared" si="406"/>
        <v>1258.1810859999998</v>
      </c>
      <c r="CE144" s="197">
        <f t="shared" si="374"/>
        <v>514.39034257142885</v>
      </c>
      <c r="CF144" s="197">
        <f t="shared" si="375"/>
        <v>844.39034257142862</v>
      </c>
      <c r="CG144" s="196">
        <f t="shared" si="376"/>
        <v>1484.5006652758263</v>
      </c>
      <c r="CH144" s="197">
        <f t="shared" si="377"/>
        <v>276.36980470560593</v>
      </c>
      <c r="CI144" s="197">
        <f t="shared" si="378"/>
        <v>1053.7068515821429</v>
      </c>
      <c r="CJ144" s="197">
        <f t="shared" si="379"/>
        <v>430.79381369368343</v>
      </c>
      <c r="CK144" s="199">
        <f t="shared" si="380"/>
        <v>707.16361839928925</v>
      </c>
      <c r="CL144" s="196">
        <f t="shared" si="381"/>
        <v>11374.930205091508</v>
      </c>
      <c r="CM144" s="197">
        <f t="shared" si="382"/>
        <v>2117.6731764798024</v>
      </c>
      <c r="CN144" s="197">
        <f t="shared" si="383"/>
        <v>8073.9888999285658</v>
      </c>
      <c r="CO144" s="197">
        <f t="shared" si="384"/>
        <v>3300.9413051629435</v>
      </c>
      <c r="CP144" s="199">
        <f t="shared" si="385"/>
        <v>5418.614481642745</v>
      </c>
      <c r="CT144" s="900">
        <v>7</v>
      </c>
      <c r="CU144" s="911">
        <f>'Arable Inputs'!$H$18*$CW$134</f>
        <v>0</v>
      </c>
      <c r="CV144" s="760">
        <f>'Arable Inputs'!$H$25</f>
        <v>94.285714285714292</v>
      </c>
      <c r="CW144" s="762">
        <f t="shared" si="386"/>
        <v>0</v>
      </c>
      <c r="CX144" s="197">
        <f>'Arable NPV'!$D123</f>
        <v>330</v>
      </c>
      <c r="CY144" s="197">
        <f t="shared" si="407"/>
        <v>330</v>
      </c>
      <c r="CZ144" s="197">
        <f>'Arable NPV'!$F123</f>
        <v>566.71194999999989</v>
      </c>
      <c r="DA144" s="197">
        <f>'Arable NPV'!$G123</f>
        <v>691.46913599999993</v>
      </c>
      <c r="DB144" s="197">
        <f t="shared" si="408"/>
        <v>1258.1810859999998</v>
      </c>
      <c r="DC144" s="197">
        <f t="shared" si="387"/>
        <v>-1258.1810859999998</v>
      </c>
      <c r="DD144" s="197">
        <f t="shared" si="388"/>
        <v>-928.18108599999982</v>
      </c>
      <c r="DE144" s="196">
        <f t="shared" si="389"/>
        <v>0</v>
      </c>
      <c r="DF144" s="197">
        <f t="shared" si="390"/>
        <v>276.36980470560593</v>
      </c>
      <c r="DG144" s="197">
        <f t="shared" si="391"/>
        <v>1053.7068515821429</v>
      </c>
      <c r="DH144" s="197">
        <f t="shared" si="392"/>
        <v>-1053.7068515821429</v>
      </c>
      <c r="DI144" s="199">
        <f t="shared" si="393"/>
        <v>-777.33704687653699</v>
      </c>
      <c r="DJ144" s="196">
        <f t="shared" si="394"/>
        <v>0</v>
      </c>
      <c r="DK144" s="197">
        <f t="shared" si="395"/>
        <v>2117.6731764798024</v>
      </c>
      <c r="DL144" s="197">
        <f t="shared" si="396"/>
        <v>8073.9888999285658</v>
      </c>
      <c r="DM144" s="197">
        <f t="shared" si="397"/>
        <v>-8073.9888999285658</v>
      </c>
      <c r="DN144" s="199">
        <f t="shared" si="398"/>
        <v>-5956.3157234487635</v>
      </c>
    </row>
    <row r="145" spans="2:118" x14ac:dyDescent="0.3">
      <c r="B145" s="900">
        <v>8</v>
      </c>
      <c r="C145" s="911">
        <f>'Arable Inputs'!$H$18*$E$134</f>
        <v>9.4</v>
      </c>
      <c r="D145" s="760">
        <f>'Arable Inputs'!$H$25</f>
        <v>94.285714285714292</v>
      </c>
      <c r="E145" s="762">
        <f t="shared" si="338"/>
        <v>886.28571428571433</v>
      </c>
      <c r="F145" s="197">
        <f>'Arable NPV'!$D124</f>
        <v>330</v>
      </c>
      <c r="G145" s="197">
        <f t="shared" si="399"/>
        <v>1216.2857142857142</v>
      </c>
      <c r="H145" s="197">
        <f>'Arable NPV'!$F124</f>
        <v>566.71194999999989</v>
      </c>
      <c r="I145" s="197">
        <f>'Arable NPV'!$G124</f>
        <v>691.46913599999993</v>
      </c>
      <c r="J145" s="197">
        <f t="shared" si="400"/>
        <v>1258.1810859999998</v>
      </c>
      <c r="K145" s="197">
        <f t="shared" si="339"/>
        <v>-371.89537171428549</v>
      </c>
      <c r="L145" s="197">
        <f t="shared" si="340"/>
        <v>-41.895371714285602</v>
      </c>
      <c r="M145" s="196">
        <f t="shared" si="341"/>
        <v>720.63139091059531</v>
      </c>
      <c r="N145" s="197">
        <f t="shared" si="342"/>
        <v>268.32019874330672</v>
      </c>
      <c r="O145" s="197">
        <f t="shared" si="343"/>
        <v>1023.016360759362</v>
      </c>
      <c r="P145" s="197">
        <f t="shared" si="344"/>
        <v>-302.38496984876673</v>
      </c>
      <c r="Q145" s="199">
        <f t="shared" si="345"/>
        <v>-34.064771105460075</v>
      </c>
      <c r="R145" s="196">
        <f t="shared" si="346"/>
        <v>6408.0964934563499</v>
      </c>
      <c r="S145" s="197">
        <f t="shared" si="346"/>
        <v>2385.9933752231091</v>
      </c>
      <c r="T145" s="197">
        <f t="shared" si="346"/>
        <v>9097.0052606879271</v>
      </c>
      <c r="U145" s="197">
        <f t="shared" si="346"/>
        <v>-2688.9087672315777</v>
      </c>
      <c r="V145" s="199">
        <f t="shared" si="346"/>
        <v>-302.91539200846995</v>
      </c>
      <c r="Z145" s="900">
        <v>8</v>
      </c>
      <c r="AA145" s="911">
        <f>'Arable Inputs'!$H$18*$AC$134</f>
        <v>14.100000000000001</v>
      </c>
      <c r="AB145" s="760">
        <f>'Arable Inputs'!$H$25</f>
        <v>94.285714285714292</v>
      </c>
      <c r="AC145" s="762">
        <f t="shared" si="347"/>
        <v>1329.4285714285716</v>
      </c>
      <c r="AD145" s="197">
        <f>'Arable NPV'!$D124</f>
        <v>330</v>
      </c>
      <c r="AE145" s="197">
        <f t="shared" si="401"/>
        <v>1659.4285714285716</v>
      </c>
      <c r="AF145" s="197">
        <f>'Arable NPV'!$F124</f>
        <v>566.71194999999989</v>
      </c>
      <c r="AG145" s="197">
        <f>'Arable NPV'!$G124</f>
        <v>691.46913599999993</v>
      </c>
      <c r="AH145" s="197">
        <f t="shared" si="402"/>
        <v>1258.1810859999998</v>
      </c>
      <c r="AI145" s="197">
        <f t="shared" si="348"/>
        <v>71.247485428571736</v>
      </c>
      <c r="AJ145" s="197">
        <f t="shared" si="349"/>
        <v>401.24748542857174</v>
      </c>
      <c r="AK145" s="196">
        <f t="shared" si="350"/>
        <v>1080.947086365893</v>
      </c>
      <c r="AL145" s="197">
        <f t="shared" si="351"/>
        <v>268.32019874330672</v>
      </c>
      <c r="AM145" s="197">
        <f t="shared" si="352"/>
        <v>1023.016360759362</v>
      </c>
      <c r="AN145" s="197">
        <f t="shared" si="353"/>
        <v>57.93072560653097</v>
      </c>
      <c r="AO145" s="199">
        <f t="shared" si="354"/>
        <v>326.2509243498377</v>
      </c>
      <c r="AP145" s="196">
        <f t="shared" si="355"/>
        <v>9612.1447401845271</v>
      </c>
      <c r="AQ145" s="197">
        <f t="shared" si="356"/>
        <v>2385.9933752231091</v>
      </c>
      <c r="AR145" s="197">
        <f t="shared" si="357"/>
        <v>9097.0052606879271</v>
      </c>
      <c r="AS145" s="197">
        <f t="shared" si="358"/>
        <v>515.13947949659735</v>
      </c>
      <c r="AT145" s="199">
        <f t="shared" si="359"/>
        <v>2901.1328547197058</v>
      </c>
      <c r="AX145" s="900">
        <v>8</v>
      </c>
      <c r="AY145" s="911">
        <f>'Arable Inputs'!$H$18*$BA$134</f>
        <v>4.7</v>
      </c>
      <c r="AZ145" s="760">
        <f>'Arable Inputs'!$H$25</f>
        <v>94.285714285714292</v>
      </c>
      <c r="BA145" s="762">
        <f t="shared" si="360"/>
        <v>443.14285714285717</v>
      </c>
      <c r="BB145" s="197">
        <f>'Arable NPV'!$D124</f>
        <v>330</v>
      </c>
      <c r="BC145" s="197">
        <f t="shared" si="403"/>
        <v>773.14285714285711</v>
      </c>
      <c r="BD145" s="197">
        <f>'Arable NPV'!$F124</f>
        <v>566.71194999999989</v>
      </c>
      <c r="BE145" s="197">
        <f>'Arable NPV'!$G124</f>
        <v>691.46913599999993</v>
      </c>
      <c r="BF145" s="197">
        <f t="shared" si="404"/>
        <v>1258.1810859999998</v>
      </c>
      <c r="BG145" s="197">
        <f t="shared" si="361"/>
        <v>-815.03822885714271</v>
      </c>
      <c r="BH145" s="197">
        <f t="shared" si="362"/>
        <v>-485.03822885714271</v>
      </c>
      <c r="BI145" s="196">
        <f t="shared" si="363"/>
        <v>360.31569545529766</v>
      </c>
      <c r="BJ145" s="197">
        <f t="shared" si="364"/>
        <v>268.32019874330672</v>
      </c>
      <c r="BK145" s="197">
        <f t="shared" si="365"/>
        <v>1023.016360759362</v>
      </c>
      <c r="BL145" s="197">
        <f t="shared" si="366"/>
        <v>-662.70066530406439</v>
      </c>
      <c r="BM145" s="199">
        <f t="shared" si="367"/>
        <v>-394.38046656075767</v>
      </c>
      <c r="BN145" s="196">
        <f t="shared" si="368"/>
        <v>3204.0482467281749</v>
      </c>
      <c r="BO145" s="197">
        <f t="shared" si="369"/>
        <v>2385.9933752231091</v>
      </c>
      <c r="BP145" s="197">
        <f t="shared" si="370"/>
        <v>9097.0052606879271</v>
      </c>
      <c r="BQ145" s="197">
        <f t="shared" si="371"/>
        <v>-5892.9570139597527</v>
      </c>
      <c r="BR145" s="199">
        <f t="shared" si="372"/>
        <v>-3506.9636387366445</v>
      </c>
      <c r="BV145" s="900">
        <v>8</v>
      </c>
      <c r="BW145" s="911">
        <f>'Arable Inputs'!$H$18*$BY$134</f>
        <v>18.8</v>
      </c>
      <c r="BX145" s="760">
        <f>'Arable Inputs'!$H$25</f>
        <v>94.285714285714292</v>
      </c>
      <c r="BY145" s="762">
        <f t="shared" si="373"/>
        <v>1772.5714285714287</v>
      </c>
      <c r="BZ145" s="197">
        <f>'Arable NPV'!$D124</f>
        <v>330</v>
      </c>
      <c r="CA145" s="197">
        <f t="shared" si="405"/>
        <v>2102.5714285714284</v>
      </c>
      <c r="CB145" s="197">
        <f>'Arable NPV'!$F124</f>
        <v>566.71194999999989</v>
      </c>
      <c r="CC145" s="197">
        <f>'Arable NPV'!$G124</f>
        <v>691.46913599999993</v>
      </c>
      <c r="CD145" s="197">
        <f t="shared" si="406"/>
        <v>1258.1810859999998</v>
      </c>
      <c r="CE145" s="197">
        <f t="shared" si="374"/>
        <v>514.39034257142885</v>
      </c>
      <c r="CF145" s="197">
        <f t="shared" si="375"/>
        <v>844.39034257142862</v>
      </c>
      <c r="CG145" s="196">
        <f t="shared" si="376"/>
        <v>1441.2627818211906</v>
      </c>
      <c r="CH145" s="197">
        <f t="shared" si="377"/>
        <v>268.32019874330672</v>
      </c>
      <c r="CI145" s="197">
        <f t="shared" si="378"/>
        <v>1023.016360759362</v>
      </c>
      <c r="CJ145" s="197">
        <f t="shared" si="379"/>
        <v>418.24642106182858</v>
      </c>
      <c r="CK145" s="199">
        <f t="shared" si="380"/>
        <v>686.56661980513513</v>
      </c>
      <c r="CL145" s="196">
        <f t="shared" si="381"/>
        <v>12816.1929869127</v>
      </c>
      <c r="CM145" s="197">
        <f t="shared" si="382"/>
        <v>2385.9933752231091</v>
      </c>
      <c r="CN145" s="197">
        <f t="shared" si="383"/>
        <v>9097.0052606879271</v>
      </c>
      <c r="CO145" s="197">
        <f t="shared" si="384"/>
        <v>3719.1877262247722</v>
      </c>
      <c r="CP145" s="199">
        <f t="shared" si="385"/>
        <v>6105.1811014478799</v>
      </c>
      <c r="CT145" s="900">
        <v>8</v>
      </c>
      <c r="CU145" s="911">
        <f>'Arable Inputs'!$H$18*$CW$134</f>
        <v>0</v>
      </c>
      <c r="CV145" s="760">
        <f>'Arable Inputs'!$H$25</f>
        <v>94.285714285714292</v>
      </c>
      <c r="CW145" s="762">
        <f t="shared" si="386"/>
        <v>0</v>
      </c>
      <c r="CX145" s="197">
        <f>'Arable NPV'!$D124</f>
        <v>330</v>
      </c>
      <c r="CY145" s="197">
        <f t="shared" si="407"/>
        <v>330</v>
      </c>
      <c r="CZ145" s="197">
        <f>'Arable NPV'!$F124</f>
        <v>566.71194999999989</v>
      </c>
      <c r="DA145" s="197">
        <f>'Arable NPV'!$G124</f>
        <v>691.46913599999993</v>
      </c>
      <c r="DB145" s="197">
        <f t="shared" si="408"/>
        <v>1258.1810859999998</v>
      </c>
      <c r="DC145" s="197">
        <f t="shared" si="387"/>
        <v>-1258.1810859999998</v>
      </c>
      <c r="DD145" s="197">
        <f t="shared" si="388"/>
        <v>-928.18108599999982</v>
      </c>
      <c r="DE145" s="196">
        <f t="shared" si="389"/>
        <v>0</v>
      </c>
      <c r="DF145" s="197">
        <f t="shared" si="390"/>
        <v>268.32019874330672</v>
      </c>
      <c r="DG145" s="197">
        <f t="shared" si="391"/>
        <v>1023.016360759362</v>
      </c>
      <c r="DH145" s="197">
        <f t="shared" si="392"/>
        <v>-1023.016360759362</v>
      </c>
      <c r="DI145" s="199">
        <f t="shared" si="393"/>
        <v>-754.69616201605527</v>
      </c>
      <c r="DJ145" s="196">
        <f t="shared" si="394"/>
        <v>0</v>
      </c>
      <c r="DK145" s="197">
        <f t="shared" si="395"/>
        <v>2385.9933752231091</v>
      </c>
      <c r="DL145" s="197">
        <f t="shared" si="396"/>
        <v>9097.0052606879271</v>
      </c>
      <c r="DM145" s="197">
        <f t="shared" si="397"/>
        <v>-9097.0052606879271</v>
      </c>
      <c r="DN145" s="199">
        <f t="shared" si="398"/>
        <v>-6711.011885464819</v>
      </c>
    </row>
    <row r="146" spans="2:118" x14ac:dyDescent="0.3">
      <c r="B146" s="900">
        <v>9</v>
      </c>
      <c r="C146" s="911">
        <f>'Arable Inputs'!$H$18*$E$134</f>
        <v>9.4</v>
      </c>
      <c r="D146" s="760">
        <f>'Arable Inputs'!$H$25</f>
        <v>94.285714285714292</v>
      </c>
      <c r="E146" s="762">
        <f t="shared" si="338"/>
        <v>886.28571428571433</v>
      </c>
      <c r="F146" s="197">
        <f>'Arable NPV'!$D125</f>
        <v>330</v>
      </c>
      <c r="G146" s="197">
        <f t="shared" si="399"/>
        <v>1216.2857142857142</v>
      </c>
      <c r="H146" s="197">
        <f>'Arable NPV'!$F125</f>
        <v>566.71194999999989</v>
      </c>
      <c r="I146" s="197">
        <f>'Arable NPV'!$G125</f>
        <v>691.46913599999993</v>
      </c>
      <c r="J146" s="197">
        <f t="shared" si="400"/>
        <v>1258.1810859999998</v>
      </c>
      <c r="K146" s="197">
        <f t="shared" si="339"/>
        <v>-371.89537171428549</v>
      </c>
      <c r="L146" s="197">
        <f t="shared" si="340"/>
        <v>-41.895371714285602</v>
      </c>
      <c r="M146" s="196">
        <f t="shared" si="341"/>
        <v>699.64212709766537</v>
      </c>
      <c r="N146" s="197">
        <f t="shared" si="342"/>
        <v>260.50504732359883</v>
      </c>
      <c r="O146" s="197">
        <f t="shared" si="343"/>
        <v>993.21976772753601</v>
      </c>
      <c r="P146" s="197">
        <f t="shared" si="344"/>
        <v>-293.57764062987064</v>
      </c>
      <c r="Q146" s="199">
        <f t="shared" si="345"/>
        <v>-33.072593306271919</v>
      </c>
      <c r="R146" s="196">
        <f t="shared" si="346"/>
        <v>7107.7386205540151</v>
      </c>
      <c r="S146" s="197">
        <f t="shared" si="346"/>
        <v>2646.4984225467078</v>
      </c>
      <c r="T146" s="197">
        <f t="shared" si="346"/>
        <v>10090.225028415463</v>
      </c>
      <c r="U146" s="197">
        <f t="shared" si="346"/>
        <v>-2982.4864078614482</v>
      </c>
      <c r="V146" s="199">
        <f t="shared" si="346"/>
        <v>-335.98798531474188</v>
      </c>
      <c r="Z146" s="900">
        <v>9</v>
      </c>
      <c r="AA146" s="911">
        <f>'Arable Inputs'!$H$18*$AC$134</f>
        <v>14.100000000000001</v>
      </c>
      <c r="AB146" s="760">
        <f>'Arable Inputs'!$H$25</f>
        <v>94.285714285714292</v>
      </c>
      <c r="AC146" s="762">
        <f t="shared" si="347"/>
        <v>1329.4285714285716</v>
      </c>
      <c r="AD146" s="197">
        <f>'Arable NPV'!$D125</f>
        <v>330</v>
      </c>
      <c r="AE146" s="197">
        <f t="shared" si="401"/>
        <v>1659.4285714285716</v>
      </c>
      <c r="AF146" s="197">
        <f>'Arable NPV'!$F125</f>
        <v>566.71194999999989</v>
      </c>
      <c r="AG146" s="197">
        <f>'Arable NPV'!$G125</f>
        <v>691.46913599999993</v>
      </c>
      <c r="AH146" s="197">
        <f t="shared" si="402"/>
        <v>1258.1810859999998</v>
      </c>
      <c r="AI146" s="197">
        <f t="shared" si="348"/>
        <v>71.247485428571736</v>
      </c>
      <c r="AJ146" s="197">
        <f t="shared" si="349"/>
        <v>401.24748542857174</v>
      </c>
      <c r="AK146" s="196">
        <f t="shared" si="350"/>
        <v>1049.4631906464981</v>
      </c>
      <c r="AL146" s="197">
        <f t="shared" si="351"/>
        <v>260.50504732359883</v>
      </c>
      <c r="AM146" s="197">
        <f t="shared" si="352"/>
        <v>993.21976772753601</v>
      </c>
      <c r="AN146" s="197">
        <f t="shared" si="353"/>
        <v>56.243422918962111</v>
      </c>
      <c r="AO146" s="199">
        <f t="shared" si="354"/>
        <v>316.74847024256093</v>
      </c>
      <c r="AP146" s="196">
        <f t="shared" si="355"/>
        <v>10661.607930831025</v>
      </c>
      <c r="AQ146" s="197">
        <f t="shared" si="356"/>
        <v>2646.4984225467078</v>
      </c>
      <c r="AR146" s="197">
        <f t="shared" si="357"/>
        <v>10090.225028415463</v>
      </c>
      <c r="AS146" s="197">
        <f t="shared" si="358"/>
        <v>571.38290241555944</v>
      </c>
      <c r="AT146" s="199">
        <f t="shared" si="359"/>
        <v>3217.8813249622667</v>
      </c>
      <c r="AX146" s="900">
        <v>9</v>
      </c>
      <c r="AY146" s="911">
        <f>'Arable Inputs'!$H$18*$BA$134</f>
        <v>4.7</v>
      </c>
      <c r="AZ146" s="760">
        <f>'Arable Inputs'!$H$25</f>
        <v>94.285714285714292</v>
      </c>
      <c r="BA146" s="762">
        <f t="shared" si="360"/>
        <v>443.14285714285717</v>
      </c>
      <c r="BB146" s="197">
        <f>'Arable NPV'!$D125</f>
        <v>330</v>
      </c>
      <c r="BC146" s="197">
        <f t="shared" si="403"/>
        <v>773.14285714285711</v>
      </c>
      <c r="BD146" s="197">
        <f>'Arable NPV'!$F125</f>
        <v>566.71194999999989</v>
      </c>
      <c r="BE146" s="197">
        <f>'Arable NPV'!$G125</f>
        <v>691.46913599999993</v>
      </c>
      <c r="BF146" s="197">
        <f t="shared" si="404"/>
        <v>1258.1810859999998</v>
      </c>
      <c r="BG146" s="197">
        <f t="shared" si="361"/>
        <v>-815.03822885714271</v>
      </c>
      <c r="BH146" s="197">
        <f t="shared" si="362"/>
        <v>-485.03822885714271</v>
      </c>
      <c r="BI146" s="196">
        <f t="shared" si="363"/>
        <v>349.82106354883268</v>
      </c>
      <c r="BJ146" s="197">
        <f t="shared" si="364"/>
        <v>260.50504732359883</v>
      </c>
      <c r="BK146" s="197">
        <f t="shared" si="365"/>
        <v>993.21976772753601</v>
      </c>
      <c r="BL146" s="197">
        <f t="shared" si="366"/>
        <v>-643.39870417870338</v>
      </c>
      <c r="BM146" s="199">
        <f t="shared" si="367"/>
        <v>-382.89365685510455</v>
      </c>
      <c r="BN146" s="196">
        <f t="shared" si="368"/>
        <v>3553.8693102770076</v>
      </c>
      <c r="BO146" s="197">
        <f t="shared" si="369"/>
        <v>2646.4984225467078</v>
      </c>
      <c r="BP146" s="197">
        <f t="shared" si="370"/>
        <v>10090.225028415463</v>
      </c>
      <c r="BQ146" s="197">
        <f t="shared" si="371"/>
        <v>-6536.3557181384558</v>
      </c>
      <c r="BR146" s="199">
        <f t="shared" si="372"/>
        <v>-3889.8572955917489</v>
      </c>
      <c r="BV146" s="900">
        <v>9</v>
      </c>
      <c r="BW146" s="911">
        <f>'Arable Inputs'!$H$18*$BY$134</f>
        <v>18.8</v>
      </c>
      <c r="BX146" s="760">
        <f>'Arable Inputs'!$H$25</f>
        <v>94.285714285714292</v>
      </c>
      <c r="BY146" s="762">
        <f t="shared" si="373"/>
        <v>1772.5714285714287</v>
      </c>
      <c r="BZ146" s="197">
        <f>'Arable NPV'!$D125</f>
        <v>330</v>
      </c>
      <c r="CA146" s="197">
        <f t="shared" si="405"/>
        <v>2102.5714285714284</v>
      </c>
      <c r="CB146" s="197">
        <f>'Arable NPV'!$F125</f>
        <v>566.71194999999989</v>
      </c>
      <c r="CC146" s="197">
        <f>'Arable NPV'!$G125</f>
        <v>691.46913599999993</v>
      </c>
      <c r="CD146" s="197">
        <f t="shared" si="406"/>
        <v>1258.1810859999998</v>
      </c>
      <c r="CE146" s="197">
        <f t="shared" si="374"/>
        <v>514.39034257142885</v>
      </c>
      <c r="CF146" s="197">
        <f t="shared" si="375"/>
        <v>844.39034257142862</v>
      </c>
      <c r="CG146" s="196">
        <f t="shared" si="376"/>
        <v>1399.2842541953307</v>
      </c>
      <c r="CH146" s="197">
        <f t="shared" si="377"/>
        <v>260.50504732359883</v>
      </c>
      <c r="CI146" s="197">
        <f t="shared" si="378"/>
        <v>993.21976772753601</v>
      </c>
      <c r="CJ146" s="197">
        <f t="shared" si="379"/>
        <v>406.06448646779478</v>
      </c>
      <c r="CK146" s="199">
        <f t="shared" si="380"/>
        <v>666.56953379139338</v>
      </c>
      <c r="CL146" s="196">
        <f t="shared" si="381"/>
        <v>14215.47724110803</v>
      </c>
      <c r="CM146" s="197">
        <f t="shared" si="382"/>
        <v>2646.4984225467078</v>
      </c>
      <c r="CN146" s="197">
        <f t="shared" si="383"/>
        <v>10090.225028415463</v>
      </c>
      <c r="CO146" s="197">
        <f t="shared" si="384"/>
        <v>4125.2522126925669</v>
      </c>
      <c r="CP146" s="199">
        <f t="shared" si="385"/>
        <v>6771.7506352392729</v>
      </c>
      <c r="CT146" s="900">
        <v>9</v>
      </c>
      <c r="CU146" s="911">
        <f>'Arable Inputs'!$H$18*$CW$134</f>
        <v>0</v>
      </c>
      <c r="CV146" s="760">
        <f>'Arable Inputs'!$H$25</f>
        <v>94.285714285714292</v>
      </c>
      <c r="CW146" s="762">
        <f t="shared" si="386"/>
        <v>0</v>
      </c>
      <c r="CX146" s="197">
        <f>'Arable NPV'!$D125</f>
        <v>330</v>
      </c>
      <c r="CY146" s="197">
        <f t="shared" si="407"/>
        <v>330</v>
      </c>
      <c r="CZ146" s="197">
        <f>'Arable NPV'!$F125</f>
        <v>566.71194999999989</v>
      </c>
      <c r="DA146" s="197">
        <f>'Arable NPV'!$G125</f>
        <v>691.46913599999993</v>
      </c>
      <c r="DB146" s="197">
        <f t="shared" si="408"/>
        <v>1258.1810859999998</v>
      </c>
      <c r="DC146" s="197">
        <f t="shared" si="387"/>
        <v>-1258.1810859999998</v>
      </c>
      <c r="DD146" s="197">
        <f t="shared" si="388"/>
        <v>-928.18108599999982</v>
      </c>
      <c r="DE146" s="196">
        <f t="shared" si="389"/>
        <v>0</v>
      </c>
      <c r="DF146" s="197">
        <f t="shared" si="390"/>
        <v>260.50504732359883</v>
      </c>
      <c r="DG146" s="197">
        <f t="shared" si="391"/>
        <v>993.21976772753601</v>
      </c>
      <c r="DH146" s="197">
        <f t="shared" si="392"/>
        <v>-993.21976772753601</v>
      </c>
      <c r="DI146" s="199">
        <f t="shared" si="393"/>
        <v>-732.71472040393724</v>
      </c>
      <c r="DJ146" s="196">
        <f t="shared" si="394"/>
        <v>0</v>
      </c>
      <c r="DK146" s="197">
        <f t="shared" si="395"/>
        <v>2646.4984225467078</v>
      </c>
      <c r="DL146" s="197">
        <f t="shared" si="396"/>
        <v>10090.225028415463</v>
      </c>
      <c r="DM146" s="197">
        <f t="shared" si="397"/>
        <v>-10090.225028415463</v>
      </c>
      <c r="DN146" s="199">
        <f t="shared" si="398"/>
        <v>-7443.7266058687565</v>
      </c>
    </row>
    <row r="147" spans="2:118" x14ac:dyDescent="0.3">
      <c r="B147" s="900">
        <v>10</v>
      </c>
      <c r="C147" s="911">
        <f>'Arable Inputs'!$H$18*$E$134</f>
        <v>9.4</v>
      </c>
      <c r="D147" s="760">
        <f>'Arable Inputs'!$H$25</f>
        <v>94.285714285714292</v>
      </c>
      <c r="E147" s="762">
        <f t="shared" si="338"/>
        <v>886.28571428571433</v>
      </c>
      <c r="F147" s="197">
        <f>'Arable NPV'!$D126</f>
        <v>330</v>
      </c>
      <c r="G147" s="197">
        <f t="shared" si="399"/>
        <v>1216.2857142857142</v>
      </c>
      <c r="H147" s="197">
        <f>'Arable NPV'!$F126</f>
        <v>566.71194999999989</v>
      </c>
      <c r="I147" s="197">
        <f>'Arable NPV'!$G126</f>
        <v>691.46913599999993</v>
      </c>
      <c r="J147" s="197">
        <f t="shared" si="400"/>
        <v>1258.1810859999998</v>
      </c>
      <c r="K147" s="197">
        <f t="shared" si="339"/>
        <v>-371.89537171428549</v>
      </c>
      <c r="L147" s="197">
        <f t="shared" si="340"/>
        <v>-41.895371714285602</v>
      </c>
      <c r="M147" s="196">
        <f t="shared" si="341"/>
        <v>679.26420106569458</v>
      </c>
      <c r="N147" s="197">
        <f t="shared" si="342"/>
        <v>252.91752167339689</v>
      </c>
      <c r="O147" s="197">
        <f t="shared" si="343"/>
        <v>964.29103662867578</v>
      </c>
      <c r="P147" s="197">
        <f t="shared" si="344"/>
        <v>-285.0268355629812</v>
      </c>
      <c r="Q147" s="199">
        <f t="shared" si="345"/>
        <v>-32.109313889584385</v>
      </c>
      <c r="R147" s="196">
        <f t="shared" si="346"/>
        <v>7787.0028216197097</v>
      </c>
      <c r="S147" s="197">
        <f t="shared" si="346"/>
        <v>2899.4159442201048</v>
      </c>
      <c r="T147" s="197">
        <f t="shared" si="346"/>
        <v>11054.516065044139</v>
      </c>
      <c r="U147" s="197">
        <f t="shared" si="346"/>
        <v>-3267.5132434244297</v>
      </c>
      <c r="V147" s="199">
        <f t="shared" si="346"/>
        <v>-368.09729920432625</v>
      </c>
      <c r="Z147" s="900">
        <v>10</v>
      </c>
      <c r="AA147" s="911">
        <f>'Arable Inputs'!$H$18*$AC$134</f>
        <v>14.100000000000001</v>
      </c>
      <c r="AB147" s="760">
        <f>'Arable Inputs'!$H$25</f>
        <v>94.285714285714292</v>
      </c>
      <c r="AC147" s="762">
        <f t="shared" si="347"/>
        <v>1329.4285714285716</v>
      </c>
      <c r="AD147" s="197">
        <f>'Arable NPV'!$D126</f>
        <v>330</v>
      </c>
      <c r="AE147" s="197">
        <f t="shared" si="401"/>
        <v>1659.4285714285716</v>
      </c>
      <c r="AF147" s="197">
        <f>'Arable NPV'!$F126</f>
        <v>566.71194999999989</v>
      </c>
      <c r="AG147" s="197">
        <f>'Arable NPV'!$G126</f>
        <v>691.46913599999993</v>
      </c>
      <c r="AH147" s="197">
        <f t="shared" si="402"/>
        <v>1258.1810859999998</v>
      </c>
      <c r="AI147" s="197">
        <f t="shared" si="348"/>
        <v>71.247485428571736</v>
      </c>
      <c r="AJ147" s="197">
        <f t="shared" si="349"/>
        <v>401.24748542857174</v>
      </c>
      <c r="AK147" s="196">
        <f t="shared" si="350"/>
        <v>1018.8963015985419</v>
      </c>
      <c r="AL147" s="197">
        <f t="shared" si="351"/>
        <v>252.91752167339689</v>
      </c>
      <c r="AM147" s="197">
        <f t="shared" si="352"/>
        <v>964.29103662867578</v>
      </c>
      <c r="AN147" s="197">
        <f t="shared" si="353"/>
        <v>54.605264969866127</v>
      </c>
      <c r="AO147" s="199">
        <f t="shared" si="354"/>
        <v>307.52278664326303</v>
      </c>
      <c r="AP147" s="196">
        <f t="shared" si="355"/>
        <v>11680.504232429568</v>
      </c>
      <c r="AQ147" s="197">
        <f t="shared" si="356"/>
        <v>2899.4159442201048</v>
      </c>
      <c r="AR147" s="197">
        <f t="shared" si="357"/>
        <v>11054.516065044139</v>
      </c>
      <c r="AS147" s="197">
        <f t="shared" si="358"/>
        <v>625.98816738542553</v>
      </c>
      <c r="AT147" s="199">
        <f t="shared" si="359"/>
        <v>3525.4041116055296</v>
      </c>
      <c r="AX147" s="900">
        <v>10</v>
      </c>
      <c r="AY147" s="911">
        <f>'Arable Inputs'!$H$18*$BA$134</f>
        <v>4.7</v>
      </c>
      <c r="AZ147" s="760">
        <f>'Arable Inputs'!$H$25</f>
        <v>94.285714285714292</v>
      </c>
      <c r="BA147" s="762">
        <f t="shared" si="360"/>
        <v>443.14285714285717</v>
      </c>
      <c r="BB147" s="197">
        <f>'Arable NPV'!$D126</f>
        <v>330</v>
      </c>
      <c r="BC147" s="197">
        <f t="shared" si="403"/>
        <v>773.14285714285711</v>
      </c>
      <c r="BD147" s="197">
        <f>'Arable NPV'!$F126</f>
        <v>566.71194999999989</v>
      </c>
      <c r="BE147" s="197">
        <f>'Arable NPV'!$G126</f>
        <v>691.46913599999993</v>
      </c>
      <c r="BF147" s="197">
        <f t="shared" si="404"/>
        <v>1258.1810859999998</v>
      </c>
      <c r="BG147" s="197">
        <f t="shared" si="361"/>
        <v>-815.03822885714271</v>
      </c>
      <c r="BH147" s="197">
        <f t="shared" si="362"/>
        <v>-485.03822885714271</v>
      </c>
      <c r="BI147" s="196">
        <f t="shared" si="363"/>
        <v>339.63210053284729</v>
      </c>
      <c r="BJ147" s="197">
        <f t="shared" si="364"/>
        <v>252.91752167339689</v>
      </c>
      <c r="BK147" s="197">
        <f t="shared" si="365"/>
        <v>964.29103662867578</v>
      </c>
      <c r="BL147" s="197">
        <f t="shared" si="366"/>
        <v>-624.65893609582849</v>
      </c>
      <c r="BM147" s="199">
        <f t="shared" si="367"/>
        <v>-371.7414144224316</v>
      </c>
      <c r="BN147" s="196">
        <f t="shared" si="368"/>
        <v>3893.5014108098549</v>
      </c>
      <c r="BO147" s="197">
        <f t="shared" si="369"/>
        <v>2899.4159442201048</v>
      </c>
      <c r="BP147" s="197">
        <f t="shared" si="370"/>
        <v>11054.516065044139</v>
      </c>
      <c r="BQ147" s="197">
        <f t="shared" si="371"/>
        <v>-7161.0146542342845</v>
      </c>
      <c r="BR147" s="199">
        <f t="shared" si="372"/>
        <v>-4261.5987100141801</v>
      </c>
      <c r="BV147" s="900">
        <v>10</v>
      </c>
      <c r="BW147" s="911">
        <f>'Arable Inputs'!$H$18*$BY$134</f>
        <v>18.8</v>
      </c>
      <c r="BX147" s="760">
        <f>'Arable Inputs'!$H$25</f>
        <v>94.285714285714292</v>
      </c>
      <c r="BY147" s="762">
        <f t="shared" si="373"/>
        <v>1772.5714285714287</v>
      </c>
      <c r="BZ147" s="197">
        <f>'Arable NPV'!$D126</f>
        <v>330</v>
      </c>
      <c r="CA147" s="197">
        <f t="shared" si="405"/>
        <v>2102.5714285714284</v>
      </c>
      <c r="CB147" s="197">
        <f>'Arable NPV'!$F126</f>
        <v>566.71194999999989</v>
      </c>
      <c r="CC147" s="197">
        <f>'Arable NPV'!$G126</f>
        <v>691.46913599999993</v>
      </c>
      <c r="CD147" s="197">
        <f t="shared" si="406"/>
        <v>1258.1810859999998</v>
      </c>
      <c r="CE147" s="197">
        <f t="shared" si="374"/>
        <v>514.39034257142885</v>
      </c>
      <c r="CF147" s="197">
        <f t="shared" si="375"/>
        <v>844.39034257142862</v>
      </c>
      <c r="CG147" s="196">
        <f t="shared" si="376"/>
        <v>1358.5284021313892</v>
      </c>
      <c r="CH147" s="197">
        <f t="shared" si="377"/>
        <v>252.91752167339689</v>
      </c>
      <c r="CI147" s="197">
        <f t="shared" si="378"/>
        <v>964.29103662867578</v>
      </c>
      <c r="CJ147" s="197">
        <f t="shared" si="379"/>
        <v>394.23736550271337</v>
      </c>
      <c r="CK147" s="199">
        <f t="shared" si="380"/>
        <v>647.15488717611004</v>
      </c>
      <c r="CL147" s="196">
        <f t="shared" si="381"/>
        <v>15574.005643239419</v>
      </c>
      <c r="CM147" s="197">
        <f t="shared" si="382"/>
        <v>2899.4159442201048</v>
      </c>
      <c r="CN147" s="197">
        <f t="shared" si="383"/>
        <v>11054.516065044139</v>
      </c>
      <c r="CO147" s="197">
        <f t="shared" si="384"/>
        <v>4519.48957819528</v>
      </c>
      <c r="CP147" s="199">
        <f t="shared" si="385"/>
        <v>7418.9055224153826</v>
      </c>
      <c r="CT147" s="900">
        <v>10</v>
      </c>
      <c r="CU147" s="911">
        <f>'Arable Inputs'!$H$18*$CW$134</f>
        <v>0</v>
      </c>
      <c r="CV147" s="760">
        <f>'Arable Inputs'!$H$25</f>
        <v>94.285714285714292</v>
      </c>
      <c r="CW147" s="762">
        <f t="shared" si="386"/>
        <v>0</v>
      </c>
      <c r="CX147" s="197">
        <f>'Arable NPV'!$D126</f>
        <v>330</v>
      </c>
      <c r="CY147" s="197">
        <f t="shared" si="407"/>
        <v>330</v>
      </c>
      <c r="CZ147" s="197">
        <f>'Arable NPV'!$F126</f>
        <v>566.71194999999989</v>
      </c>
      <c r="DA147" s="197">
        <f>'Arable NPV'!$G126</f>
        <v>691.46913599999993</v>
      </c>
      <c r="DB147" s="197">
        <f t="shared" si="408"/>
        <v>1258.1810859999998</v>
      </c>
      <c r="DC147" s="197">
        <f t="shared" si="387"/>
        <v>-1258.1810859999998</v>
      </c>
      <c r="DD147" s="197">
        <f t="shared" si="388"/>
        <v>-928.18108599999982</v>
      </c>
      <c r="DE147" s="196">
        <f t="shared" si="389"/>
        <v>0</v>
      </c>
      <c r="DF147" s="197">
        <f t="shared" si="390"/>
        <v>252.91752167339689</v>
      </c>
      <c r="DG147" s="197">
        <f t="shared" si="391"/>
        <v>964.29103662867578</v>
      </c>
      <c r="DH147" s="197">
        <f t="shared" si="392"/>
        <v>-964.29103662867578</v>
      </c>
      <c r="DI147" s="199">
        <f t="shared" si="393"/>
        <v>-711.37351495527889</v>
      </c>
      <c r="DJ147" s="196">
        <f t="shared" si="394"/>
        <v>0</v>
      </c>
      <c r="DK147" s="197">
        <f t="shared" si="395"/>
        <v>2899.4159442201048</v>
      </c>
      <c r="DL147" s="197">
        <f t="shared" si="396"/>
        <v>11054.516065044139</v>
      </c>
      <c r="DM147" s="197">
        <f t="shared" si="397"/>
        <v>-11054.516065044139</v>
      </c>
      <c r="DN147" s="199">
        <f t="shared" si="398"/>
        <v>-8155.100120824035</v>
      </c>
    </row>
    <row r="148" spans="2:118" x14ac:dyDescent="0.3">
      <c r="B148" s="900">
        <v>11</v>
      </c>
      <c r="C148" s="911">
        <f>'Arable Inputs'!$H$18*$E$134</f>
        <v>9.4</v>
      </c>
      <c r="D148" s="760">
        <f>'Arable Inputs'!$H$25</f>
        <v>94.285714285714292</v>
      </c>
      <c r="E148" s="762">
        <f t="shared" si="338"/>
        <v>886.28571428571433</v>
      </c>
      <c r="F148" s="197">
        <f>'Arable NPV'!$D127</f>
        <v>330</v>
      </c>
      <c r="G148" s="197">
        <f t="shared" si="399"/>
        <v>1216.2857142857142</v>
      </c>
      <c r="H148" s="197">
        <f>'Arable NPV'!$F127</f>
        <v>566.71194999999989</v>
      </c>
      <c r="I148" s="197">
        <f>'Arable NPV'!$G127</f>
        <v>691.46913599999993</v>
      </c>
      <c r="J148" s="197">
        <f t="shared" si="400"/>
        <v>1258.1810859999998</v>
      </c>
      <c r="K148" s="197">
        <f t="shared" si="339"/>
        <v>-371.89537171428549</v>
      </c>
      <c r="L148" s="197">
        <f t="shared" si="340"/>
        <v>-41.895371714285602</v>
      </c>
      <c r="M148" s="196">
        <f t="shared" si="341"/>
        <v>659.47980685989762</v>
      </c>
      <c r="N148" s="197">
        <f t="shared" si="342"/>
        <v>245.55099191591933</v>
      </c>
      <c r="O148" s="197">
        <f t="shared" si="343"/>
        <v>936.2048899307531</v>
      </c>
      <c r="P148" s="197">
        <f t="shared" si="344"/>
        <v>-276.72508307085553</v>
      </c>
      <c r="Q148" s="199">
        <f t="shared" si="345"/>
        <v>-31.174091154936299</v>
      </c>
      <c r="R148" s="196">
        <f t="shared" si="346"/>
        <v>8446.4826284796072</v>
      </c>
      <c r="S148" s="197">
        <f t="shared" si="346"/>
        <v>3144.9669361360243</v>
      </c>
      <c r="T148" s="197">
        <f t="shared" si="346"/>
        <v>11990.720954974893</v>
      </c>
      <c r="U148" s="197">
        <f t="shared" si="346"/>
        <v>-3544.238326495285</v>
      </c>
      <c r="V148" s="199">
        <f t="shared" si="346"/>
        <v>-399.27139035926257</v>
      </c>
      <c r="Z148" s="900">
        <v>11</v>
      </c>
      <c r="AA148" s="911">
        <f>'Arable Inputs'!$H$18*$AC$134</f>
        <v>14.100000000000001</v>
      </c>
      <c r="AB148" s="760">
        <f>'Arable Inputs'!$H$25</f>
        <v>94.285714285714292</v>
      </c>
      <c r="AC148" s="762">
        <f t="shared" si="347"/>
        <v>1329.4285714285716</v>
      </c>
      <c r="AD148" s="197">
        <f>'Arable NPV'!$D127</f>
        <v>330</v>
      </c>
      <c r="AE148" s="197">
        <f t="shared" si="401"/>
        <v>1659.4285714285716</v>
      </c>
      <c r="AF148" s="197">
        <f>'Arable NPV'!$F127</f>
        <v>566.71194999999989</v>
      </c>
      <c r="AG148" s="197">
        <f>'Arable NPV'!$G127</f>
        <v>691.46913599999993</v>
      </c>
      <c r="AH148" s="197">
        <f t="shared" si="402"/>
        <v>1258.1810859999998</v>
      </c>
      <c r="AI148" s="197">
        <f t="shared" si="348"/>
        <v>71.247485428571736</v>
      </c>
      <c r="AJ148" s="197">
        <f t="shared" si="349"/>
        <v>401.24748542857174</v>
      </c>
      <c r="AK148" s="196">
        <f t="shared" si="350"/>
        <v>989.21971028984649</v>
      </c>
      <c r="AL148" s="197">
        <f t="shared" si="351"/>
        <v>245.55099191591933</v>
      </c>
      <c r="AM148" s="197">
        <f t="shared" si="352"/>
        <v>936.2048899307531</v>
      </c>
      <c r="AN148" s="197">
        <f t="shared" si="353"/>
        <v>53.014820359093328</v>
      </c>
      <c r="AO148" s="199">
        <f t="shared" si="354"/>
        <v>298.56581227501266</v>
      </c>
      <c r="AP148" s="196">
        <f t="shared" si="355"/>
        <v>12669.723942719414</v>
      </c>
      <c r="AQ148" s="197">
        <f t="shared" si="356"/>
        <v>3144.9669361360243</v>
      </c>
      <c r="AR148" s="197">
        <f t="shared" si="357"/>
        <v>11990.720954974893</v>
      </c>
      <c r="AS148" s="197">
        <f t="shared" si="358"/>
        <v>679.0029877445188</v>
      </c>
      <c r="AT148" s="199">
        <f t="shared" si="359"/>
        <v>3823.9699238805424</v>
      </c>
      <c r="AX148" s="900">
        <v>11</v>
      </c>
      <c r="AY148" s="911">
        <f>'Arable Inputs'!$H$18*$BA$134</f>
        <v>4.7</v>
      </c>
      <c r="AZ148" s="760">
        <f>'Arable Inputs'!$H$25</f>
        <v>94.285714285714292</v>
      </c>
      <c r="BA148" s="762">
        <f t="shared" si="360"/>
        <v>443.14285714285717</v>
      </c>
      <c r="BB148" s="197">
        <f>'Arable NPV'!$D127</f>
        <v>330</v>
      </c>
      <c r="BC148" s="197">
        <f t="shared" si="403"/>
        <v>773.14285714285711</v>
      </c>
      <c r="BD148" s="197">
        <f>'Arable NPV'!$F127</f>
        <v>566.71194999999989</v>
      </c>
      <c r="BE148" s="197">
        <f>'Arable NPV'!$G127</f>
        <v>691.46913599999993</v>
      </c>
      <c r="BF148" s="197">
        <f t="shared" si="404"/>
        <v>1258.1810859999998</v>
      </c>
      <c r="BG148" s="197">
        <f t="shared" si="361"/>
        <v>-815.03822885714271</v>
      </c>
      <c r="BH148" s="197">
        <f t="shared" si="362"/>
        <v>-485.03822885714271</v>
      </c>
      <c r="BI148" s="196">
        <f t="shared" si="363"/>
        <v>329.73990342994881</v>
      </c>
      <c r="BJ148" s="197">
        <f t="shared" si="364"/>
        <v>245.55099191591933</v>
      </c>
      <c r="BK148" s="197">
        <f t="shared" si="365"/>
        <v>936.2048899307531</v>
      </c>
      <c r="BL148" s="197">
        <f t="shared" si="366"/>
        <v>-606.46498650080434</v>
      </c>
      <c r="BM148" s="199">
        <f t="shared" si="367"/>
        <v>-360.91399458488507</v>
      </c>
      <c r="BN148" s="196">
        <f t="shared" si="368"/>
        <v>4223.2413142398036</v>
      </c>
      <c r="BO148" s="197">
        <f t="shared" si="369"/>
        <v>3144.9669361360243</v>
      </c>
      <c r="BP148" s="197">
        <f t="shared" si="370"/>
        <v>11990.720954974893</v>
      </c>
      <c r="BQ148" s="197">
        <f t="shared" si="371"/>
        <v>-7767.4796407350887</v>
      </c>
      <c r="BR148" s="199">
        <f t="shared" si="372"/>
        <v>-4622.5127045990648</v>
      </c>
      <c r="BV148" s="900">
        <v>11</v>
      </c>
      <c r="BW148" s="911">
        <f>'Arable Inputs'!$H$18*$BY$134</f>
        <v>18.8</v>
      </c>
      <c r="BX148" s="760">
        <f>'Arable Inputs'!$H$25</f>
        <v>94.285714285714292</v>
      </c>
      <c r="BY148" s="762">
        <f t="shared" si="373"/>
        <v>1772.5714285714287</v>
      </c>
      <c r="BZ148" s="197">
        <f>'Arable NPV'!$D127</f>
        <v>330</v>
      </c>
      <c r="CA148" s="197">
        <f t="shared" si="405"/>
        <v>2102.5714285714284</v>
      </c>
      <c r="CB148" s="197">
        <f>'Arable NPV'!$F127</f>
        <v>566.71194999999989</v>
      </c>
      <c r="CC148" s="197">
        <f>'Arable NPV'!$G127</f>
        <v>691.46913599999993</v>
      </c>
      <c r="CD148" s="197">
        <f t="shared" si="406"/>
        <v>1258.1810859999998</v>
      </c>
      <c r="CE148" s="197">
        <f t="shared" si="374"/>
        <v>514.39034257142885</v>
      </c>
      <c r="CF148" s="197">
        <f t="shared" si="375"/>
        <v>844.39034257142862</v>
      </c>
      <c r="CG148" s="196">
        <f t="shared" si="376"/>
        <v>1318.9596137197952</v>
      </c>
      <c r="CH148" s="197">
        <f t="shared" si="377"/>
        <v>245.55099191591933</v>
      </c>
      <c r="CI148" s="197">
        <f t="shared" si="378"/>
        <v>936.2048899307531</v>
      </c>
      <c r="CJ148" s="197">
        <f t="shared" si="379"/>
        <v>382.75472378904209</v>
      </c>
      <c r="CK148" s="199">
        <f t="shared" si="380"/>
        <v>628.30571570496124</v>
      </c>
      <c r="CL148" s="196">
        <f t="shared" si="381"/>
        <v>16892.965256959214</v>
      </c>
      <c r="CM148" s="197">
        <f t="shared" si="382"/>
        <v>3144.9669361360243</v>
      </c>
      <c r="CN148" s="197">
        <f t="shared" si="383"/>
        <v>11990.720954974893</v>
      </c>
      <c r="CO148" s="197">
        <f t="shared" si="384"/>
        <v>4902.2443019843222</v>
      </c>
      <c r="CP148" s="199">
        <f t="shared" si="385"/>
        <v>8047.2112381203442</v>
      </c>
      <c r="CT148" s="900">
        <v>11</v>
      </c>
      <c r="CU148" s="911">
        <f>'Arable Inputs'!$H$18*$CW$134</f>
        <v>0</v>
      </c>
      <c r="CV148" s="760">
        <f>'Arable Inputs'!$H$25</f>
        <v>94.285714285714292</v>
      </c>
      <c r="CW148" s="762">
        <f t="shared" si="386"/>
        <v>0</v>
      </c>
      <c r="CX148" s="197">
        <f>'Arable NPV'!$D127</f>
        <v>330</v>
      </c>
      <c r="CY148" s="197">
        <f t="shared" si="407"/>
        <v>330</v>
      </c>
      <c r="CZ148" s="197">
        <f>'Arable NPV'!$F127</f>
        <v>566.71194999999989</v>
      </c>
      <c r="DA148" s="197">
        <f>'Arable NPV'!$G127</f>
        <v>691.46913599999993</v>
      </c>
      <c r="DB148" s="197">
        <f t="shared" si="408"/>
        <v>1258.1810859999998</v>
      </c>
      <c r="DC148" s="197">
        <f t="shared" si="387"/>
        <v>-1258.1810859999998</v>
      </c>
      <c r="DD148" s="197">
        <f t="shared" si="388"/>
        <v>-928.18108599999982</v>
      </c>
      <c r="DE148" s="196">
        <f t="shared" si="389"/>
        <v>0</v>
      </c>
      <c r="DF148" s="197">
        <f t="shared" si="390"/>
        <v>245.55099191591933</v>
      </c>
      <c r="DG148" s="197">
        <f t="shared" si="391"/>
        <v>936.2048899307531</v>
      </c>
      <c r="DH148" s="197">
        <f t="shared" si="392"/>
        <v>-936.2048899307531</v>
      </c>
      <c r="DI148" s="199">
        <f t="shared" si="393"/>
        <v>-690.65389801483389</v>
      </c>
      <c r="DJ148" s="196">
        <f t="shared" si="394"/>
        <v>0</v>
      </c>
      <c r="DK148" s="197">
        <f t="shared" si="395"/>
        <v>3144.9669361360243</v>
      </c>
      <c r="DL148" s="197">
        <f t="shared" si="396"/>
        <v>11990.720954974893</v>
      </c>
      <c r="DM148" s="197">
        <f t="shared" si="397"/>
        <v>-11990.720954974893</v>
      </c>
      <c r="DN148" s="199">
        <f t="shared" si="398"/>
        <v>-8845.7540188388684</v>
      </c>
    </row>
    <row r="149" spans="2:118" x14ac:dyDescent="0.3">
      <c r="B149" s="900">
        <v>12</v>
      </c>
      <c r="C149" s="911">
        <f>'Arable Inputs'!$H$18*$E$134</f>
        <v>9.4</v>
      </c>
      <c r="D149" s="760">
        <f>'Arable Inputs'!$H$25</f>
        <v>94.285714285714292</v>
      </c>
      <c r="E149" s="762">
        <f t="shared" si="338"/>
        <v>886.28571428571433</v>
      </c>
      <c r="F149" s="197">
        <f>'Arable NPV'!$D128</f>
        <v>330</v>
      </c>
      <c r="G149" s="197">
        <f t="shared" si="399"/>
        <v>1216.2857142857142</v>
      </c>
      <c r="H149" s="197">
        <f>'Arable NPV'!$F128</f>
        <v>566.71194999999989</v>
      </c>
      <c r="I149" s="197">
        <f>'Arable NPV'!$G128</f>
        <v>691.46913599999993</v>
      </c>
      <c r="J149" s="197">
        <f t="shared" si="400"/>
        <v>1258.1810859999998</v>
      </c>
      <c r="K149" s="197">
        <f t="shared" si="339"/>
        <v>-371.89537171428549</v>
      </c>
      <c r="L149" s="197">
        <f t="shared" si="340"/>
        <v>-41.895371714285602</v>
      </c>
      <c r="M149" s="196">
        <f t="shared" si="341"/>
        <v>640.27165714553166</v>
      </c>
      <c r="N149" s="197">
        <f t="shared" si="342"/>
        <v>238.39902127759154</v>
      </c>
      <c r="O149" s="197">
        <f t="shared" si="343"/>
        <v>908.93678634053697</v>
      </c>
      <c r="P149" s="197">
        <f t="shared" si="344"/>
        <v>-268.66512919500536</v>
      </c>
      <c r="Q149" s="199">
        <f t="shared" si="345"/>
        <v>-30.26610791741388</v>
      </c>
      <c r="R149" s="196">
        <f t="shared" si="346"/>
        <v>9086.7542856251384</v>
      </c>
      <c r="S149" s="197">
        <f t="shared" si="346"/>
        <v>3383.3659574136159</v>
      </c>
      <c r="T149" s="197">
        <f t="shared" si="346"/>
        <v>12899.65774131543</v>
      </c>
      <c r="U149" s="197">
        <f t="shared" si="346"/>
        <v>-3812.9034556902902</v>
      </c>
      <c r="V149" s="199">
        <f t="shared" si="346"/>
        <v>-429.53749827667644</v>
      </c>
      <c r="Z149" s="900">
        <v>12</v>
      </c>
      <c r="AA149" s="911">
        <f>'Arable Inputs'!$H$18*$AC$134</f>
        <v>14.100000000000001</v>
      </c>
      <c r="AB149" s="760">
        <f>'Arable Inputs'!$H$25</f>
        <v>94.285714285714292</v>
      </c>
      <c r="AC149" s="762">
        <f t="shared" si="347"/>
        <v>1329.4285714285716</v>
      </c>
      <c r="AD149" s="197">
        <f>'Arable NPV'!$D128</f>
        <v>330</v>
      </c>
      <c r="AE149" s="197">
        <f t="shared" si="401"/>
        <v>1659.4285714285716</v>
      </c>
      <c r="AF149" s="197">
        <f>'Arable NPV'!$F128</f>
        <v>566.71194999999989</v>
      </c>
      <c r="AG149" s="197">
        <f>'Arable NPV'!$G128</f>
        <v>691.46913599999993</v>
      </c>
      <c r="AH149" s="197">
        <f t="shared" si="402"/>
        <v>1258.1810859999998</v>
      </c>
      <c r="AI149" s="197">
        <f t="shared" si="348"/>
        <v>71.247485428571736</v>
      </c>
      <c r="AJ149" s="197">
        <f t="shared" si="349"/>
        <v>401.24748542857174</v>
      </c>
      <c r="AK149" s="196">
        <f t="shared" si="350"/>
        <v>960.40748571829749</v>
      </c>
      <c r="AL149" s="197">
        <f t="shared" si="351"/>
        <v>238.39902127759154</v>
      </c>
      <c r="AM149" s="197">
        <f t="shared" si="352"/>
        <v>908.93678634053697</v>
      </c>
      <c r="AN149" s="197">
        <f t="shared" si="353"/>
        <v>51.470699377760511</v>
      </c>
      <c r="AO149" s="199">
        <f t="shared" si="354"/>
        <v>289.86972065535207</v>
      </c>
      <c r="AP149" s="196">
        <f t="shared" si="355"/>
        <v>13630.131428437711</v>
      </c>
      <c r="AQ149" s="197">
        <f t="shared" si="356"/>
        <v>3383.3659574136159</v>
      </c>
      <c r="AR149" s="197">
        <f t="shared" si="357"/>
        <v>12899.65774131543</v>
      </c>
      <c r="AS149" s="197">
        <f t="shared" si="358"/>
        <v>730.47368712227933</v>
      </c>
      <c r="AT149" s="199">
        <f t="shared" si="359"/>
        <v>4113.8396445358949</v>
      </c>
      <c r="AX149" s="900">
        <v>12</v>
      </c>
      <c r="AY149" s="911">
        <f>'Arable Inputs'!$H$18*$BA$134</f>
        <v>4.7</v>
      </c>
      <c r="AZ149" s="760">
        <f>'Arable Inputs'!$H$25</f>
        <v>94.285714285714292</v>
      </c>
      <c r="BA149" s="762">
        <f t="shared" si="360"/>
        <v>443.14285714285717</v>
      </c>
      <c r="BB149" s="197">
        <f>'Arable NPV'!$D128</f>
        <v>330</v>
      </c>
      <c r="BC149" s="197">
        <f t="shared" si="403"/>
        <v>773.14285714285711</v>
      </c>
      <c r="BD149" s="197">
        <f>'Arable NPV'!$F128</f>
        <v>566.71194999999989</v>
      </c>
      <c r="BE149" s="197">
        <f>'Arable NPV'!$G128</f>
        <v>691.46913599999993</v>
      </c>
      <c r="BF149" s="197">
        <f t="shared" si="404"/>
        <v>1258.1810859999998</v>
      </c>
      <c r="BG149" s="197">
        <f t="shared" si="361"/>
        <v>-815.03822885714271</v>
      </c>
      <c r="BH149" s="197">
        <f t="shared" si="362"/>
        <v>-485.03822885714271</v>
      </c>
      <c r="BI149" s="196">
        <f t="shared" si="363"/>
        <v>320.13582857276583</v>
      </c>
      <c r="BJ149" s="197">
        <f t="shared" si="364"/>
        <v>238.39902127759154</v>
      </c>
      <c r="BK149" s="197">
        <f t="shared" si="365"/>
        <v>908.93678634053697</v>
      </c>
      <c r="BL149" s="197">
        <f t="shared" si="366"/>
        <v>-588.80095776777125</v>
      </c>
      <c r="BM149" s="199">
        <f t="shared" si="367"/>
        <v>-350.40193649017965</v>
      </c>
      <c r="BN149" s="196">
        <f t="shared" si="368"/>
        <v>4543.3771428125692</v>
      </c>
      <c r="BO149" s="197">
        <f t="shared" si="369"/>
        <v>3383.3659574136159</v>
      </c>
      <c r="BP149" s="197">
        <f t="shared" si="370"/>
        <v>12899.65774131543</v>
      </c>
      <c r="BQ149" s="197">
        <f t="shared" si="371"/>
        <v>-8356.2805985028608</v>
      </c>
      <c r="BR149" s="199">
        <f t="shared" si="372"/>
        <v>-4972.9146410892445</v>
      </c>
      <c r="BV149" s="900">
        <v>12</v>
      </c>
      <c r="BW149" s="911">
        <f>'Arable Inputs'!$H$18*$BY$134</f>
        <v>18.8</v>
      </c>
      <c r="BX149" s="760">
        <f>'Arable Inputs'!$H$25</f>
        <v>94.285714285714292</v>
      </c>
      <c r="BY149" s="762">
        <f t="shared" si="373"/>
        <v>1772.5714285714287</v>
      </c>
      <c r="BZ149" s="197">
        <f>'Arable NPV'!$D128</f>
        <v>330</v>
      </c>
      <c r="CA149" s="197">
        <f t="shared" si="405"/>
        <v>2102.5714285714284</v>
      </c>
      <c r="CB149" s="197">
        <f>'Arable NPV'!$F128</f>
        <v>566.71194999999989</v>
      </c>
      <c r="CC149" s="197">
        <f>'Arable NPV'!$G128</f>
        <v>691.46913599999993</v>
      </c>
      <c r="CD149" s="197">
        <f t="shared" si="406"/>
        <v>1258.1810859999998</v>
      </c>
      <c r="CE149" s="197">
        <f t="shared" si="374"/>
        <v>514.39034257142885</v>
      </c>
      <c r="CF149" s="197">
        <f t="shared" si="375"/>
        <v>844.39034257142862</v>
      </c>
      <c r="CG149" s="196">
        <f t="shared" si="376"/>
        <v>1280.5433142910633</v>
      </c>
      <c r="CH149" s="197">
        <f t="shared" si="377"/>
        <v>238.39902127759154</v>
      </c>
      <c r="CI149" s="197">
        <f t="shared" si="378"/>
        <v>908.93678634053697</v>
      </c>
      <c r="CJ149" s="197">
        <f t="shared" si="379"/>
        <v>371.6065279505263</v>
      </c>
      <c r="CK149" s="199">
        <f t="shared" si="380"/>
        <v>610.00554922811773</v>
      </c>
      <c r="CL149" s="196">
        <f t="shared" si="381"/>
        <v>18173.508571250277</v>
      </c>
      <c r="CM149" s="197">
        <f t="shared" si="382"/>
        <v>3383.3659574136159</v>
      </c>
      <c r="CN149" s="197">
        <f t="shared" si="383"/>
        <v>12899.65774131543</v>
      </c>
      <c r="CO149" s="197">
        <f t="shared" si="384"/>
        <v>5273.8508299348487</v>
      </c>
      <c r="CP149" s="199">
        <f t="shared" si="385"/>
        <v>8657.2167873484614</v>
      </c>
      <c r="CT149" s="900">
        <v>12</v>
      </c>
      <c r="CU149" s="911">
        <f>'Arable Inputs'!$H$18*$CW$134</f>
        <v>0</v>
      </c>
      <c r="CV149" s="760">
        <f>'Arable Inputs'!$H$25</f>
        <v>94.285714285714292</v>
      </c>
      <c r="CW149" s="762">
        <f t="shared" si="386"/>
        <v>0</v>
      </c>
      <c r="CX149" s="197">
        <f>'Arable NPV'!$D128</f>
        <v>330</v>
      </c>
      <c r="CY149" s="197">
        <f t="shared" si="407"/>
        <v>330</v>
      </c>
      <c r="CZ149" s="197">
        <f>'Arable NPV'!$F128</f>
        <v>566.71194999999989</v>
      </c>
      <c r="DA149" s="197">
        <f>'Arable NPV'!$G128</f>
        <v>691.46913599999993</v>
      </c>
      <c r="DB149" s="197">
        <f t="shared" si="408"/>
        <v>1258.1810859999998</v>
      </c>
      <c r="DC149" s="197">
        <f t="shared" si="387"/>
        <v>-1258.1810859999998</v>
      </c>
      <c r="DD149" s="197">
        <f t="shared" si="388"/>
        <v>-928.18108599999982</v>
      </c>
      <c r="DE149" s="196">
        <f t="shared" si="389"/>
        <v>0</v>
      </c>
      <c r="DF149" s="197">
        <f t="shared" si="390"/>
        <v>238.39902127759154</v>
      </c>
      <c r="DG149" s="197">
        <f t="shared" si="391"/>
        <v>908.93678634053697</v>
      </c>
      <c r="DH149" s="197">
        <f t="shared" si="392"/>
        <v>-908.93678634053697</v>
      </c>
      <c r="DI149" s="199">
        <f t="shared" si="393"/>
        <v>-670.53776506294548</v>
      </c>
      <c r="DJ149" s="196">
        <f t="shared" si="394"/>
        <v>0</v>
      </c>
      <c r="DK149" s="197">
        <f t="shared" si="395"/>
        <v>3383.3659574136159</v>
      </c>
      <c r="DL149" s="197">
        <f t="shared" si="396"/>
        <v>12899.65774131543</v>
      </c>
      <c r="DM149" s="197">
        <f t="shared" si="397"/>
        <v>-12899.65774131543</v>
      </c>
      <c r="DN149" s="199">
        <f t="shared" si="398"/>
        <v>-9516.2917839018137</v>
      </c>
    </row>
    <row r="150" spans="2:118" x14ac:dyDescent="0.3">
      <c r="B150" s="900">
        <v>13</v>
      </c>
      <c r="C150" s="911">
        <f>'Arable Inputs'!$H$18*$E$134</f>
        <v>9.4</v>
      </c>
      <c r="D150" s="760">
        <f>'Arable Inputs'!$H$25</f>
        <v>94.285714285714292</v>
      </c>
      <c r="E150" s="762">
        <f t="shared" si="338"/>
        <v>886.28571428571433</v>
      </c>
      <c r="F150" s="197">
        <f>'Arable NPV'!$D129</f>
        <v>330</v>
      </c>
      <c r="G150" s="197">
        <f t="shared" si="399"/>
        <v>1216.2857142857142</v>
      </c>
      <c r="H150" s="197">
        <f>'Arable NPV'!$F129</f>
        <v>566.71194999999989</v>
      </c>
      <c r="I150" s="197">
        <f>'Arable NPV'!$G129</f>
        <v>691.46913599999993</v>
      </c>
      <c r="J150" s="197">
        <f t="shared" si="400"/>
        <v>1258.1810859999998</v>
      </c>
      <c r="K150" s="197">
        <f t="shared" si="339"/>
        <v>-371.89537171428549</v>
      </c>
      <c r="L150" s="197">
        <f t="shared" si="340"/>
        <v>-41.895371714285602</v>
      </c>
      <c r="M150" s="196">
        <f t="shared" si="341"/>
        <v>621.622968102458</v>
      </c>
      <c r="N150" s="197">
        <f t="shared" si="342"/>
        <v>231.45536046368116</v>
      </c>
      <c r="O150" s="197">
        <f t="shared" si="343"/>
        <v>882.46289935974482</v>
      </c>
      <c r="P150" s="197">
        <f t="shared" si="344"/>
        <v>-260.83993125728682</v>
      </c>
      <c r="Q150" s="199">
        <f t="shared" si="345"/>
        <v>-29.384570793605715</v>
      </c>
      <c r="R150" s="196">
        <f t="shared" si="346"/>
        <v>9708.3772537275963</v>
      </c>
      <c r="S150" s="197">
        <f t="shared" si="346"/>
        <v>3614.8213178772971</v>
      </c>
      <c r="T150" s="197">
        <f t="shared" si="346"/>
        <v>13782.120640675175</v>
      </c>
      <c r="U150" s="197">
        <f t="shared" si="346"/>
        <v>-4073.7433869475772</v>
      </c>
      <c r="V150" s="199">
        <f t="shared" si="346"/>
        <v>-458.92206907028213</v>
      </c>
      <c r="Z150" s="900">
        <v>13</v>
      </c>
      <c r="AA150" s="911">
        <f>'Arable Inputs'!$H$18*$AC$134</f>
        <v>14.100000000000001</v>
      </c>
      <c r="AB150" s="760">
        <f>'Arable Inputs'!$H$25</f>
        <v>94.285714285714292</v>
      </c>
      <c r="AC150" s="762">
        <f t="shared" si="347"/>
        <v>1329.4285714285716</v>
      </c>
      <c r="AD150" s="197">
        <f>'Arable NPV'!$D129</f>
        <v>330</v>
      </c>
      <c r="AE150" s="197">
        <f t="shared" si="401"/>
        <v>1659.4285714285716</v>
      </c>
      <c r="AF150" s="197">
        <f>'Arable NPV'!$F129</f>
        <v>566.71194999999989</v>
      </c>
      <c r="AG150" s="197">
        <f>'Arable NPV'!$G129</f>
        <v>691.46913599999993</v>
      </c>
      <c r="AH150" s="197">
        <f t="shared" si="402"/>
        <v>1258.1810859999998</v>
      </c>
      <c r="AI150" s="197">
        <f t="shared" si="348"/>
        <v>71.247485428571736</v>
      </c>
      <c r="AJ150" s="197">
        <f t="shared" si="349"/>
        <v>401.24748542857174</v>
      </c>
      <c r="AK150" s="196">
        <f t="shared" si="350"/>
        <v>932.43445215368706</v>
      </c>
      <c r="AL150" s="197">
        <f t="shared" si="351"/>
        <v>231.45536046368116</v>
      </c>
      <c r="AM150" s="197">
        <f t="shared" si="352"/>
        <v>882.46289935974482</v>
      </c>
      <c r="AN150" s="197">
        <f t="shared" si="353"/>
        <v>49.971552793942251</v>
      </c>
      <c r="AO150" s="199">
        <f t="shared" si="354"/>
        <v>281.42691325762343</v>
      </c>
      <c r="AP150" s="196">
        <f t="shared" si="355"/>
        <v>14562.565880591399</v>
      </c>
      <c r="AQ150" s="197">
        <f t="shared" si="356"/>
        <v>3614.8213178772971</v>
      </c>
      <c r="AR150" s="197">
        <f t="shared" si="357"/>
        <v>13782.120640675175</v>
      </c>
      <c r="AS150" s="197">
        <f t="shared" si="358"/>
        <v>780.44523991622157</v>
      </c>
      <c r="AT150" s="199">
        <f t="shared" si="359"/>
        <v>4395.2665577935186</v>
      </c>
      <c r="AX150" s="900">
        <v>13</v>
      </c>
      <c r="AY150" s="911">
        <f>'Arable Inputs'!$H$18*$BA$134</f>
        <v>4.7</v>
      </c>
      <c r="AZ150" s="760">
        <f>'Arable Inputs'!$H$25</f>
        <v>94.285714285714292</v>
      </c>
      <c r="BA150" s="762">
        <f t="shared" si="360"/>
        <v>443.14285714285717</v>
      </c>
      <c r="BB150" s="197">
        <f>'Arable NPV'!$D129</f>
        <v>330</v>
      </c>
      <c r="BC150" s="197">
        <f t="shared" si="403"/>
        <v>773.14285714285711</v>
      </c>
      <c r="BD150" s="197">
        <f>'Arable NPV'!$F129</f>
        <v>566.71194999999989</v>
      </c>
      <c r="BE150" s="197">
        <f>'Arable NPV'!$G129</f>
        <v>691.46913599999993</v>
      </c>
      <c r="BF150" s="197">
        <f t="shared" si="404"/>
        <v>1258.1810859999998</v>
      </c>
      <c r="BG150" s="197">
        <f t="shared" si="361"/>
        <v>-815.03822885714271</v>
      </c>
      <c r="BH150" s="197">
        <f t="shared" si="362"/>
        <v>-485.03822885714271</v>
      </c>
      <c r="BI150" s="196">
        <f t="shared" si="363"/>
        <v>310.811484051229</v>
      </c>
      <c r="BJ150" s="197">
        <f t="shared" si="364"/>
        <v>231.45536046368116</v>
      </c>
      <c r="BK150" s="197">
        <f t="shared" si="365"/>
        <v>882.46289935974482</v>
      </c>
      <c r="BL150" s="197">
        <f t="shared" si="366"/>
        <v>-571.65141530851588</v>
      </c>
      <c r="BM150" s="199">
        <f t="shared" si="367"/>
        <v>-340.19605484483469</v>
      </c>
      <c r="BN150" s="196">
        <f t="shared" si="368"/>
        <v>4854.1886268637982</v>
      </c>
      <c r="BO150" s="197">
        <f t="shared" si="369"/>
        <v>3614.8213178772971</v>
      </c>
      <c r="BP150" s="197">
        <f t="shared" si="370"/>
        <v>13782.120640675175</v>
      </c>
      <c r="BQ150" s="197">
        <f t="shared" si="371"/>
        <v>-8927.9320138113762</v>
      </c>
      <c r="BR150" s="199">
        <f t="shared" si="372"/>
        <v>-5313.1106959340796</v>
      </c>
      <c r="BV150" s="900">
        <v>13</v>
      </c>
      <c r="BW150" s="911">
        <f>'Arable Inputs'!$H$18*$BY$134</f>
        <v>18.8</v>
      </c>
      <c r="BX150" s="760">
        <f>'Arable Inputs'!$H$25</f>
        <v>94.285714285714292</v>
      </c>
      <c r="BY150" s="762">
        <f t="shared" si="373"/>
        <v>1772.5714285714287</v>
      </c>
      <c r="BZ150" s="197">
        <f>'Arable NPV'!$D129</f>
        <v>330</v>
      </c>
      <c r="CA150" s="197">
        <f t="shared" si="405"/>
        <v>2102.5714285714284</v>
      </c>
      <c r="CB150" s="197">
        <f>'Arable NPV'!$F129</f>
        <v>566.71194999999989</v>
      </c>
      <c r="CC150" s="197">
        <f>'Arable NPV'!$G129</f>
        <v>691.46913599999993</v>
      </c>
      <c r="CD150" s="197">
        <f t="shared" si="406"/>
        <v>1258.1810859999998</v>
      </c>
      <c r="CE150" s="197">
        <f t="shared" si="374"/>
        <v>514.39034257142885</v>
      </c>
      <c r="CF150" s="197">
        <f t="shared" si="375"/>
        <v>844.39034257142862</v>
      </c>
      <c r="CG150" s="196">
        <f t="shared" si="376"/>
        <v>1243.245936204916</v>
      </c>
      <c r="CH150" s="197">
        <f t="shared" si="377"/>
        <v>231.45536046368116</v>
      </c>
      <c r="CI150" s="197">
        <f t="shared" si="378"/>
        <v>882.46289935974482</v>
      </c>
      <c r="CJ150" s="197">
        <f t="shared" si="379"/>
        <v>360.78303684517118</v>
      </c>
      <c r="CK150" s="199">
        <f t="shared" si="380"/>
        <v>592.2383973088522</v>
      </c>
      <c r="CL150" s="196">
        <f t="shared" si="381"/>
        <v>19416.754507455193</v>
      </c>
      <c r="CM150" s="197">
        <f t="shared" si="382"/>
        <v>3614.8213178772971</v>
      </c>
      <c r="CN150" s="197">
        <f t="shared" si="383"/>
        <v>13782.120640675175</v>
      </c>
      <c r="CO150" s="197">
        <f t="shared" si="384"/>
        <v>5634.6338667800201</v>
      </c>
      <c r="CP150" s="199">
        <f t="shared" si="385"/>
        <v>9249.455184657314</v>
      </c>
      <c r="CT150" s="900">
        <v>13</v>
      </c>
      <c r="CU150" s="911">
        <f>'Arable Inputs'!$H$18*$CW$134</f>
        <v>0</v>
      </c>
      <c r="CV150" s="760">
        <f>'Arable Inputs'!$H$25</f>
        <v>94.285714285714292</v>
      </c>
      <c r="CW150" s="762">
        <f t="shared" si="386"/>
        <v>0</v>
      </c>
      <c r="CX150" s="197">
        <f>'Arable NPV'!$D129</f>
        <v>330</v>
      </c>
      <c r="CY150" s="197">
        <f t="shared" si="407"/>
        <v>330</v>
      </c>
      <c r="CZ150" s="197">
        <f>'Arable NPV'!$F129</f>
        <v>566.71194999999989</v>
      </c>
      <c r="DA150" s="197">
        <f>'Arable NPV'!$G129</f>
        <v>691.46913599999993</v>
      </c>
      <c r="DB150" s="197">
        <f t="shared" si="408"/>
        <v>1258.1810859999998</v>
      </c>
      <c r="DC150" s="197">
        <f t="shared" si="387"/>
        <v>-1258.1810859999998</v>
      </c>
      <c r="DD150" s="197">
        <f t="shared" si="388"/>
        <v>-928.18108599999982</v>
      </c>
      <c r="DE150" s="196">
        <f t="shared" si="389"/>
        <v>0</v>
      </c>
      <c r="DF150" s="197">
        <f t="shared" si="390"/>
        <v>231.45536046368116</v>
      </c>
      <c r="DG150" s="197">
        <f t="shared" si="391"/>
        <v>882.46289935974482</v>
      </c>
      <c r="DH150" s="197">
        <f t="shared" si="392"/>
        <v>-882.46289935974482</v>
      </c>
      <c r="DI150" s="199">
        <f t="shared" si="393"/>
        <v>-651.00753889606369</v>
      </c>
      <c r="DJ150" s="196">
        <f t="shared" si="394"/>
        <v>0</v>
      </c>
      <c r="DK150" s="197">
        <f t="shared" si="395"/>
        <v>3614.8213178772971</v>
      </c>
      <c r="DL150" s="197">
        <f t="shared" si="396"/>
        <v>13782.120640675175</v>
      </c>
      <c r="DM150" s="197">
        <f t="shared" si="397"/>
        <v>-13782.120640675175</v>
      </c>
      <c r="DN150" s="199">
        <f t="shared" si="398"/>
        <v>-10167.299322797877</v>
      </c>
    </row>
    <row r="151" spans="2:118" x14ac:dyDescent="0.3">
      <c r="B151" s="900">
        <v>14</v>
      </c>
      <c r="C151" s="911">
        <f>'Arable Inputs'!$H$18*$E$134</f>
        <v>9.4</v>
      </c>
      <c r="D151" s="760">
        <f>'Arable Inputs'!$H$25</f>
        <v>94.285714285714292</v>
      </c>
      <c r="E151" s="762">
        <f t="shared" si="338"/>
        <v>886.28571428571433</v>
      </c>
      <c r="F151" s="197">
        <f>'Arable NPV'!$D130</f>
        <v>330</v>
      </c>
      <c r="G151" s="197">
        <f t="shared" si="399"/>
        <v>1216.2857142857142</v>
      </c>
      <c r="H151" s="197">
        <f>'Arable NPV'!$F130</f>
        <v>566.71194999999989</v>
      </c>
      <c r="I151" s="197">
        <f>'Arable NPV'!$G130</f>
        <v>691.46913599999993</v>
      </c>
      <c r="J151" s="197">
        <f t="shared" si="400"/>
        <v>1258.1810859999998</v>
      </c>
      <c r="K151" s="197">
        <f t="shared" si="339"/>
        <v>-371.89537171428549</v>
      </c>
      <c r="L151" s="197">
        <f t="shared" si="340"/>
        <v>-41.895371714285602</v>
      </c>
      <c r="M151" s="196">
        <f t="shared" si="341"/>
        <v>603.51744475966802</v>
      </c>
      <c r="N151" s="197">
        <f t="shared" si="342"/>
        <v>224.71394219774871</v>
      </c>
      <c r="O151" s="197">
        <f t="shared" si="343"/>
        <v>856.76009646577165</v>
      </c>
      <c r="P151" s="197">
        <f t="shared" si="344"/>
        <v>-253.24265170610369</v>
      </c>
      <c r="Q151" s="199">
        <f t="shared" si="345"/>
        <v>-28.528709508355064</v>
      </c>
      <c r="R151" s="196">
        <f t="shared" si="346"/>
        <v>10311.894698487264</v>
      </c>
      <c r="S151" s="197">
        <f t="shared" si="346"/>
        <v>3839.5352600750457</v>
      </c>
      <c r="T151" s="197">
        <f t="shared" si="346"/>
        <v>14638.880737140948</v>
      </c>
      <c r="U151" s="197">
        <f t="shared" si="346"/>
        <v>-4326.9860386536811</v>
      </c>
      <c r="V151" s="199">
        <f t="shared" si="346"/>
        <v>-487.4507785786372</v>
      </c>
      <c r="Z151" s="900">
        <v>14</v>
      </c>
      <c r="AA151" s="911">
        <f>'Arable Inputs'!$H$18*$AC$134</f>
        <v>14.100000000000001</v>
      </c>
      <c r="AB151" s="760">
        <f>'Arable Inputs'!$H$25</f>
        <v>94.285714285714292</v>
      </c>
      <c r="AC151" s="762">
        <f t="shared" si="347"/>
        <v>1329.4285714285716</v>
      </c>
      <c r="AD151" s="197">
        <f>'Arable NPV'!$D130</f>
        <v>330</v>
      </c>
      <c r="AE151" s="197">
        <f t="shared" si="401"/>
        <v>1659.4285714285716</v>
      </c>
      <c r="AF151" s="197">
        <f>'Arable NPV'!$F130</f>
        <v>566.71194999999989</v>
      </c>
      <c r="AG151" s="197">
        <f>'Arable NPV'!$G130</f>
        <v>691.46913599999993</v>
      </c>
      <c r="AH151" s="197">
        <f t="shared" si="402"/>
        <v>1258.1810859999998</v>
      </c>
      <c r="AI151" s="197">
        <f t="shared" si="348"/>
        <v>71.247485428571736</v>
      </c>
      <c r="AJ151" s="197">
        <f t="shared" si="349"/>
        <v>401.24748542857174</v>
      </c>
      <c r="AK151" s="196">
        <f t="shared" si="350"/>
        <v>905.27616713950204</v>
      </c>
      <c r="AL151" s="197">
        <f t="shared" si="351"/>
        <v>224.71394219774871</v>
      </c>
      <c r="AM151" s="197">
        <f t="shared" si="352"/>
        <v>856.76009646577165</v>
      </c>
      <c r="AN151" s="197">
        <f t="shared" si="353"/>
        <v>48.51607067373034</v>
      </c>
      <c r="AO151" s="199">
        <f t="shared" si="354"/>
        <v>273.23001287147906</v>
      </c>
      <c r="AP151" s="196">
        <f t="shared" si="355"/>
        <v>15467.842047730901</v>
      </c>
      <c r="AQ151" s="197">
        <f t="shared" si="356"/>
        <v>3839.5352600750457</v>
      </c>
      <c r="AR151" s="197">
        <f t="shared" si="357"/>
        <v>14638.880737140948</v>
      </c>
      <c r="AS151" s="197">
        <f t="shared" si="358"/>
        <v>828.96131058995195</v>
      </c>
      <c r="AT151" s="199">
        <f t="shared" si="359"/>
        <v>4668.4965706649973</v>
      </c>
      <c r="AX151" s="900">
        <v>14</v>
      </c>
      <c r="AY151" s="911">
        <f>'Arable Inputs'!$H$18*$BA$134</f>
        <v>4.7</v>
      </c>
      <c r="AZ151" s="760">
        <f>'Arable Inputs'!$H$25</f>
        <v>94.285714285714292</v>
      </c>
      <c r="BA151" s="762">
        <f t="shared" si="360"/>
        <v>443.14285714285717</v>
      </c>
      <c r="BB151" s="197">
        <f>'Arable NPV'!$D130</f>
        <v>330</v>
      </c>
      <c r="BC151" s="197">
        <f t="shared" si="403"/>
        <v>773.14285714285711</v>
      </c>
      <c r="BD151" s="197">
        <f>'Arable NPV'!$F130</f>
        <v>566.71194999999989</v>
      </c>
      <c r="BE151" s="197">
        <f>'Arable NPV'!$G130</f>
        <v>691.46913599999993</v>
      </c>
      <c r="BF151" s="197">
        <f t="shared" si="404"/>
        <v>1258.1810859999998</v>
      </c>
      <c r="BG151" s="197">
        <f t="shared" si="361"/>
        <v>-815.03822885714271</v>
      </c>
      <c r="BH151" s="197">
        <f t="shared" si="362"/>
        <v>-485.03822885714271</v>
      </c>
      <c r="BI151" s="196">
        <f t="shared" si="363"/>
        <v>301.75872237983401</v>
      </c>
      <c r="BJ151" s="197">
        <f t="shared" si="364"/>
        <v>224.71394219774871</v>
      </c>
      <c r="BK151" s="197">
        <f t="shared" si="365"/>
        <v>856.76009646577165</v>
      </c>
      <c r="BL151" s="197">
        <f t="shared" si="366"/>
        <v>-555.00137408593775</v>
      </c>
      <c r="BM151" s="199">
        <f t="shared" si="367"/>
        <v>-330.28743188818902</v>
      </c>
      <c r="BN151" s="196">
        <f t="shared" si="368"/>
        <v>5155.9473492436318</v>
      </c>
      <c r="BO151" s="197">
        <f t="shared" si="369"/>
        <v>3839.5352600750457</v>
      </c>
      <c r="BP151" s="197">
        <f t="shared" si="370"/>
        <v>14638.880737140948</v>
      </c>
      <c r="BQ151" s="197">
        <f t="shared" si="371"/>
        <v>-9482.9333878973139</v>
      </c>
      <c r="BR151" s="199">
        <f t="shared" si="372"/>
        <v>-5643.3981278222682</v>
      </c>
      <c r="BV151" s="900">
        <v>14</v>
      </c>
      <c r="BW151" s="911">
        <f>'Arable Inputs'!$H$18*$BY$134</f>
        <v>18.8</v>
      </c>
      <c r="BX151" s="760">
        <f>'Arable Inputs'!$H$25</f>
        <v>94.285714285714292</v>
      </c>
      <c r="BY151" s="762">
        <f t="shared" si="373"/>
        <v>1772.5714285714287</v>
      </c>
      <c r="BZ151" s="197">
        <f>'Arable NPV'!$D130</f>
        <v>330</v>
      </c>
      <c r="CA151" s="197">
        <f t="shared" si="405"/>
        <v>2102.5714285714284</v>
      </c>
      <c r="CB151" s="197">
        <f>'Arable NPV'!$F130</f>
        <v>566.71194999999989</v>
      </c>
      <c r="CC151" s="197">
        <f>'Arable NPV'!$G130</f>
        <v>691.46913599999993</v>
      </c>
      <c r="CD151" s="197">
        <f t="shared" si="406"/>
        <v>1258.1810859999998</v>
      </c>
      <c r="CE151" s="197">
        <f t="shared" si="374"/>
        <v>514.39034257142885</v>
      </c>
      <c r="CF151" s="197">
        <f t="shared" si="375"/>
        <v>844.39034257142862</v>
      </c>
      <c r="CG151" s="196">
        <f t="shared" si="376"/>
        <v>1207.034889519336</v>
      </c>
      <c r="CH151" s="197">
        <f t="shared" si="377"/>
        <v>224.71394219774871</v>
      </c>
      <c r="CI151" s="197">
        <f t="shared" si="378"/>
        <v>856.76009646577165</v>
      </c>
      <c r="CJ151" s="197">
        <f t="shared" si="379"/>
        <v>350.27479305356428</v>
      </c>
      <c r="CK151" s="199">
        <f t="shared" si="380"/>
        <v>574.98873525131285</v>
      </c>
      <c r="CL151" s="196">
        <f t="shared" si="381"/>
        <v>20623.789396974527</v>
      </c>
      <c r="CM151" s="197">
        <f t="shared" si="382"/>
        <v>3839.5352600750457</v>
      </c>
      <c r="CN151" s="197">
        <f t="shared" si="383"/>
        <v>14638.880737140948</v>
      </c>
      <c r="CO151" s="197">
        <f t="shared" si="384"/>
        <v>5984.9086598335844</v>
      </c>
      <c r="CP151" s="199">
        <f t="shared" si="385"/>
        <v>9824.4439199086264</v>
      </c>
      <c r="CT151" s="900">
        <v>14</v>
      </c>
      <c r="CU151" s="911">
        <f>'Arable Inputs'!$H$18*$CW$134</f>
        <v>0</v>
      </c>
      <c r="CV151" s="760">
        <f>'Arable Inputs'!$H$25</f>
        <v>94.285714285714292</v>
      </c>
      <c r="CW151" s="762">
        <f t="shared" si="386"/>
        <v>0</v>
      </c>
      <c r="CX151" s="197">
        <f>'Arable NPV'!$D130</f>
        <v>330</v>
      </c>
      <c r="CY151" s="197">
        <f t="shared" si="407"/>
        <v>330</v>
      </c>
      <c r="CZ151" s="197">
        <f>'Arable NPV'!$F130</f>
        <v>566.71194999999989</v>
      </c>
      <c r="DA151" s="197">
        <f>'Arable NPV'!$G130</f>
        <v>691.46913599999993</v>
      </c>
      <c r="DB151" s="197">
        <f t="shared" si="408"/>
        <v>1258.1810859999998</v>
      </c>
      <c r="DC151" s="197">
        <f t="shared" si="387"/>
        <v>-1258.1810859999998</v>
      </c>
      <c r="DD151" s="197">
        <f t="shared" si="388"/>
        <v>-928.18108599999982</v>
      </c>
      <c r="DE151" s="196">
        <f t="shared" si="389"/>
        <v>0</v>
      </c>
      <c r="DF151" s="197">
        <f t="shared" si="390"/>
        <v>224.71394219774871</v>
      </c>
      <c r="DG151" s="197">
        <f t="shared" si="391"/>
        <v>856.76009646577165</v>
      </c>
      <c r="DH151" s="197">
        <f t="shared" si="392"/>
        <v>-856.76009646577165</v>
      </c>
      <c r="DI151" s="199">
        <f t="shared" si="393"/>
        <v>-632.04615426802297</v>
      </c>
      <c r="DJ151" s="196">
        <f t="shared" si="394"/>
        <v>0</v>
      </c>
      <c r="DK151" s="197">
        <f t="shared" si="395"/>
        <v>3839.5352600750457</v>
      </c>
      <c r="DL151" s="197">
        <f t="shared" si="396"/>
        <v>14638.880737140948</v>
      </c>
      <c r="DM151" s="197">
        <f t="shared" si="397"/>
        <v>-14638.880737140948</v>
      </c>
      <c r="DN151" s="199">
        <f t="shared" si="398"/>
        <v>-10799.345477065899</v>
      </c>
    </row>
    <row r="152" spans="2:118" x14ac:dyDescent="0.3">
      <c r="B152" s="900">
        <v>15</v>
      </c>
      <c r="C152" s="911">
        <f>'Arable Inputs'!$H$18*$E$134</f>
        <v>9.4</v>
      </c>
      <c r="D152" s="760">
        <f>'Arable Inputs'!$H$25</f>
        <v>94.285714285714292</v>
      </c>
      <c r="E152" s="762">
        <f t="shared" si="338"/>
        <v>886.28571428571433</v>
      </c>
      <c r="F152" s="197">
        <f>'Arable NPV'!$D131</f>
        <v>330</v>
      </c>
      <c r="G152" s="197">
        <f t="shared" si="399"/>
        <v>1216.2857142857142</v>
      </c>
      <c r="H152" s="197">
        <f>'Arable NPV'!$F131</f>
        <v>566.71194999999989</v>
      </c>
      <c r="I152" s="197">
        <f>'Arable NPV'!$G131</f>
        <v>691.46913599999993</v>
      </c>
      <c r="J152" s="197">
        <f t="shared" si="400"/>
        <v>1258.1810859999998</v>
      </c>
      <c r="K152" s="197">
        <f t="shared" si="339"/>
        <v>-371.89537171428549</v>
      </c>
      <c r="L152" s="197">
        <f t="shared" si="340"/>
        <v>-41.895371714285602</v>
      </c>
      <c r="M152" s="196">
        <f t="shared" si="341"/>
        <v>585.93926675695911</v>
      </c>
      <c r="N152" s="197">
        <f t="shared" si="342"/>
        <v>218.16887592014436</v>
      </c>
      <c r="O152" s="197">
        <f t="shared" si="343"/>
        <v>831.80591889880736</v>
      </c>
      <c r="P152" s="197">
        <f t="shared" si="344"/>
        <v>-245.86665214184822</v>
      </c>
      <c r="Q152" s="199">
        <f t="shared" si="345"/>
        <v>-27.697776221703943</v>
      </c>
      <c r="R152" s="196">
        <f t="shared" si="346"/>
        <v>10897.833965244223</v>
      </c>
      <c r="S152" s="197">
        <f t="shared" si="346"/>
        <v>4057.70413599519</v>
      </c>
      <c r="T152" s="197">
        <f t="shared" si="346"/>
        <v>15470.686656039756</v>
      </c>
      <c r="U152" s="197">
        <f t="shared" si="346"/>
        <v>-4572.8526907955293</v>
      </c>
      <c r="V152" s="199">
        <f t="shared" si="346"/>
        <v>-515.14855480034112</v>
      </c>
      <c r="Z152" s="900">
        <v>15</v>
      </c>
      <c r="AA152" s="911">
        <f>'Arable Inputs'!$H$18*$AC$134</f>
        <v>14.100000000000001</v>
      </c>
      <c r="AB152" s="760">
        <f>'Arable Inputs'!$H$25</f>
        <v>94.285714285714292</v>
      </c>
      <c r="AC152" s="762">
        <f t="shared" si="347"/>
        <v>1329.4285714285716</v>
      </c>
      <c r="AD152" s="197">
        <f>'Arable NPV'!$D131</f>
        <v>330</v>
      </c>
      <c r="AE152" s="197">
        <f t="shared" si="401"/>
        <v>1659.4285714285716</v>
      </c>
      <c r="AF152" s="197">
        <f>'Arable NPV'!$F131</f>
        <v>566.71194999999989</v>
      </c>
      <c r="AG152" s="197">
        <f>'Arable NPV'!$G131</f>
        <v>691.46913599999993</v>
      </c>
      <c r="AH152" s="197">
        <f t="shared" si="402"/>
        <v>1258.1810859999998</v>
      </c>
      <c r="AI152" s="197">
        <f t="shared" si="348"/>
        <v>71.247485428571736</v>
      </c>
      <c r="AJ152" s="197">
        <f t="shared" si="349"/>
        <v>401.24748542857174</v>
      </c>
      <c r="AK152" s="196">
        <f t="shared" si="350"/>
        <v>878.90890013543878</v>
      </c>
      <c r="AL152" s="197">
        <f t="shared" si="351"/>
        <v>218.16887592014436</v>
      </c>
      <c r="AM152" s="197">
        <f t="shared" si="352"/>
        <v>831.80591889880736</v>
      </c>
      <c r="AN152" s="197">
        <f t="shared" si="353"/>
        <v>47.102981236631393</v>
      </c>
      <c r="AO152" s="199">
        <f t="shared" si="354"/>
        <v>265.27185715677575</v>
      </c>
      <c r="AP152" s="196">
        <f t="shared" si="355"/>
        <v>16346.75094786634</v>
      </c>
      <c r="AQ152" s="197">
        <f t="shared" si="356"/>
        <v>4057.70413599519</v>
      </c>
      <c r="AR152" s="197">
        <f t="shared" si="357"/>
        <v>15470.686656039756</v>
      </c>
      <c r="AS152" s="197">
        <f t="shared" si="358"/>
        <v>876.06429182658337</v>
      </c>
      <c r="AT152" s="199">
        <f t="shared" si="359"/>
        <v>4933.768427821773</v>
      </c>
      <c r="AX152" s="900">
        <v>15</v>
      </c>
      <c r="AY152" s="911">
        <f>'Arable Inputs'!$H$18*$BA$134</f>
        <v>4.7</v>
      </c>
      <c r="AZ152" s="760">
        <f>'Arable Inputs'!$H$25</f>
        <v>94.285714285714292</v>
      </c>
      <c r="BA152" s="762">
        <f t="shared" si="360"/>
        <v>443.14285714285717</v>
      </c>
      <c r="BB152" s="197">
        <f>'Arable NPV'!$D131</f>
        <v>330</v>
      </c>
      <c r="BC152" s="197">
        <f t="shared" si="403"/>
        <v>773.14285714285711</v>
      </c>
      <c r="BD152" s="197">
        <f>'Arable NPV'!$F131</f>
        <v>566.71194999999989</v>
      </c>
      <c r="BE152" s="197">
        <f>'Arable NPV'!$G131</f>
        <v>691.46913599999993</v>
      </c>
      <c r="BF152" s="197">
        <f t="shared" si="404"/>
        <v>1258.1810859999998</v>
      </c>
      <c r="BG152" s="197">
        <f t="shared" si="361"/>
        <v>-815.03822885714271</v>
      </c>
      <c r="BH152" s="197">
        <f t="shared" si="362"/>
        <v>-485.03822885714271</v>
      </c>
      <c r="BI152" s="196">
        <f t="shared" si="363"/>
        <v>292.96963337847956</v>
      </c>
      <c r="BJ152" s="197">
        <f t="shared" si="364"/>
        <v>218.16887592014436</v>
      </c>
      <c r="BK152" s="197">
        <f t="shared" si="365"/>
        <v>831.80591889880736</v>
      </c>
      <c r="BL152" s="197">
        <f t="shared" si="366"/>
        <v>-538.83628552032781</v>
      </c>
      <c r="BM152" s="199">
        <f t="shared" si="367"/>
        <v>-320.66740960018348</v>
      </c>
      <c r="BN152" s="196">
        <f t="shared" si="368"/>
        <v>5448.9169826221114</v>
      </c>
      <c r="BO152" s="197">
        <f t="shared" si="369"/>
        <v>4057.70413599519</v>
      </c>
      <c r="BP152" s="197">
        <f t="shared" si="370"/>
        <v>15470.686656039756</v>
      </c>
      <c r="BQ152" s="197">
        <f t="shared" si="371"/>
        <v>-10021.769673417642</v>
      </c>
      <c r="BR152" s="199">
        <f t="shared" si="372"/>
        <v>-5964.0655374224516</v>
      </c>
      <c r="BV152" s="900">
        <v>15</v>
      </c>
      <c r="BW152" s="911">
        <f>'Arable Inputs'!$H$18*$BY$134</f>
        <v>18.8</v>
      </c>
      <c r="BX152" s="760">
        <f>'Arable Inputs'!$H$25</f>
        <v>94.285714285714292</v>
      </c>
      <c r="BY152" s="762">
        <f t="shared" si="373"/>
        <v>1772.5714285714287</v>
      </c>
      <c r="BZ152" s="197">
        <f>'Arable NPV'!$D131</f>
        <v>330</v>
      </c>
      <c r="CA152" s="197">
        <f t="shared" si="405"/>
        <v>2102.5714285714284</v>
      </c>
      <c r="CB152" s="197">
        <f>'Arable NPV'!$F131</f>
        <v>566.71194999999989</v>
      </c>
      <c r="CC152" s="197">
        <f>'Arable NPV'!$G131</f>
        <v>691.46913599999993</v>
      </c>
      <c r="CD152" s="197">
        <f t="shared" si="406"/>
        <v>1258.1810859999998</v>
      </c>
      <c r="CE152" s="197">
        <f t="shared" si="374"/>
        <v>514.39034257142885</v>
      </c>
      <c r="CF152" s="197">
        <f t="shared" si="375"/>
        <v>844.39034257142862</v>
      </c>
      <c r="CG152" s="196">
        <f t="shared" si="376"/>
        <v>1171.8785335139182</v>
      </c>
      <c r="CH152" s="197">
        <f t="shared" si="377"/>
        <v>218.16887592014436</v>
      </c>
      <c r="CI152" s="197">
        <f t="shared" si="378"/>
        <v>831.80591889880736</v>
      </c>
      <c r="CJ152" s="197">
        <f t="shared" si="379"/>
        <v>340.07261461511092</v>
      </c>
      <c r="CK152" s="199">
        <f t="shared" si="380"/>
        <v>558.24149053525514</v>
      </c>
      <c r="CL152" s="196">
        <f t="shared" si="381"/>
        <v>21795.667930488446</v>
      </c>
      <c r="CM152" s="197">
        <f t="shared" si="382"/>
        <v>4057.70413599519</v>
      </c>
      <c r="CN152" s="197">
        <f t="shared" si="383"/>
        <v>15470.686656039756</v>
      </c>
      <c r="CO152" s="197">
        <f t="shared" si="384"/>
        <v>6324.9812744486953</v>
      </c>
      <c r="CP152" s="199">
        <f t="shared" si="385"/>
        <v>10382.685410443881</v>
      </c>
      <c r="CT152" s="900">
        <v>15</v>
      </c>
      <c r="CU152" s="911">
        <f>'Arable Inputs'!$H$18*$CW$134</f>
        <v>0</v>
      </c>
      <c r="CV152" s="760">
        <f>'Arable Inputs'!$H$25</f>
        <v>94.285714285714292</v>
      </c>
      <c r="CW152" s="762">
        <f t="shared" si="386"/>
        <v>0</v>
      </c>
      <c r="CX152" s="197">
        <f>'Arable NPV'!$D131</f>
        <v>330</v>
      </c>
      <c r="CY152" s="197">
        <f t="shared" si="407"/>
        <v>330</v>
      </c>
      <c r="CZ152" s="197">
        <f>'Arable NPV'!$F131</f>
        <v>566.71194999999989</v>
      </c>
      <c r="DA152" s="197">
        <f>'Arable NPV'!$G131</f>
        <v>691.46913599999993</v>
      </c>
      <c r="DB152" s="197">
        <f t="shared" si="408"/>
        <v>1258.1810859999998</v>
      </c>
      <c r="DC152" s="197">
        <f t="shared" si="387"/>
        <v>-1258.1810859999998</v>
      </c>
      <c r="DD152" s="197">
        <f t="shared" si="388"/>
        <v>-928.18108599999982</v>
      </c>
      <c r="DE152" s="196">
        <f t="shared" si="389"/>
        <v>0</v>
      </c>
      <c r="DF152" s="197">
        <f t="shared" si="390"/>
        <v>218.16887592014436</v>
      </c>
      <c r="DG152" s="197">
        <f t="shared" si="391"/>
        <v>831.80591889880736</v>
      </c>
      <c r="DH152" s="197">
        <f t="shared" si="392"/>
        <v>-831.80591889880736</v>
      </c>
      <c r="DI152" s="199">
        <f t="shared" si="393"/>
        <v>-613.63704297866298</v>
      </c>
      <c r="DJ152" s="196">
        <f t="shared" si="394"/>
        <v>0</v>
      </c>
      <c r="DK152" s="197">
        <f t="shared" si="395"/>
        <v>4057.70413599519</v>
      </c>
      <c r="DL152" s="197">
        <f t="shared" si="396"/>
        <v>15470.686656039756</v>
      </c>
      <c r="DM152" s="197">
        <f t="shared" si="397"/>
        <v>-15470.686656039756</v>
      </c>
      <c r="DN152" s="199">
        <f t="shared" si="398"/>
        <v>-11412.982520044563</v>
      </c>
    </row>
    <row r="153" spans="2:118" x14ac:dyDescent="0.3">
      <c r="B153" s="901">
        <v>16</v>
      </c>
      <c r="C153" s="912">
        <f>'Arable Inputs'!$H$18*$E$134</f>
        <v>9.4</v>
      </c>
      <c r="D153" s="761">
        <f>'Arable Inputs'!$H$25</f>
        <v>94.285714285714292</v>
      </c>
      <c r="E153" s="207">
        <f t="shared" si="338"/>
        <v>886.28571428571433</v>
      </c>
      <c r="F153" s="207">
        <f>'Arable NPV'!$D132</f>
        <v>330</v>
      </c>
      <c r="G153" s="207">
        <f>E153+F153</f>
        <v>1216.2857142857142</v>
      </c>
      <c r="H153" s="207">
        <f>'Arable NPV'!$F132</f>
        <v>566.71194999999989</v>
      </c>
      <c r="I153" s="207">
        <f>'Arable NPV'!$G132</f>
        <v>691.46913599999993</v>
      </c>
      <c r="J153" s="207">
        <f t="shared" si="400"/>
        <v>1258.1810859999998</v>
      </c>
      <c r="K153" s="207">
        <f t="shared" si="339"/>
        <v>-371.89537171428549</v>
      </c>
      <c r="L153" s="207">
        <f t="shared" si="340"/>
        <v>-41.895371714285602</v>
      </c>
      <c r="M153" s="208">
        <f t="shared" si="341"/>
        <v>568.8730745213195</v>
      </c>
      <c r="N153" s="207">
        <f t="shared" si="342"/>
        <v>211.81444264091684</v>
      </c>
      <c r="O153" s="207">
        <f t="shared" si="343"/>
        <v>807.57856203767699</v>
      </c>
      <c r="P153" s="207">
        <f t="shared" si="344"/>
        <v>-238.70548751635749</v>
      </c>
      <c r="Q153" s="209">
        <f t="shared" si="345"/>
        <v>-26.89104487544072</v>
      </c>
      <c r="R153" s="208">
        <f t="shared" si="346"/>
        <v>11466.707039765543</v>
      </c>
      <c r="S153" s="207">
        <f t="shared" si="346"/>
        <v>4269.5185786361071</v>
      </c>
      <c r="T153" s="207">
        <f t="shared" si="346"/>
        <v>16278.265218077433</v>
      </c>
      <c r="U153" s="207">
        <f t="shared" si="346"/>
        <v>-4811.5581783118869</v>
      </c>
      <c r="V153" s="209">
        <f t="shared" si="346"/>
        <v>-542.0395996757818</v>
      </c>
      <c r="Z153" s="901">
        <v>16</v>
      </c>
      <c r="AA153" s="912">
        <f>'Arable Inputs'!$H$18*$AC$134</f>
        <v>14.100000000000001</v>
      </c>
      <c r="AB153" s="761">
        <f>'Arable Inputs'!$H$25</f>
        <v>94.285714285714292</v>
      </c>
      <c r="AC153" s="207">
        <f t="shared" si="347"/>
        <v>1329.4285714285716</v>
      </c>
      <c r="AD153" s="207">
        <f>'Arable NPV'!$D132</f>
        <v>330</v>
      </c>
      <c r="AE153" s="207">
        <f>AC153+AD153</f>
        <v>1659.4285714285716</v>
      </c>
      <c r="AF153" s="207">
        <f>'Arable NPV'!$F132</f>
        <v>566.71194999999989</v>
      </c>
      <c r="AG153" s="207">
        <f>'Arable NPV'!$G132</f>
        <v>691.46913599999993</v>
      </c>
      <c r="AH153" s="207">
        <f t="shared" si="402"/>
        <v>1258.1810859999998</v>
      </c>
      <c r="AI153" s="207">
        <f t="shared" si="348"/>
        <v>71.247485428571736</v>
      </c>
      <c r="AJ153" s="207">
        <f t="shared" si="349"/>
        <v>401.24748542857174</v>
      </c>
      <c r="AK153" s="208">
        <f t="shared" si="350"/>
        <v>853.30961178197936</v>
      </c>
      <c r="AL153" s="207">
        <f t="shared" si="351"/>
        <v>211.81444264091684</v>
      </c>
      <c r="AM153" s="207">
        <f t="shared" si="352"/>
        <v>807.57856203767699</v>
      </c>
      <c r="AN153" s="207">
        <f t="shared" si="353"/>
        <v>45.731049744302318</v>
      </c>
      <c r="AO153" s="209">
        <f t="shared" si="354"/>
        <v>257.54549238521918</v>
      </c>
      <c r="AP153" s="208">
        <f t="shared" si="355"/>
        <v>17200.060559648318</v>
      </c>
      <c r="AQ153" s="207">
        <f t="shared" si="356"/>
        <v>4269.5185786361071</v>
      </c>
      <c r="AR153" s="207">
        <f t="shared" si="357"/>
        <v>16278.265218077433</v>
      </c>
      <c r="AS153" s="207">
        <f t="shared" si="358"/>
        <v>921.79534157088574</v>
      </c>
      <c r="AT153" s="209">
        <f t="shared" si="359"/>
        <v>5191.3139202069924</v>
      </c>
      <c r="AX153" s="901">
        <v>16</v>
      </c>
      <c r="AY153" s="912">
        <f>'Arable Inputs'!$H$18*$BA$134</f>
        <v>4.7</v>
      </c>
      <c r="AZ153" s="761">
        <f>'Arable Inputs'!$H$25</f>
        <v>94.285714285714292</v>
      </c>
      <c r="BA153" s="207">
        <f t="shared" si="360"/>
        <v>443.14285714285717</v>
      </c>
      <c r="BB153" s="207">
        <f>'Arable NPV'!$D132</f>
        <v>330</v>
      </c>
      <c r="BC153" s="207">
        <f>BA153+BB153</f>
        <v>773.14285714285711</v>
      </c>
      <c r="BD153" s="207">
        <f>'Arable NPV'!$F132</f>
        <v>566.71194999999989</v>
      </c>
      <c r="BE153" s="207">
        <f>'Arable NPV'!$G132</f>
        <v>691.46913599999993</v>
      </c>
      <c r="BF153" s="207">
        <f t="shared" si="404"/>
        <v>1258.1810859999998</v>
      </c>
      <c r="BG153" s="207">
        <f t="shared" si="361"/>
        <v>-815.03822885714271</v>
      </c>
      <c r="BH153" s="207">
        <f t="shared" si="362"/>
        <v>-485.03822885714271</v>
      </c>
      <c r="BI153" s="208">
        <f t="shared" si="363"/>
        <v>284.43653726065975</v>
      </c>
      <c r="BJ153" s="207">
        <f t="shared" si="364"/>
        <v>211.81444264091684</v>
      </c>
      <c r="BK153" s="207">
        <f t="shared" si="365"/>
        <v>807.57856203767699</v>
      </c>
      <c r="BL153" s="207">
        <f t="shared" si="366"/>
        <v>-523.14202477701724</v>
      </c>
      <c r="BM153" s="209">
        <f t="shared" si="367"/>
        <v>-311.32758213610043</v>
      </c>
      <c r="BN153" s="208">
        <f t="shared" si="368"/>
        <v>5733.3535198827713</v>
      </c>
      <c r="BO153" s="207">
        <f t="shared" si="369"/>
        <v>4269.5185786361071</v>
      </c>
      <c r="BP153" s="207">
        <f t="shared" si="370"/>
        <v>16278.265218077433</v>
      </c>
      <c r="BQ153" s="207">
        <f t="shared" si="371"/>
        <v>-10544.911698194659</v>
      </c>
      <c r="BR153" s="209">
        <f t="shared" si="372"/>
        <v>-6275.3931195585519</v>
      </c>
      <c r="BV153" s="901">
        <v>16</v>
      </c>
      <c r="BW153" s="912">
        <f>'Arable Inputs'!$H$18*$BY$134</f>
        <v>18.8</v>
      </c>
      <c r="BX153" s="761">
        <f>'Arable Inputs'!$H$25</f>
        <v>94.285714285714292</v>
      </c>
      <c r="BY153" s="207">
        <f t="shared" si="373"/>
        <v>1772.5714285714287</v>
      </c>
      <c r="BZ153" s="207">
        <f>'Arable NPV'!$D132</f>
        <v>330</v>
      </c>
      <c r="CA153" s="207">
        <f>BY153+BZ153</f>
        <v>2102.5714285714284</v>
      </c>
      <c r="CB153" s="207">
        <f>'Arable NPV'!$F132</f>
        <v>566.71194999999989</v>
      </c>
      <c r="CC153" s="207">
        <f>'Arable NPV'!$G132</f>
        <v>691.46913599999993</v>
      </c>
      <c r="CD153" s="207">
        <f t="shared" si="406"/>
        <v>1258.1810859999998</v>
      </c>
      <c r="CE153" s="207">
        <f t="shared" si="374"/>
        <v>514.39034257142885</v>
      </c>
      <c r="CF153" s="207">
        <f t="shared" si="375"/>
        <v>844.39034257142862</v>
      </c>
      <c r="CG153" s="208">
        <f t="shared" si="376"/>
        <v>1137.746149042639</v>
      </c>
      <c r="CH153" s="207">
        <f t="shared" si="377"/>
        <v>211.81444264091684</v>
      </c>
      <c r="CI153" s="207">
        <f t="shared" si="378"/>
        <v>807.57856203767699</v>
      </c>
      <c r="CJ153" s="207">
        <f t="shared" si="379"/>
        <v>330.16758700496206</v>
      </c>
      <c r="CK153" s="209">
        <f t="shared" si="380"/>
        <v>541.9820296458787</v>
      </c>
      <c r="CL153" s="208">
        <f t="shared" si="381"/>
        <v>22933.414079531085</v>
      </c>
      <c r="CM153" s="207">
        <f t="shared" si="382"/>
        <v>4269.5185786361071</v>
      </c>
      <c r="CN153" s="207">
        <f t="shared" si="383"/>
        <v>16278.265218077433</v>
      </c>
      <c r="CO153" s="207">
        <f t="shared" si="384"/>
        <v>6655.1488614536574</v>
      </c>
      <c r="CP153" s="209">
        <f t="shared" si="385"/>
        <v>10924.667440089759</v>
      </c>
      <c r="CT153" s="901">
        <v>16</v>
      </c>
      <c r="CU153" s="912">
        <f>'Arable Inputs'!$H$18*$CW$134</f>
        <v>0</v>
      </c>
      <c r="CV153" s="761">
        <f>'Arable Inputs'!$H$25</f>
        <v>94.285714285714292</v>
      </c>
      <c r="CW153" s="207">
        <f t="shared" si="386"/>
        <v>0</v>
      </c>
      <c r="CX153" s="207">
        <f>'Arable NPV'!$D132</f>
        <v>330</v>
      </c>
      <c r="CY153" s="207">
        <f>CW153+CX153</f>
        <v>330</v>
      </c>
      <c r="CZ153" s="207">
        <f>'Arable NPV'!$F132</f>
        <v>566.71194999999989</v>
      </c>
      <c r="DA153" s="207">
        <f>'Arable NPV'!$G132</f>
        <v>691.46913599999993</v>
      </c>
      <c r="DB153" s="207">
        <f t="shared" si="408"/>
        <v>1258.1810859999998</v>
      </c>
      <c r="DC153" s="207">
        <f t="shared" si="387"/>
        <v>-1258.1810859999998</v>
      </c>
      <c r="DD153" s="207">
        <f t="shared" si="388"/>
        <v>-928.18108599999982</v>
      </c>
      <c r="DE153" s="208">
        <f t="shared" si="389"/>
        <v>0</v>
      </c>
      <c r="DF153" s="207">
        <f t="shared" si="390"/>
        <v>211.81444264091684</v>
      </c>
      <c r="DG153" s="207">
        <f t="shared" si="391"/>
        <v>807.57856203767699</v>
      </c>
      <c r="DH153" s="207">
        <f t="shared" si="392"/>
        <v>-807.57856203767699</v>
      </c>
      <c r="DI153" s="209">
        <f t="shared" si="393"/>
        <v>-595.76411939676018</v>
      </c>
      <c r="DJ153" s="208">
        <f t="shared" si="394"/>
        <v>0</v>
      </c>
      <c r="DK153" s="207">
        <f t="shared" si="395"/>
        <v>4269.5185786361071</v>
      </c>
      <c r="DL153" s="207">
        <f t="shared" si="396"/>
        <v>16278.265218077433</v>
      </c>
      <c r="DM153" s="207">
        <f t="shared" si="397"/>
        <v>-16278.265218077433</v>
      </c>
      <c r="DN153" s="209">
        <f t="shared" si="398"/>
        <v>-12008.746639441324</v>
      </c>
    </row>
    <row r="159" spans="2:118" x14ac:dyDescent="0.3">
      <c r="B159" s="273" t="s">
        <v>327</v>
      </c>
      <c r="C159" s="274"/>
      <c r="D159" s="88"/>
      <c r="E159" s="88"/>
      <c r="F159" s="88"/>
      <c r="G159" s="275"/>
      <c r="H159" s="276" t="s">
        <v>305</v>
      </c>
      <c r="I159" s="277" t="s">
        <v>306</v>
      </c>
      <c r="J159" s="277" t="s">
        <v>307</v>
      </c>
      <c r="K159" s="277" t="s">
        <v>308</v>
      </c>
      <c r="L159" s="277" t="s">
        <v>309</v>
      </c>
      <c r="M159" s="276" t="s">
        <v>634</v>
      </c>
      <c r="N159" s="277" t="s">
        <v>635</v>
      </c>
      <c r="O159" s="277" t="s">
        <v>636</v>
      </c>
      <c r="P159" s="277" t="s">
        <v>637</v>
      </c>
      <c r="Q159" s="277" t="s">
        <v>638</v>
      </c>
      <c r="R159" s="276" t="s">
        <v>389</v>
      </c>
      <c r="S159" s="277" t="s">
        <v>390</v>
      </c>
      <c r="T159" s="277" t="s">
        <v>391</v>
      </c>
      <c r="U159" s="277" t="s">
        <v>392</v>
      </c>
      <c r="V159" s="277" t="s">
        <v>393</v>
      </c>
      <c r="W159" s="276" t="s">
        <v>420</v>
      </c>
      <c r="X159" s="277" t="s">
        <v>421</v>
      </c>
      <c r="Y159" s="277" t="s">
        <v>422</v>
      </c>
      <c r="Z159" s="277" t="s">
        <v>423</v>
      </c>
      <c r="AA159" s="277" t="s">
        <v>424</v>
      </c>
      <c r="AB159" s="276" t="s">
        <v>425</v>
      </c>
      <c r="AC159" s="277" t="s">
        <v>426</v>
      </c>
      <c r="AD159" s="277" t="s">
        <v>427</v>
      </c>
      <c r="AE159" s="277" t="s">
        <v>428</v>
      </c>
      <c r="AF159" s="277" t="s">
        <v>429</v>
      </c>
      <c r="AG159" s="276" t="s">
        <v>526</v>
      </c>
      <c r="AH159" s="277" t="s">
        <v>527</v>
      </c>
      <c r="AI159" s="277" t="s">
        <v>528</v>
      </c>
      <c r="AJ159" s="277" t="s">
        <v>529</v>
      </c>
      <c r="AK159" s="277" t="s">
        <v>530</v>
      </c>
    </row>
    <row r="160" spans="2:118" x14ac:dyDescent="0.3">
      <c r="B160" s="278" t="s">
        <v>293</v>
      </c>
      <c r="C160" s="24"/>
      <c r="D160" s="279"/>
      <c r="E160" s="279"/>
      <c r="F160" s="279"/>
      <c r="G160" s="280" t="s">
        <v>567</v>
      </c>
      <c r="H160" s="281">
        <f>S27</f>
        <v>5153.0411811079257</v>
      </c>
      <c r="I160" s="281">
        <f>AQ27</f>
        <v>7729.5617716618908</v>
      </c>
      <c r="J160" s="281">
        <f>BO27</f>
        <v>2576.5205905539628</v>
      </c>
      <c r="K160" s="281">
        <f>CM27</f>
        <v>10306.082362215851</v>
      </c>
      <c r="L160" s="281">
        <f>DK27</f>
        <v>0</v>
      </c>
      <c r="M160" s="281">
        <f>S53</f>
        <v>7503.8112474454329</v>
      </c>
      <c r="N160" s="281">
        <f>AQ53</f>
        <v>11255.716871168146</v>
      </c>
      <c r="O160" s="107">
        <f>BO53</f>
        <v>3751.9056237227164</v>
      </c>
      <c r="P160" s="107">
        <f>CM53</f>
        <v>15007.622494890866</v>
      </c>
      <c r="Q160" s="107">
        <f>DK53</f>
        <v>0</v>
      </c>
      <c r="R160" s="764">
        <f>U$78</f>
        <v>11827.882468805239</v>
      </c>
      <c r="S160" s="764">
        <f>AU$78</f>
        <v>17741.823703207858</v>
      </c>
      <c r="T160" s="107">
        <f>BU$78</f>
        <v>5913.9412344026196</v>
      </c>
      <c r="U160" s="107">
        <f>CU$78</f>
        <v>23655.764937610478</v>
      </c>
      <c r="V160" s="107">
        <f>DU$78</f>
        <v>0</v>
      </c>
      <c r="W160" s="764">
        <f>S$103</f>
        <v>7249.7050055210802</v>
      </c>
      <c r="X160" s="764">
        <f>AQ$103</f>
        <v>10874.557508281619</v>
      </c>
      <c r="Y160" s="107">
        <f>BO$103</f>
        <v>3624.8525027605401</v>
      </c>
      <c r="Z160" s="107">
        <f>CM$103</f>
        <v>14499.41001104216</v>
      </c>
      <c r="AA160" s="107">
        <f>DK$103</f>
        <v>0</v>
      </c>
      <c r="AB160" s="764">
        <f>S$128</f>
        <v>6150.3876966488488</v>
      </c>
      <c r="AC160" s="764">
        <f>AQ$128</f>
        <v>9225.5815449732727</v>
      </c>
      <c r="AD160" s="107">
        <f>BO$128</f>
        <v>3075.1938483244244</v>
      </c>
      <c r="AE160" s="107">
        <f>CM$128</f>
        <v>12300.775393297698</v>
      </c>
      <c r="AF160" s="107">
        <f>DK$128</f>
        <v>0</v>
      </c>
      <c r="AG160" s="767">
        <f>R153</f>
        <v>11466.707039765543</v>
      </c>
      <c r="AH160" s="767">
        <f>AP153</f>
        <v>17200.060559648318</v>
      </c>
      <c r="AI160" s="767">
        <f>BN153</f>
        <v>5733.3535198827713</v>
      </c>
      <c r="AJ160" s="767">
        <f>CL153</f>
        <v>22933.414079531085</v>
      </c>
      <c r="AK160" s="767">
        <f>DJ153</f>
        <v>0</v>
      </c>
    </row>
    <row r="161" spans="2:37" x14ac:dyDescent="0.3">
      <c r="B161" s="282" t="s">
        <v>689</v>
      </c>
      <c r="C161" s="24"/>
      <c r="D161" s="279"/>
      <c r="E161" s="279"/>
      <c r="F161" s="279"/>
      <c r="G161" s="283" t="s">
        <v>567</v>
      </c>
      <c r="H161" s="281">
        <f>T27</f>
        <v>4269.5185786361071</v>
      </c>
      <c r="I161" s="281">
        <f>AR27</f>
        <v>4269.5185786361071</v>
      </c>
      <c r="J161" s="281">
        <f>BP27</f>
        <v>4269.5185786361071</v>
      </c>
      <c r="K161" s="281">
        <f>CN27</f>
        <v>4269.5185786361071</v>
      </c>
      <c r="L161" s="281">
        <f>DL27</f>
        <v>4269.5185786361071</v>
      </c>
      <c r="M161" s="281">
        <f>T53</f>
        <v>4269.5185786361071</v>
      </c>
      <c r="N161" s="281">
        <f>AR53</f>
        <v>4269.5185786361071</v>
      </c>
      <c r="O161" s="108">
        <f>BP53</f>
        <v>4269.5185786361071</v>
      </c>
      <c r="P161" s="108">
        <f>CN53</f>
        <v>4269.5185786361071</v>
      </c>
      <c r="Q161" s="108">
        <f>DL53</f>
        <v>4269.5185786361071</v>
      </c>
      <c r="R161" s="764">
        <f>V$78</f>
        <v>4269.5185786361071</v>
      </c>
      <c r="S161" s="764">
        <f>AV$78</f>
        <v>4269.5185786361071</v>
      </c>
      <c r="T161" s="108">
        <f>BV$78</f>
        <v>4269.5185786361071</v>
      </c>
      <c r="U161" s="108">
        <f>CV$78</f>
        <v>4269.5185786361071</v>
      </c>
      <c r="V161" s="108">
        <f>DV$78</f>
        <v>4269.5185786361071</v>
      </c>
      <c r="W161" s="764">
        <f>T$103</f>
        <v>2899.4159442201048</v>
      </c>
      <c r="X161" s="764">
        <f>AR$103</f>
        <v>2899.4159442201048</v>
      </c>
      <c r="Y161" s="108">
        <f>BP$103</f>
        <v>2899.4159442201048</v>
      </c>
      <c r="Z161" s="108">
        <f>CN$103</f>
        <v>2899.4159442201048</v>
      </c>
      <c r="AA161" s="108">
        <f>DL$103</f>
        <v>2899.4159442201048</v>
      </c>
      <c r="AB161" s="764">
        <f>T$128</f>
        <v>4269.5185786361071</v>
      </c>
      <c r="AC161" s="764">
        <f>AR$128</f>
        <v>4269.5185786361071</v>
      </c>
      <c r="AD161" s="108">
        <f>BP$128</f>
        <v>4269.5185786361071</v>
      </c>
      <c r="AE161" s="108">
        <f>CN$128</f>
        <v>4269.5185786361071</v>
      </c>
      <c r="AF161" s="108">
        <f>DL$128</f>
        <v>4269.5185786361071</v>
      </c>
      <c r="AG161" s="914">
        <f>S153</f>
        <v>4269.5185786361071</v>
      </c>
      <c r="AH161" s="914">
        <f>AQ153</f>
        <v>4269.5185786361071</v>
      </c>
      <c r="AI161" s="914">
        <f>BO153</f>
        <v>4269.5185786361071</v>
      </c>
      <c r="AJ161" s="914">
        <f>CM153</f>
        <v>4269.5185786361071</v>
      </c>
      <c r="AK161" s="914">
        <f>DK153</f>
        <v>4269.5185786361071</v>
      </c>
    </row>
    <row r="162" spans="2:37" x14ac:dyDescent="0.3">
      <c r="B162" s="284" t="s">
        <v>292</v>
      </c>
      <c r="C162" s="165"/>
      <c r="D162" s="279"/>
      <c r="E162" s="279"/>
      <c r="F162" s="279"/>
      <c r="G162" s="285" t="s">
        <v>567</v>
      </c>
      <c r="H162" s="281">
        <f>U27</f>
        <v>10028.072186038104</v>
      </c>
      <c r="I162" s="281">
        <f>AS27</f>
        <v>10028.072186038104</v>
      </c>
      <c r="J162" s="281">
        <f>BQ27</f>
        <v>10028.072186038104</v>
      </c>
      <c r="K162" s="281">
        <f>CO27</f>
        <v>10028.072186038104</v>
      </c>
      <c r="L162" s="281">
        <f>DM27</f>
        <v>10028.072186038104</v>
      </c>
      <c r="M162" s="281">
        <f>U53</f>
        <v>8237.601585738621</v>
      </c>
      <c r="N162" s="281">
        <f>AS53</f>
        <v>8237.601585738621</v>
      </c>
      <c r="O162" s="294">
        <f>BQ53</f>
        <v>8237.601585738621</v>
      </c>
      <c r="P162" s="294">
        <f>CO53</f>
        <v>8237.601585738621</v>
      </c>
      <c r="Q162" s="294">
        <f>DM53</f>
        <v>8237.601585738621</v>
      </c>
      <c r="R162" s="764">
        <f>W$78</f>
        <v>15220.142021005624</v>
      </c>
      <c r="S162" s="764">
        <f>AW$78</f>
        <v>15220.142021005624</v>
      </c>
      <c r="T162" s="294">
        <f>BW$78</f>
        <v>15220.142021005624</v>
      </c>
      <c r="U162" s="294">
        <f>CW$78</f>
        <v>15220.142021005624</v>
      </c>
      <c r="V162" s="294">
        <f>DW$78</f>
        <v>15220.142021005624</v>
      </c>
      <c r="W162" s="764">
        <f>U$103</f>
        <v>6484.1859442089399</v>
      </c>
      <c r="X162" s="764">
        <f>AS$103</f>
        <v>6484.1859442089399</v>
      </c>
      <c r="Y162" s="294">
        <f>BQ$103</f>
        <v>6484.1859442089399</v>
      </c>
      <c r="Z162" s="294">
        <f>CO$103</f>
        <v>6484.1859442089399</v>
      </c>
      <c r="AA162" s="294">
        <f>DM$103</f>
        <v>6484.1859442089399</v>
      </c>
      <c r="AB162" s="764">
        <f>U$128</f>
        <v>7650.9886605307165</v>
      </c>
      <c r="AC162" s="764">
        <f>AS$128</f>
        <v>7650.9886605307165</v>
      </c>
      <c r="AD162" s="294">
        <f>BQ$128</f>
        <v>7650.9886605307165</v>
      </c>
      <c r="AE162" s="294">
        <f>CO$128</f>
        <v>7650.9886605307165</v>
      </c>
      <c r="AF162" s="294">
        <f>DM$128</f>
        <v>7650.9886605307165</v>
      </c>
      <c r="AG162" s="768">
        <f>T153</f>
        <v>16278.265218077433</v>
      </c>
      <c r="AH162" s="768">
        <f>AR153</f>
        <v>16278.265218077433</v>
      </c>
      <c r="AI162" s="768">
        <f>BP153</f>
        <v>16278.265218077433</v>
      </c>
      <c r="AJ162" s="768">
        <f>CN153</f>
        <v>16278.265218077433</v>
      </c>
      <c r="AK162" s="768">
        <f>DL153</f>
        <v>16278.265218077433</v>
      </c>
    </row>
    <row r="163" spans="2:37" x14ac:dyDescent="0.3">
      <c r="B163" s="278" t="s">
        <v>690</v>
      </c>
      <c r="C163" s="24"/>
      <c r="D163" s="286"/>
      <c r="E163" s="286"/>
      <c r="F163" s="286"/>
      <c r="G163" s="280" t="s">
        <v>567</v>
      </c>
      <c r="H163" s="287">
        <f>H160-H162</f>
        <v>-4875.0310049301779</v>
      </c>
      <c r="I163" s="287">
        <f t="shared" ref="I163:AK163" si="409">I160-I162</f>
        <v>-2298.5104143762128</v>
      </c>
      <c r="J163" s="287">
        <f t="shared" si="409"/>
        <v>-7451.5515954841412</v>
      </c>
      <c r="K163" s="287">
        <f t="shared" si="409"/>
        <v>278.01017617774778</v>
      </c>
      <c r="L163" s="287">
        <f t="shared" si="409"/>
        <v>-10028.072186038104</v>
      </c>
      <c r="M163" s="287">
        <f t="shared" si="409"/>
        <v>-733.79033829318814</v>
      </c>
      <c r="N163" s="287">
        <f t="shared" si="409"/>
        <v>3018.1152854295251</v>
      </c>
      <c r="O163" s="287">
        <f t="shared" si="409"/>
        <v>-4485.695962015905</v>
      </c>
      <c r="P163" s="287">
        <f t="shared" si="409"/>
        <v>6770.0209091522447</v>
      </c>
      <c r="Q163" s="287">
        <f t="shared" si="409"/>
        <v>-8237.601585738621</v>
      </c>
      <c r="R163" s="765">
        <f t="shared" si="409"/>
        <v>-3392.2595522003849</v>
      </c>
      <c r="S163" s="765">
        <f t="shared" si="409"/>
        <v>2521.6816822022338</v>
      </c>
      <c r="T163" s="765">
        <f t="shared" si="409"/>
        <v>-9306.2007866030035</v>
      </c>
      <c r="U163" s="765">
        <f t="shared" si="409"/>
        <v>8435.6229166048543</v>
      </c>
      <c r="V163" s="765">
        <f t="shared" si="409"/>
        <v>-15220.142021005624</v>
      </c>
      <c r="W163" s="765">
        <f t="shared" si="409"/>
        <v>765.51906131214037</v>
      </c>
      <c r="X163" s="765">
        <f t="shared" si="409"/>
        <v>4390.3715640726796</v>
      </c>
      <c r="Y163" s="765">
        <f t="shared" si="409"/>
        <v>-2859.3334414483998</v>
      </c>
      <c r="Z163" s="765">
        <f t="shared" si="409"/>
        <v>8015.2240668332206</v>
      </c>
      <c r="AA163" s="765">
        <f t="shared" si="409"/>
        <v>-6484.1859442089399</v>
      </c>
      <c r="AB163" s="765">
        <f t="shared" si="409"/>
        <v>-1500.6009638818678</v>
      </c>
      <c r="AC163" s="765">
        <f t="shared" si="409"/>
        <v>1574.5928844425562</v>
      </c>
      <c r="AD163" s="765">
        <f t="shared" si="409"/>
        <v>-4575.7948122062917</v>
      </c>
      <c r="AE163" s="765">
        <f t="shared" si="409"/>
        <v>4649.786732766981</v>
      </c>
      <c r="AF163" s="765">
        <f t="shared" si="409"/>
        <v>-7650.9886605307165</v>
      </c>
      <c r="AG163" s="765">
        <f t="shared" si="409"/>
        <v>-4811.5581783118905</v>
      </c>
      <c r="AH163" s="765">
        <f t="shared" si="409"/>
        <v>921.79534157088528</v>
      </c>
      <c r="AI163" s="765">
        <f t="shared" si="409"/>
        <v>-10544.911698194661</v>
      </c>
      <c r="AJ163" s="765">
        <f t="shared" si="409"/>
        <v>6655.148861453652</v>
      </c>
      <c r="AK163" s="765">
        <f t="shared" si="409"/>
        <v>-16278.265218077433</v>
      </c>
    </row>
    <row r="164" spans="2:37" x14ac:dyDescent="0.3">
      <c r="B164" s="284" t="s">
        <v>691</v>
      </c>
      <c r="C164" s="165"/>
      <c r="D164" s="288"/>
      <c r="E164" s="288"/>
      <c r="F164" s="288"/>
      <c r="G164" s="285" t="s">
        <v>567</v>
      </c>
      <c r="H164" s="295">
        <f>H160+H161-H162</f>
        <v>-605.5124262940717</v>
      </c>
      <c r="I164" s="295">
        <f t="shared" ref="I164:U164" si="410">I160+I161-I162</f>
        <v>1971.0081642598943</v>
      </c>
      <c r="J164" s="295">
        <f t="shared" si="410"/>
        <v>-3182.0330168480341</v>
      </c>
      <c r="K164" s="295">
        <f t="shared" si="410"/>
        <v>4547.5287548138549</v>
      </c>
      <c r="L164" s="295">
        <f t="shared" si="410"/>
        <v>-5758.5536074019965</v>
      </c>
      <c r="M164" s="295">
        <f t="shared" si="410"/>
        <v>3535.7282403429181</v>
      </c>
      <c r="N164" s="295">
        <f t="shared" si="410"/>
        <v>7287.6338640656322</v>
      </c>
      <c r="O164" s="295">
        <f t="shared" si="410"/>
        <v>-216.1773833797979</v>
      </c>
      <c r="P164" s="295">
        <f t="shared" si="410"/>
        <v>11039.539487788354</v>
      </c>
      <c r="Q164" s="295">
        <f t="shared" si="410"/>
        <v>-3968.0830071025139</v>
      </c>
      <c r="R164" s="766">
        <f t="shared" si="410"/>
        <v>877.25902643572226</v>
      </c>
      <c r="S164" s="766">
        <f t="shared" si="410"/>
        <v>6791.2002608383409</v>
      </c>
      <c r="T164" s="766">
        <f t="shared" si="410"/>
        <v>-5036.6822079668964</v>
      </c>
      <c r="U164" s="766">
        <f t="shared" si="410"/>
        <v>12705.141495240961</v>
      </c>
      <c r="V164" s="766">
        <f t="shared" ref="V164:AE164" si="411">V160+V161-V162</f>
        <v>-10950.623442369517</v>
      </c>
      <c r="W164" s="766">
        <f t="shared" si="411"/>
        <v>3664.9350055322457</v>
      </c>
      <c r="X164" s="766">
        <f t="shared" si="411"/>
        <v>7289.7875082927849</v>
      </c>
      <c r="Y164" s="766">
        <f t="shared" si="411"/>
        <v>40.08250277170464</v>
      </c>
      <c r="Z164" s="766">
        <f t="shared" si="411"/>
        <v>10914.640011053325</v>
      </c>
      <c r="AA164" s="766">
        <f t="shared" si="411"/>
        <v>-3584.769999988835</v>
      </c>
      <c r="AB164" s="766">
        <f t="shared" si="411"/>
        <v>2768.9176147542403</v>
      </c>
      <c r="AC164" s="766">
        <f t="shared" si="411"/>
        <v>5844.1114630786633</v>
      </c>
      <c r="AD164" s="766">
        <f t="shared" si="411"/>
        <v>-306.27623357018456</v>
      </c>
      <c r="AE164" s="766">
        <f t="shared" si="411"/>
        <v>8919.3053114030863</v>
      </c>
      <c r="AF164" s="766">
        <f t="shared" ref="AF164:AK164" si="412">AF160+AF161-AF162</f>
        <v>-3381.4700818946094</v>
      </c>
      <c r="AG164" s="766">
        <f t="shared" si="412"/>
        <v>-542.03959967578339</v>
      </c>
      <c r="AH164" s="766">
        <f t="shared" si="412"/>
        <v>5191.3139202069924</v>
      </c>
      <c r="AI164" s="766">
        <f t="shared" si="412"/>
        <v>-6275.3931195585556</v>
      </c>
      <c r="AJ164" s="766">
        <f t="shared" si="412"/>
        <v>10924.667440089759</v>
      </c>
      <c r="AK164" s="766">
        <f t="shared" si="412"/>
        <v>-12008.746639441326</v>
      </c>
    </row>
    <row r="165" spans="2:37" x14ac:dyDescent="0.3">
      <c r="B165" s="62" t="s">
        <v>692</v>
      </c>
      <c r="C165" s="24"/>
      <c r="D165" s="289"/>
      <c r="E165" s="289"/>
      <c r="F165" s="289"/>
      <c r="G165" s="280" t="s">
        <v>567</v>
      </c>
      <c r="H165" s="290">
        <f>H163*((1+$B$4)^16)/(((1+$B$4)^16)-1)</f>
        <v>-12936.845283269249</v>
      </c>
      <c r="I165" s="290">
        <f t="shared" ref="I165:Q166" si="413">I163*((1+$B$4)^16)/(((1+$B$4)^16)-1)</f>
        <v>-6099.5455378019778</v>
      </c>
      <c r="J165" s="290">
        <f t="shared" si="413"/>
        <v>-19774.145028736515</v>
      </c>
      <c r="K165" s="290">
        <f t="shared" si="413"/>
        <v>737.75420766528248</v>
      </c>
      <c r="L165" s="290">
        <f t="shared" si="413"/>
        <v>-26611.444774203781</v>
      </c>
      <c r="M165" s="290">
        <f t="shared" si="413"/>
        <v>-1947.255733811018</v>
      </c>
      <c r="N165" s="290">
        <f t="shared" si="413"/>
        <v>8009.1573684731857</v>
      </c>
      <c r="O165" s="290">
        <f t="shared" si="413"/>
        <v>-11903.668836095232</v>
      </c>
      <c r="P165" s="290">
        <f t="shared" si="413"/>
        <v>17965.570470757408</v>
      </c>
      <c r="Q165" s="290">
        <f>Q163*((1+$B$4)^16)/(((1+$B$4)^16)-1)</f>
        <v>-21860.081938379444</v>
      </c>
      <c r="R165" s="290">
        <f>R163*((1+$B$4)^16)/(((1+$B$4)^16)-1)</f>
        <v>-9002.0221293212362</v>
      </c>
      <c r="S165" s="290">
        <f t="shared" ref="S165:V166" si="414">S163*((1+$B$4)^16)/(((1+$B$4)^16)-1)</f>
        <v>6691.7740099114853</v>
      </c>
      <c r="T165" s="290">
        <f t="shared" si="414"/>
        <v>-24695.818268553958</v>
      </c>
      <c r="U165" s="290">
        <f t="shared" si="414"/>
        <v>22385.570149144209</v>
      </c>
      <c r="V165" s="290">
        <f t="shared" si="414"/>
        <v>-40389.614407786685</v>
      </c>
      <c r="W165" s="290">
        <f>W163*((1+$B$4)^16)/(((1+$B$4)^16)-1)</f>
        <v>2031.454086665959</v>
      </c>
      <c r="X165" s="290">
        <f t="shared" ref="X165:AA166" si="415">X163*((1+$B$4)^16)/(((1+$B$4)^16)-1)</f>
        <v>11650.706960229181</v>
      </c>
      <c r="Y165" s="290">
        <f t="shared" si="415"/>
        <v>-7587.798786897265</v>
      </c>
      <c r="Z165" s="290">
        <f t="shared" si="415"/>
        <v>21269.959833792407</v>
      </c>
      <c r="AA165" s="290">
        <f t="shared" si="415"/>
        <v>-17207.051660460489</v>
      </c>
      <c r="AB165" s="290">
        <f>AB163*((1+$B$4)^16)/(((1+$B$4)^16)-1)</f>
        <v>-3982.1372381081856</v>
      </c>
      <c r="AC165" s="290">
        <f t="shared" ref="AC165:AK166" si="416">AC163*((1+$B$4)^16)/(((1+$B$4)^16)-1)</f>
        <v>4178.4892259288836</v>
      </c>
      <c r="AD165" s="290">
        <f t="shared" si="416"/>
        <v>-12142.763702145254</v>
      </c>
      <c r="AE165" s="290">
        <f t="shared" si="416"/>
        <v>12339.115689965955</v>
      </c>
      <c r="AF165" s="290">
        <f t="shared" si="416"/>
        <v>-20303.390166182326</v>
      </c>
      <c r="AG165" s="290">
        <f t="shared" si="416"/>
        <v>-12768.407762190485</v>
      </c>
      <c r="AH165" s="290">
        <f t="shared" si="416"/>
        <v>2446.1636663809632</v>
      </c>
      <c r="AI165" s="290">
        <f t="shared" si="416"/>
        <v>-27982.979190761918</v>
      </c>
      <c r="AJ165" s="290">
        <f t="shared" si="416"/>
        <v>17660.735094952386</v>
      </c>
      <c r="AK165" s="290">
        <f t="shared" si="416"/>
        <v>-43197.550619333357</v>
      </c>
    </row>
    <row r="166" spans="2:37" x14ac:dyDescent="0.3">
      <c r="B166" s="41" t="s">
        <v>693</v>
      </c>
      <c r="C166" s="24"/>
      <c r="D166" s="149"/>
      <c r="E166" s="149"/>
      <c r="F166" s="149"/>
      <c r="G166" s="285" t="s">
        <v>567</v>
      </c>
      <c r="H166" s="293">
        <f>H164*((1+$B$4)^16)/(((1+$B$4)^16)-1)</f>
        <v>-1606.8452832692442</v>
      </c>
      <c r="I166" s="293">
        <f t="shared" si="413"/>
        <v>5230.4544621980303</v>
      </c>
      <c r="J166" s="293">
        <f t="shared" si="413"/>
        <v>-8444.1450287365096</v>
      </c>
      <c r="K166" s="293">
        <f t="shared" si="413"/>
        <v>12067.75420766529</v>
      </c>
      <c r="L166" s="293">
        <f t="shared" si="413"/>
        <v>-15281.444774203774</v>
      </c>
      <c r="M166" s="293">
        <f t="shared" si="413"/>
        <v>9382.7442661889872</v>
      </c>
      <c r="N166" s="293">
        <f t="shared" si="413"/>
        <v>19339.157368473196</v>
      </c>
      <c r="O166" s="293">
        <f t="shared" si="413"/>
        <v>-573.66883609522426</v>
      </c>
      <c r="P166" s="293">
        <f t="shared" si="413"/>
        <v>29295.570470757422</v>
      </c>
      <c r="Q166" s="293">
        <f t="shared" si="413"/>
        <v>-10530.081938379435</v>
      </c>
      <c r="R166" s="768">
        <f>R164*((1+$B$4)^16)/(((1+$B$4)^16)-1)</f>
        <v>2327.9778706787715</v>
      </c>
      <c r="S166" s="768">
        <f t="shared" si="414"/>
        <v>18021.774009911493</v>
      </c>
      <c r="T166" s="768">
        <f t="shared" si="414"/>
        <v>-13365.81826855395</v>
      </c>
      <c r="U166" s="768">
        <f t="shared" si="414"/>
        <v>33715.570149144216</v>
      </c>
      <c r="V166" s="768">
        <f t="shared" si="414"/>
        <v>-29059.614407786677</v>
      </c>
      <c r="W166" s="768">
        <f>W164*((1+$B$4)^16)/(((1+$B$4)^16)-1)</f>
        <v>9725.619609774616</v>
      </c>
      <c r="X166" s="768">
        <f t="shared" si="415"/>
        <v>19344.872483337836</v>
      </c>
      <c r="Y166" s="768">
        <f t="shared" si="415"/>
        <v>106.36673621138959</v>
      </c>
      <c r="Z166" s="768">
        <f t="shared" si="415"/>
        <v>28964.125356901062</v>
      </c>
      <c r="AA166" s="768">
        <f t="shared" si="415"/>
        <v>-9512.8861373518339</v>
      </c>
      <c r="AB166" s="768">
        <f>AB164*((1+$B$4)^16)/(((1+$B$4)^16)-1)</f>
        <v>7347.8627618918254</v>
      </c>
      <c r="AC166" s="768">
        <f t="shared" si="416"/>
        <v>15508.48922592889</v>
      </c>
      <c r="AD166" s="768">
        <f t="shared" si="416"/>
        <v>-812.76370214524661</v>
      </c>
      <c r="AE166" s="768">
        <f t="shared" si="416"/>
        <v>23669.115689965958</v>
      </c>
      <c r="AF166" s="768">
        <f t="shared" si="416"/>
        <v>-8973.3901661823184</v>
      </c>
      <c r="AG166" s="768">
        <f t="shared" si="416"/>
        <v>-1438.4077621904773</v>
      </c>
      <c r="AH166" s="768">
        <f t="shared" si="416"/>
        <v>13776.163666380971</v>
      </c>
      <c r="AI166" s="768">
        <f t="shared" si="416"/>
        <v>-16652.979190761915</v>
      </c>
      <c r="AJ166" s="768">
        <f t="shared" si="416"/>
        <v>28990.735094952393</v>
      </c>
      <c r="AK166" s="768">
        <f t="shared" si="416"/>
        <v>-31867.550619333353</v>
      </c>
    </row>
    <row r="167" spans="2:37" x14ac:dyDescent="0.3">
      <c r="B167" s="62" t="s">
        <v>694</v>
      </c>
      <c r="C167" s="265"/>
      <c r="D167" s="289"/>
      <c r="E167" s="289"/>
      <c r="F167" s="289"/>
      <c r="G167" s="280" t="s">
        <v>584</v>
      </c>
      <c r="H167" s="290">
        <f>H165*$B$4</f>
        <v>-388.10535849807746</v>
      </c>
      <c r="I167" s="290">
        <f t="shared" ref="I167:Q168" si="417">I165*$B$4</f>
        <v>-182.98636613405932</v>
      </c>
      <c r="J167" s="290">
        <f t="shared" si="417"/>
        <v>-593.22435086209543</v>
      </c>
      <c r="K167" s="290">
        <f t="shared" si="417"/>
        <v>22.132626229958472</v>
      </c>
      <c r="L167" s="290">
        <f t="shared" si="417"/>
        <v>-798.34334322611335</v>
      </c>
      <c r="M167" s="290">
        <f t="shared" si="417"/>
        <v>-58.417672014330535</v>
      </c>
      <c r="N167" s="290">
        <f t="shared" si="417"/>
        <v>240.27472105419557</v>
      </c>
      <c r="O167" s="290">
        <f t="shared" si="417"/>
        <v>-357.11006508285698</v>
      </c>
      <c r="P167" s="290">
        <f t="shared" si="417"/>
        <v>538.96711412272225</v>
      </c>
      <c r="Q167" s="290">
        <f t="shared" si="417"/>
        <v>-655.80245815138335</v>
      </c>
      <c r="R167" s="767">
        <f>R165*$B$4</f>
        <v>-270.0606638796371</v>
      </c>
      <c r="S167" s="767">
        <f t="shared" ref="S167:V168" si="418">S165*$B$4</f>
        <v>200.75322029734454</v>
      </c>
      <c r="T167" s="767">
        <f t="shared" si="418"/>
        <v>-740.87454805661866</v>
      </c>
      <c r="U167" s="767">
        <f t="shared" si="418"/>
        <v>671.56710447432624</v>
      </c>
      <c r="V167" s="767">
        <f t="shared" si="418"/>
        <v>-1211.6884322336005</v>
      </c>
      <c r="W167" s="767">
        <f>W165*$B$4</f>
        <v>60.943622599978767</v>
      </c>
      <c r="X167" s="767">
        <f t="shared" ref="X167:AA168" si="419">X165*$B$4</f>
        <v>349.52120880687545</v>
      </c>
      <c r="Y167" s="767">
        <f t="shared" si="419"/>
        <v>-227.63396360691794</v>
      </c>
      <c r="Z167" s="767">
        <f t="shared" si="419"/>
        <v>638.09879501377225</v>
      </c>
      <c r="AA167" s="767">
        <f t="shared" si="419"/>
        <v>-516.2115498138146</v>
      </c>
      <c r="AB167" s="767">
        <f>AB165*$B$4</f>
        <v>-119.46411714324556</v>
      </c>
      <c r="AC167" s="767">
        <f t="shared" ref="AC167:AK168" si="420">AC165*$B$4</f>
        <v>125.3546767778665</v>
      </c>
      <c r="AD167" s="767">
        <f t="shared" si="420"/>
        <v>-364.28291106435762</v>
      </c>
      <c r="AE167" s="767">
        <f t="shared" si="420"/>
        <v>370.17347069897863</v>
      </c>
      <c r="AF167" s="767">
        <f t="shared" si="420"/>
        <v>-609.10170498546972</v>
      </c>
      <c r="AG167" s="767">
        <f t="shared" si="420"/>
        <v>-383.05223286571453</v>
      </c>
      <c r="AH167" s="767">
        <f t="shared" si="420"/>
        <v>73.384909991428898</v>
      </c>
      <c r="AI167" s="767">
        <f t="shared" si="420"/>
        <v>-839.48937572285752</v>
      </c>
      <c r="AJ167" s="767">
        <f t="shared" si="420"/>
        <v>529.82205284857162</v>
      </c>
      <c r="AK167" s="767">
        <f t="shared" si="420"/>
        <v>-1295.9265185800007</v>
      </c>
    </row>
    <row r="168" spans="2:37" x14ac:dyDescent="0.3">
      <c r="B168" s="46" t="s">
        <v>695</v>
      </c>
      <c r="C168" s="291"/>
      <c r="D168" s="292"/>
      <c r="E168" s="292"/>
      <c r="F168" s="292"/>
      <c r="G168" s="285" t="s">
        <v>584</v>
      </c>
      <c r="H168" s="293">
        <f>H166*$B$4</f>
        <v>-48.205358498077324</v>
      </c>
      <c r="I168" s="293">
        <f t="shared" si="417"/>
        <v>156.91363386594091</v>
      </c>
      <c r="J168" s="293">
        <f t="shared" si="417"/>
        <v>-253.32435086209529</v>
      </c>
      <c r="K168" s="293">
        <f t="shared" si="417"/>
        <v>362.03262622995868</v>
      </c>
      <c r="L168" s="293">
        <f t="shared" si="417"/>
        <v>-458.4433432261132</v>
      </c>
      <c r="M168" s="293">
        <f t="shared" si="417"/>
        <v>281.4823279856696</v>
      </c>
      <c r="N168" s="293">
        <f t="shared" si="417"/>
        <v>580.17472105419586</v>
      </c>
      <c r="O168" s="293">
        <f t="shared" si="417"/>
        <v>-17.210065082856726</v>
      </c>
      <c r="P168" s="293">
        <f t="shared" si="417"/>
        <v>878.86711412272268</v>
      </c>
      <c r="Q168" s="293">
        <f t="shared" si="417"/>
        <v>-315.90245815138303</v>
      </c>
      <c r="R168" s="768">
        <f>R166*$B$4</f>
        <v>69.839336120363143</v>
      </c>
      <c r="S168" s="768">
        <f t="shared" si="418"/>
        <v>540.65322029734477</v>
      </c>
      <c r="T168" s="768">
        <f t="shared" si="418"/>
        <v>-400.97454805661852</v>
      </c>
      <c r="U168" s="768">
        <f t="shared" si="418"/>
        <v>1011.4671044743264</v>
      </c>
      <c r="V168" s="768">
        <f t="shared" si="418"/>
        <v>-871.78843223360025</v>
      </c>
      <c r="W168" s="768">
        <f>W166*$B$4</f>
        <v>291.76858829323845</v>
      </c>
      <c r="X168" s="768">
        <f t="shared" si="419"/>
        <v>580.34617450013502</v>
      </c>
      <c r="Y168" s="768">
        <f t="shared" si="419"/>
        <v>3.1910020863416877</v>
      </c>
      <c r="Z168" s="768">
        <f t="shared" si="419"/>
        <v>868.92376070703187</v>
      </c>
      <c r="AA168" s="768">
        <f t="shared" si="419"/>
        <v>-285.38658412055503</v>
      </c>
      <c r="AB168" s="768">
        <f>AB166*$B$4</f>
        <v>220.43588285675474</v>
      </c>
      <c r="AC168" s="768">
        <f t="shared" si="420"/>
        <v>465.25467677786668</v>
      </c>
      <c r="AD168" s="768">
        <f t="shared" si="420"/>
        <v>-24.382911064357398</v>
      </c>
      <c r="AE168" s="768">
        <f t="shared" si="420"/>
        <v>710.07347069897867</v>
      </c>
      <c r="AF168" s="768">
        <f t="shared" si="420"/>
        <v>-269.20170498546952</v>
      </c>
      <c r="AG168" s="768">
        <f t="shared" si="420"/>
        <v>-43.152232865714318</v>
      </c>
      <c r="AH168" s="768">
        <f t="shared" si="420"/>
        <v>413.28490999142912</v>
      </c>
      <c r="AI168" s="768">
        <f t="shared" si="420"/>
        <v>-499.58937572285743</v>
      </c>
      <c r="AJ168" s="768">
        <f t="shared" si="420"/>
        <v>869.72205284857182</v>
      </c>
      <c r="AK168" s="768">
        <f t="shared" si="420"/>
        <v>-956.02651858000058</v>
      </c>
    </row>
  </sheetData>
  <mergeCells count="17">
    <mergeCell ref="E35:G35"/>
    <mergeCell ref="J35:K35"/>
    <mergeCell ref="N35:R35"/>
    <mergeCell ref="S35:W35"/>
    <mergeCell ref="B2:D2"/>
    <mergeCell ref="E9:G9"/>
    <mergeCell ref="J9:K9"/>
    <mergeCell ref="N9:R9"/>
    <mergeCell ref="S9:W9"/>
    <mergeCell ref="E110:G110"/>
    <mergeCell ref="J110:K110"/>
    <mergeCell ref="N110:R110"/>
    <mergeCell ref="S110:W110"/>
    <mergeCell ref="E85:G85"/>
    <mergeCell ref="J85:K85"/>
    <mergeCell ref="N85:R85"/>
    <mergeCell ref="S85:W85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DY168"/>
  <sheetViews>
    <sheetView topLeftCell="A10" workbookViewId="0">
      <selection activeCell="E10" sqref="E10"/>
    </sheetView>
  </sheetViews>
  <sheetFormatPr defaultColWidth="9" defaultRowHeight="14" x14ac:dyDescent="0.3"/>
  <sheetData>
    <row r="2" spans="1:119" x14ac:dyDescent="0.3">
      <c r="B2" s="1113" t="s">
        <v>341</v>
      </c>
      <c r="C2" s="1114"/>
      <c r="D2" s="1115"/>
    </row>
    <row r="4" spans="1:119" x14ac:dyDescent="0.3">
      <c r="A4" t="s">
        <v>409</v>
      </c>
      <c r="B4" s="266">
        <f>'Arable Inputs'!D9</f>
        <v>0.03</v>
      </c>
    </row>
    <row r="8" spans="1:119" x14ac:dyDescent="0.3">
      <c r="B8" s="227" t="s">
        <v>93</v>
      </c>
      <c r="C8" s="763" t="s">
        <v>404</v>
      </c>
      <c r="D8" s="269" t="s">
        <v>395</v>
      </c>
      <c r="E8" s="906">
        <v>1</v>
      </c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Z8" s="227" t="s">
        <v>93</v>
      </c>
      <c r="AA8" s="211" t="s">
        <v>322</v>
      </c>
      <c r="AB8" s="906">
        <v>1.5</v>
      </c>
      <c r="AC8" s="194"/>
      <c r="AD8" s="193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X8" s="227" t="s">
        <v>93</v>
      </c>
      <c r="AY8" s="211" t="s">
        <v>323</v>
      </c>
      <c r="AZ8" s="906">
        <v>0.5</v>
      </c>
      <c r="BA8" s="194"/>
      <c r="BB8" s="193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  <c r="BV8" s="227" t="s">
        <v>93</v>
      </c>
      <c r="BW8" s="211" t="s">
        <v>324</v>
      </c>
      <c r="BX8" s="906">
        <v>2</v>
      </c>
      <c r="BY8" s="194"/>
      <c r="BZ8" s="193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T8" s="227" t="s">
        <v>93</v>
      </c>
      <c r="CU8" s="211" t="s">
        <v>325</v>
      </c>
      <c r="CV8" s="906">
        <v>0</v>
      </c>
      <c r="CW8" s="194"/>
      <c r="CX8" s="193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</row>
    <row r="9" spans="1:119" x14ac:dyDescent="0.3">
      <c r="B9" s="203"/>
      <c r="C9" s="148"/>
      <c r="D9" s="148"/>
      <c r="E9" s="1108"/>
      <c r="F9" s="1108"/>
      <c r="G9" s="1108"/>
      <c r="H9" s="148"/>
      <c r="I9" s="931"/>
      <c r="J9" s="1108"/>
      <c r="K9" s="1108"/>
      <c r="L9" s="148"/>
      <c r="M9" s="148"/>
      <c r="N9" s="1109" t="s">
        <v>270</v>
      </c>
      <c r="O9" s="1110"/>
      <c r="P9" s="1110"/>
      <c r="Q9" s="1110"/>
      <c r="R9" s="1111"/>
      <c r="S9" s="1109" t="s">
        <v>271</v>
      </c>
      <c r="T9" s="1110"/>
      <c r="U9" s="1110"/>
      <c r="V9" s="1110"/>
      <c r="W9" s="1111"/>
      <c r="X9" s="1001"/>
      <c r="Z9" s="203"/>
      <c r="AA9" s="148"/>
      <c r="AB9" s="148"/>
      <c r="AC9" s="1108"/>
      <c r="AD9" s="1108"/>
      <c r="AE9" s="1108"/>
      <c r="AF9" s="148"/>
      <c r="AG9" s="931"/>
      <c r="AH9" s="1108"/>
      <c r="AI9" s="1108"/>
      <c r="AJ9" s="148"/>
      <c r="AK9" s="148"/>
      <c r="AL9" s="1109" t="s">
        <v>303</v>
      </c>
      <c r="AM9" s="1110"/>
      <c r="AN9" s="1110"/>
      <c r="AO9" s="1110"/>
      <c r="AP9" s="1111"/>
      <c r="AQ9" s="1109" t="s">
        <v>271</v>
      </c>
      <c r="AR9" s="1110"/>
      <c r="AS9" s="1110"/>
      <c r="AT9" s="1110"/>
      <c r="AU9" s="1111"/>
      <c r="AV9" s="1001"/>
      <c r="AX9" s="203"/>
      <c r="AY9" s="148"/>
      <c r="AZ9" s="148"/>
      <c r="BA9" s="232"/>
      <c r="BB9" s="232"/>
      <c r="BC9" s="232"/>
      <c r="BD9" s="148"/>
      <c r="BE9" s="931"/>
      <c r="BF9" s="232"/>
      <c r="BG9" s="232"/>
      <c r="BH9" s="148"/>
      <c r="BI9" s="148"/>
      <c r="BJ9" s="1109" t="s">
        <v>270</v>
      </c>
      <c r="BK9" s="1110"/>
      <c r="BL9" s="1110"/>
      <c r="BM9" s="1110"/>
      <c r="BN9" s="1111"/>
      <c r="BO9" s="1109" t="s">
        <v>271</v>
      </c>
      <c r="BP9" s="1110"/>
      <c r="BQ9" s="1110"/>
      <c r="BR9" s="1110"/>
      <c r="BS9" s="1111"/>
      <c r="BT9" s="1001"/>
      <c r="BV9" s="203"/>
      <c r="BW9" s="148"/>
      <c r="BX9" s="148"/>
      <c r="BY9" s="265"/>
      <c r="BZ9" s="265"/>
      <c r="CA9" s="265"/>
      <c r="CB9" s="148"/>
      <c r="CC9" s="931"/>
      <c r="CD9" s="265"/>
      <c r="CE9" s="265"/>
      <c r="CF9" s="148"/>
      <c r="CG9" s="148"/>
      <c r="CH9" s="1109" t="s">
        <v>270</v>
      </c>
      <c r="CI9" s="1110"/>
      <c r="CJ9" s="1110"/>
      <c r="CK9" s="1110"/>
      <c r="CL9" s="1111"/>
      <c r="CM9" s="1109" t="s">
        <v>271</v>
      </c>
      <c r="CN9" s="1110"/>
      <c r="CO9" s="1110"/>
      <c r="CP9" s="1110"/>
      <c r="CQ9" s="1111"/>
      <c r="CR9" s="1001"/>
      <c r="CT9" s="203"/>
      <c r="CU9" s="148"/>
      <c r="CV9" s="148"/>
      <c r="CW9" s="265"/>
      <c r="CX9" s="265"/>
      <c r="CY9" s="265"/>
      <c r="CZ9" s="148"/>
      <c r="DA9" s="931"/>
      <c r="DB9" s="265"/>
      <c r="DC9" s="265"/>
      <c r="DD9" s="148"/>
      <c r="DE9" s="148"/>
      <c r="DF9" s="1109" t="s">
        <v>270</v>
      </c>
      <c r="DG9" s="1110"/>
      <c r="DH9" s="1110"/>
      <c r="DI9" s="1110"/>
      <c r="DJ9" s="1111"/>
      <c r="DK9" s="1109" t="s">
        <v>271</v>
      </c>
      <c r="DL9" s="1110"/>
      <c r="DM9" s="1110"/>
      <c r="DN9" s="1110"/>
      <c r="DO9" s="1111"/>
    </row>
    <row r="10" spans="1:119" ht="51" x14ac:dyDescent="0.3">
      <c r="B10" s="204" t="s">
        <v>272</v>
      </c>
      <c r="C10" s="205" t="s">
        <v>289</v>
      </c>
      <c r="D10" s="205" t="s">
        <v>290</v>
      </c>
      <c r="E10" s="171" t="s">
        <v>676</v>
      </c>
      <c r="F10" s="171" t="s">
        <v>672</v>
      </c>
      <c r="G10" s="171" t="s">
        <v>677</v>
      </c>
      <c r="H10" s="205" t="s">
        <v>287</v>
      </c>
      <c r="I10" s="935" t="str">
        <f>'Energy NPV'!U63</f>
        <v>Total Recurring Costs</v>
      </c>
      <c r="J10" s="205" t="s">
        <v>291</v>
      </c>
      <c r="K10" s="171" t="s">
        <v>276</v>
      </c>
      <c r="L10" s="171" t="s">
        <v>678</v>
      </c>
      <c r="M10" s="171" t="s">
        <v>679</v>
      </c>
      <c r="N10" s="195" t="s">
        <v>277</v>
      </c>
      <c r="O10" s="171" t="s">
        <v>680</v>
      </c>
      <c r="P10" s="171" t="s">
        <v>278</v>
      </c>
      <c r="Q10" s="171" t="s">
        <v>681</v>
      </c>
      <c r="R10" s="198" t="s">
        <v>279</v>
      </c>
      <c r="S10" s="195" t="s">
        <v>280</v>
      </c>
      <c r="T10" s="171" t="s">
        <v>682</v>
      </c>
      <c r="U10" s="171" t="s">
        <v>281</v>
      </c>
      <c r="V10" s="171" t="s">
        <v>683</v>
      </c>
      <c r="W10" s="198" t="s">
        <v>282</v>
      </c>
      <c r="X10" s="171"/>
      <c r="Z10" s="204" t="s">
        <v>272</v>
      </c>
      <c r="AA10" s="205" t="s">
        <v>289</v>
      </c>
      <c r="AB10" s="205" t="s">
        <v>290</v>
      </c>
      <c r="AC10" s="171" t="s">
        <v>676</v>
      </c>
      <c r="AD10" s="171" t="s">
        <v>672</v>
      </c>
      <c r="AE10" s="171" t="s">
        <v>677</v>
      </c>
      <c r="AF10" s="205" t="s">
        <v>287</v>
      </c>
      <c r="AG10" s="935" t="str">
        <f>'Energy NPV'!U63</f>
        <v>Total Recurring Costs</v>
      </c>
      <c r="AH10" s="205" t="s">
        <v>291</v>
      </c>
      <c r="AI10" s="171" t="s">
        <v>276</v>
      </c>
      <c r="AJ10" s="171" t="s">
        <v>678</v>
      </c>
      <c r="AK10" s="171" t="s">
        <v>679</v>
      </c>
      <c r="AL10" s="195" t="s">
        <v>277</v>
      </c>
      <c r="AM10" s="171" t="s">
        <v>680</v>
      </c>
      <c r="AN10" s="171" t="s">
        <v>278</v>
      </c>
      <c r="AO10" s="171" t="s">
        <v>681</v>
      </c>
      <c r="AP10" s="198" t="s">
        <v>279</v>
      </c>
      <c r="AQ10" s="195" t="s">
        <v>280</v>
      </c>
      <c r="AR10" s="171" t="s">
        <v>682</v>
      </c>
      <c r="AS10" s="171" t="s">
        <v>281</v>
      </c>
      <c r="AT10" s="171" t="s">
        <v>683</v>
      </c>
      <c r="AU10" s="198" t="s">
        <v>282</v>
      </c>
      <c r="AV10" s="171"/>
      <c r="AX10" s="204" t="s">
        <v>272</v>
      </c>
      <c r="AY10" s="205" t="s">
        <v>289</v>
      </c>
      <c r="AZ10" s="205" t="s">
        <v>290</v>
      </c>
      <c r="BA10" s="171" t="s">
        <v>676</v>
      </c>
      <c r="BB10" s="171" t="s">
        <v>672</v>
      </c>
      <c r="BC10" s="171" t="s">
        <v>677</v>
      </c>
      <c r="BD10" s="205" t="s">
        <v>287</v>
      </c>
      <c r="BE10" s="935" t="str">
        <f>'Energy NPV'!U63</f>
        <v>Total Recurring Costs</v>
      </c>
      <c r="BF10" s="205" t="s">
        <v>291</v>
      </c>
      <c r="BG10" s="171" t="s">
        <v>276</v>
      </c>
      <c r="BH10" s="171" t="s">
        <v>678</v>
      </c>
      <c r="BI10" s="171" t="s">
        <v>679</v>
      </c>
      <c r="BJ10" s="195" t="s">
        <v>277</v>
      </c>
      <c r="BK10" s="171" t="s">
        <v>680</v>
      </c>
      <c r="BL10" s="171" t="s">
        <v>278</v>
      </c>
      <c r="BM10" s="171" t="s">
        <v>681</v>
      </c>
      <c r="BN10" s="198" t="s">
        <v>279</v>
      </c>
      <c r="BO10" s="195" t="s">
        <v>280</v>
      </c>
      <c r="BP10" s="171" t="s">
        <v>682</v>
      </c>
      <c r="BQ10" s="171" t="s">
        <v>281</v>
      </c>
      <c r="BR10" s="171" t="s">
        <v>683</v>
      </c>
      <c r="BS10" s="198" t="s">
        <v>282</v>
      </c>
      <c r="BT10" s="171"/>
      <c r="BV10" s="204" t="s">
        <v>272</v>
      </c>
      <c r="BW10" s="205" t="s">
        <v>289</v>
      </c>
      <c r="BX10" s="205" t="s">
        <v>290</v>
      </c>
      <c r="BY10" s="171" t="s">
        <v>676</v>
      </c>
      <c r="BZ10" s="171" t="s">
        <v>672</v>
      </c>
      <c r="CA10" s="171" t="s">
        <v>677</v>
      </c>
      <c r="CB10" s="205" t="s">
        <v>287</v>
      </c>
      <c r="CC10" s="935" t="str">
        <f>'Energy NPV'!U63</f>
        <v>Total Recurring Costs</v>
      </c>
      <c r="CD10" s="205" t="s">
        <v>291</v>
      </c>
      <c r="CE10" s="171" t="s">
        <v>276</v>
      </c>
      <c r="CF10" s="171" t="s">
        <v>678</v>
      </c>
      <c r="CG10" s="171" t="s">
        <v>679</v>
      </c>
      <c r="CH10" s="195" t="s">
        <v>277</v>
      </c>
      <c r="CI10" s="171" t="s">
        <v>680</v>
      </c>
      <c r="CJ10" s="171" t="s">
        <v>278</v>
      </c>
      <c r="CK10" s="171" t="s">
        <v>681</v>
      </c>
      <c r="CL10" s="198" t="s">
        <v>279</v>
      </c>
      <c r="CM10" s="195" t="s">
        <v>280</v>
      </c>
      <c r="CN10" s="171" t="s">
        <v>682</v>
      </c>
      <c r="CO10" s="171" t="s">
        <v>281</v>
      </c>
      <c r="CP10" s="171" t="s">
        <v>683</v>
      </c>
      <c r="CQ10" s="198" t="s">
        <v>282</v>
      </c>
      <c r="CR10" s="171"/>
      <c r="CT10" s="204" t="s">
        <v>272</v>
      </c>
      <c r="CU10" s="205" t="s">
        <v>289</v>
      </c>
      <c r="CV10" s="205" t="s">
        <v>290</v>
      </c>
      <c r="CW10" s="171" t="s">
        <v>676</v>
      </c>
      <c r="CX10" s="171" t="s">
        <v>672</v>
      </c>
      <c r="CY10" s="171" t="s">
        <v>677</v>
      </c>
      <c r="CZ10" s="205" t="s">
        <v>287</v>
      </c>
      <c r="DA10" s="935" t="str">
        <f>'Energy NPV'!U63</f>
        <v>Total Recurring Costs</v>
      </c>
      <c r="DB10" s="205" t="s">
        <v>291</v>
      </c>
      <c r="DC10" s="171" t="s">
        <v>276</v>
      </c>
      <c r="DD10" s="171" t="s">
        <v>678</v>
      </c>
      <c r="DE10" s="171" t="s">
        <v>679</v>
      </c>
      <c r="DF10" s="195" t="s">
        <v>277</v>
      </c>
      <c r="DG10" s="171" t="s">
        <v>680</v>
      </c>
      <c r="DH10" s="171" t="s">
        <v>278</v>
      </c>
      <c r="DI10" s="171" t="s">
        <v>681</v>
      </c>
      <c r="DJ10" s="198" t="s">
        <v>279</v>
      </c>
      <c r="DK10" s="195" t="s">
        <v>280</v>
      </c>
      <c r="DL10" s="171" t="s">
        <v>682</v>
      </c>
      <c r="DM10" s="171" t="s">
        <v>281</v>
      </c>
      <c r="DN10" s="171" t="s">
        <v>683</v>
      </c>
      <c r="DO10" s="198" t="s">
        <v>282</v>
      </c>
    </row>
    <row r="11" spans="1:119" x14ac:dyDescent="0.3">
      <c r="B11" s="173"/>
      <c r="C11" s="226" t="s">
        <v>332</v>
      </c>
      <c r="D11" s="226" t="s">
        <v>569</v>
      </c>
      <c r="E11" s="201" t="s">
        <v>567</v>
      </c>
      <c r="F11" s="201" t="s">
        <v>567</v>
      </c>
      <c r="G11" s="201" t="s">
        <v>567</v>
      </c>
      <c r="H11" s="201" t="s">
        <v>567</v>
      </c>
      <c r="I11" s="969" t="str">
        <f>'Energy NPV'!U64</f>
        <v>(€ ha-1)</v>
      </c>
      <c r="J11" s="201" t="s">
        <v>567</v>
      </c>
      <c r="K11" s="201" t="s">
        <v>567</v>
      </c>
      <c r="L11" s="201" t="s">
        <v>567</v>
      </c>
      <c r="M11" s="202" t="s">
        <v>567</v>
      </c>
      <c r="N11" s="201" t="s">
        <v>567</v>
      </c>
      <c r="O11" s="201" t="s">
        <v>567</v>
      </c>
      <c r="P11" s="201" t="s">
        <v>567</v>
      </c>
      <c r="Q11" s="201" t="s">
        <v>567</v>
      </c>
      <c r="R11" s="202" t="s">
        <v>567</v>
      </c>
      <c r="S11" s="201" t="s">
        <v>567</v>
      </c>
      <c r="T11" s="201" t="s">
        <v>567</v>
      </c>
      <c r="U11" s="201" t="s">
        <v>567</v>
      </c>
      <c r="V11" s="201" t="s">
        <v>567</v>
      </c>
      <c r="W11" s="202" t="s">
        <v>567</v>
      </c>
      <c r="X11" s="1002"/>
      <c r="Z11" s="173"/>
      <c r="AA11" s="226" t="s">
        <v>332</v>
      </c>
      <c r="AB11" s="226" t="s">
        <v>569</v>
      </c>
      <c r="AC11" s="201" t="s">
        <v>567</v>
      </c>
      <c r="AD11" s="201" t="s">
        <v>567</v>
      </c>
      <c r="AE11" s="201" t="s">
        <v>567</v>
      </c>
      <c r="AF11" s="201" t="s">
        <v>567</v>
      </c>
      <c r="AG11" s="969" t="str">
        <f>'Energy NPV'!U64</f>
        <v>(€ ha-1)</v>
      </c>
      <c r="AH11" s="201" t="s">
        <v>567</v>
      </c>
      <c r="AI11" s="201" t="s">
        <v>567</v>
      </c>
      <c r="AJ11" s="201" t="s">
        <v>567</v>
      </c>
      <c r="AK11" s="202" t="s">
        <v>567</v>
      </c>
      <c r="AL11" s="201" t="s">
        <v>567</v>
      </c>
      <c r="AM11" s="201" t="s">
        <v>567</v>
      </c>
      <c r="AN11" s="201" t="s">
        <v>567</v>
      </c>
      <c r="AO11" s="201" t="s">
        <v>567</v>
      </c>
      <c r="AP11" s="202" t="s">
        <v>567</v>
      </c>
      <c r="AQ11" s="201" t="s">
        <v>567</v>
      </c>
      <c r="AR11" s="201" t="s">
        <v>567</v>
      </c>
      <c r="AS11" s="201" t="s">
        <v>567</v>
      </c>
      <c r="AT11" s="201" t="s">
        <v>567</v>
      </c>
      <c r="AU11" s="202" t="s">
        <v>567</v>
      </c>
      <c r="AV11" s="1002"/>
      <c r="AX11" s="173"/>
      <c r="AY11" s="226" t="s">
        <v>332</v>
      </c>
      <c r="AZ11" s="226" t="s">
        <v>569</v>
      </c>
      <c r="BA11" s="201" t="s">
        <v>567</v>
      </c>
      <c r="BB11" s="201" t="s">
        <v>567</v>
      </c>
      <c r="BC11" s="201" t="s">
        <v>567</v>
      </c>
      <c r="BD11" s="201" t="s">
        <v>567</v>
      </c>
      <c r="BE11" s="969" t="str">
        <f>'Energy NPV'!U64</f>
        <v>(€ ha-1)</v>
      </c>
      <c r="BF11" s="201" t="s">
        <v>567</v>
      </c>
      <c r="BG11" s="201" t="s">
        <v>567</v>
      </c>
      <c r="BH11" s="201" t="s">
        <v>567</v>
      </c>
      <c r="BI11" s="202" t="s">
        <v>567</v>
      </c>
      <c r="BJ11" s="201" t="s">
        <v>567</v>
      </c>
      <c r="BK11" s="201" t="s">
        <v>567</v>
      </c>
      <c r="BL11" s="201" t="s">
        <v>567</v>
      </c>
      <c r="BM11" s="201" t="s">
        <v>567</v>
      </c>
      <c r="BN11" s="202" t="s">
        <v>567</v>
      </c>
      <c r="BO11" s="201" t="s">
        <v>567</v>
      </c>
      <c r="BP11" s="201" t="s">
        <v>567</v>
      </c>
      <c r="BQ11" s="201" t="s">
        <v>567</v>
      </c>
      <c r="BR11" s="201" t="s">
        <v>567</v>
      </c>
      <c r="BS11" s="202" t="s">
        <v>567</v>
      </c>
      <c r="BT11" s="1002"/>
      <c r="BV11" s="173"/>
      <c r="BW11" s="226" t="s">
        <v>332</v>
      </c>
      <c r="BX11" s="226" t="s">
        <v>569</v>
      </c>
      <c r="BY11" s="201" t="s">
        <v>567</v>
      </c>
      <c r="BZ11" s="201" t="s">
        <v>567</v>
      </c>
      <c r="CA11" s="201" t="s">
        <v>567</v>
      </c>
      <c r="CB11" s="201" t="s">
        <v>567</v>
      </c>
      <c r="CC11" s="969" t="str">
        <f>'Energy NPV'!U64</f>
        <v>(€ ha-1)</v>
      </c>
      <c r="CD11" s="201" t="s">
        <v>567</v>
      </c>
      <c r="CE11" s="201" t="s">
        <v>567</v>
      </c>
      <c r="CF11" s="201" t="s">
        <v>567</v>
      </c>
      <c r="CG11" s="202" t="s">
        <v>567</v>
      </c>
      <c r="CH11" s="201" t="s">
        <v>567</v>
      </c>
      <c r="CI11" s="201" t="s">
        <v>567</v>
      </c>
      <c r="CJ11" s="201" t="s">
        <v>567</v>
      </c>
      <c r="CK11" s="201" t="s">
        <v>567</v>
      </c>
      <c r="CL11" s="202" t="s">
        <v>567</v>
      </c>
      <c r="CM11" s="201" t="s">
        <v>567</v>
      </c>
      <c r="CN11" s="201" t="s">
        <v>567</v>
      </c>
      <c r="CO11" s="201" t="s">
        <v>567</v>
      </c>
      <c r="CP11" s="201" t="s">
        <v>567</v>
      </c>
      <c r="CQ11" s="202" t="s">
        <v>567</v>
      </c>
      <c r="CR11" s="1002"/>
      <c r="CT11" s="173"/>
      <c r="CU11" s="226" t="s">
        <v>332</v>
      </c>
      <c r="CV11" s="226" t="s">
        <v>569</v>
      </c>
      <c r="CW11" s="201" t="s">
        <v>567</v>
      </c>
      <c r="CX11" s="201" t="s">
        <v>567</v>
      </c>
      <c r="CY11" s="201" t="s">
        <v>567</v>
      </c>
      <c r="CZ11" s="201" t="s">
        <v>567</v>
      </c>
      <c r="DA11" s="969" t="str">
        <f>'Energy NPV'!U64</f>
        <v>(€ ha-1)</v>
      </c>
      <c r="DB11" s="201" t="s">
        <v>567</v>
      </c>
      <c r="DC11" s="201" t="s">
        <v>567</v>
      </c>
      <c r="DD11" s="201" t="s">
        <v>567</v>
      </c>
      <c r="DE11" s="202" t="s">
        <v>567</v>
      </c>
      <c r="DF11" s="201" t="s">
        <v>567</v>
      </c>
      <c r="DG11" s="201" t="s">
        <v>567</v>
      </c>
      <c r="DH11" s="201" t="s">
        <v>567</v>
      </c>
      <c r="DI11" s="201" t="s">
        <v>567</v>
      </c>
      <c r="DJ11" s="202" t="s">
        <v>567</v>
      </c>
      <c r="DK11" s="201" t="s">
        <v>567</v>
      </c>
      <c r="DL11" s="201" t="s">
        <v>567</v>
      </c>
      <c r="DM11" s="201" t="s">
        <v>567</v>
      </c>
      <c r="DN11" s="201" t="s">
        <v>567</v>
      </c>
      <c r="DO11" s="202" t="s">
        <v>567</v>
      </c>
    </row>
    <row r="12" spans="1:119" x14ac:dyDescent="0.3">
      <c r="B12" s="204">
        <v>1</v>
      </c>
      <c r="C12" s="197">
        <f>'Energy NPV'!$D65</f>
        <v>1.761785888496743</v>
      </c>
      <c r="D12" s="197">
        <f>'Energy margins'!$S$12</f>
        <v>43.75</v>
      </c>
      <c r="E12" s="197">
        <f>C12*D12</f>
        <v>77.078132621732507</v>
      </c>
      <c r="F12" s="197">
        <f>'Margins summary'!$U$14</f>
        <v>330</v>
      </c>
      <c r="G12" s="197">
        <f>E12+F12</f>
        <v>407.07813262173249</v>
      </c>
      <c r="H12" s="197">
        <f>'Margins summary'!$T$20</f>
        <v>5743.7583439999999</v>
      </c>
      <c r="I12" s="918">
        <f>'Energy NPV'!U65</f>
        <v>112.99999999999999</v>
      </c>
      <c r="J12" s="197"/>
      <c r="K12" s="197">
        <f>(H12+I12+J12)*$E$8</f>
        <v>5856.7583439999999</v>
      </c>
      <c r="L12" s="197">
        <f t="shared" ref="L12:L27" si="0">E12-K12</f>
        <v>-5779.6802113782669</v>
      </c>
      <c r="M12" s="197">
        <f t="shared" ref="M12:M27" si="1">G12-K12</f>
        <v>-5449.6802113782669</v>
      </c>
      <c r="N12" s="1033">
        <f>E12/((1+$B$4)^(B12-1))</f>
        <v>77.078132621732507</v>
      </c>
      <c r="O12" s="213">
        <f>F12/((1+$B$4)^(B12-1))</f>
        <v>330</v>
      </c>
      <c r="P12" s="213">
        <f>K12/((1+$B$4)^(B12-1))</f>
        <v>5856.7583439999999</v>
      </c>
      <c r="Q12" s="213">
        <f>L12/((1+$B$4)^(B12-1))</f>
        <v>-5779.6802113782669</v>
      </c>
      <c r="R12" s="929">
        <f>M12/((1+$B$4)^(B12-1))</f>
        <v>-5449.6802113782669</v>
      </c>
      <c r="S12" s="196">
        <f>N12</f>
        <v>77.078132621732507</v>
      </c>
      <c r="T12" s="197">
        <f>O12</f>
        <v>330</v>
      </c>
      <c r="U12" s="197">
        <f>P12</f>
        <v>5856.7583439999999</v>
      </c>
      <c r="V12" s="197">
        <f>Q12</f>
        <v>-5779.6802113782669</v>
      </c>
      <c r="W12" s="199">
        <f>R12</f>
        <v>-5449.6802113782669</v>
      </c>
      <c r="X12" s="197"/>
      <c r="Z12" s="204">
        <v>1</v>
      </c>
      <c r="AA12" s="225">
        <f>'Energy NPV'!$D65</f>
        <v>1.761785888496743</v>
      </c>
      <c r="AB12" s="197">
        <f>'Energy margins'!$S$12</f>
        <v>43.75</v>
      </c>
      <c r="AC12" s="197">
        <f>AA12*AB12</f>
        <v>77.078132621732507</v>
      </c>
      <c r="AD12" s="197">
        <f>'Margins summary'!$U$14</f>
        <v>330</v>
      </c>
      <c r="AE12" s="197">
        <f>AC12+AD12</f>
        <v>407.07813262173249</v>
      </c>
      <c r="AF12" s="197">
        <f>'Margins summary'!$T$20</f>
        <v>5743.7583439999999</v>
      </c>
      <c r="AG12" s="918">
        <f>'Energy NPV'!U65</f>
        <v>112.99999999999999</v>
      </c>
      <c r="AH12" s="197"/>
      <c r="AI12" s="197">
        <f>(AF12+AG12+AH12)*$AB$8</f>
        <v>8785.1375159999989</v>
      </c>
      <c r="AJ12" s="197">
        <f t="shared" ref="AJ12:AJ27" si="2">AC12-AI12</f>
        <v>-8708.0593833782659</v>
      </c>
      <c r="AK12" s="197">
        <f t="shared" ref="AK12:AK27" si="3">AE12-AI12</f>
        <v>-8378.0593833782659</v>
      </c>
      <c r="AL12" s="1033">
        <f>AC12/((1+$B$4)^(Z12-1))</f>
        <v>77.078132621732507</v>
      </c>
      <c r="AM12" s="213">
        <f>AD12/((1+$B$4)^(Z12-1))</f>
        <v>330</v>
      </c>
      <c r="AN12" s="213">
        <f>AI12/((1+$B$4)^(Z12-1))</f>
        <v>8785.1375159999989</v>
      </c>
      <c r="AO12" s="213">
        <f>AJ12/((1+$B$4)^(Z12-1))</f>
        <v>-8708.0593833782659</v>
      </c>
      <c r="AP12" s="929">
        <f>AK12/((1+$B$4)^(Z12-1))</f>
        <v>-8378.0593833782659</v>
      </c>
      <c r="AQ12" s="196">
        <f>AL12</f>
        <v>77.078132621732507</v>
      </c>
      <c r="AR12" s="197">
        <f>AM12</f>
        <v>330</v>
      </c>
      <c r="AS12" s="197">
        <f>AN12</f>
        <v>8785.1375159999989</v>
      </c>
      <c r="AT12" s="197">
        <f>AO12</f>
        <v>-8708.0593833782659</v>
      </c>
      <c r="AU12" s="199">
        <f>AP12</f>
        <v>-8378.0593833782659</v>
      </c>
      <c r="AV12" s="197"/>
      <c r="AX12" s="204">
        <v>1</v>
      </c>
      <c r="AY12" s="225">
        <f>'Energy NPV'!$D65</f>
        <v>1.761785888496743</v>
      </c>
      <c r="AZ12" s="197">
        <f>'Energy margins'!$S$12</f>
        <v>43.75</v>
      </c>
      <c r="BA12" s="197">
        <f>AY12*AZ12</f>
        <v>77.078132621732507</v>
      </c>
      <c r="BB12" s="197">
        <f>'Margins summary'!$U$14</f>
        <v>330</v>
      </c>
      <c r="BC12" s="197">
        <f>BA12+BB12</f>
        <v>407.07813262173249</v>
      </c>
      <c r="BD12" s="197">
        <f>'Margins summary'!$T$20</f>
        <v>5743.7583439999999</v>
      </c>
      <c r="BE12" s="918">
        <f>'Energy NPV'!U65</f>
        <v>112.99999999999999</v>
      </c>
      <c r="BF12" s="197"/>
      <c r="BG12" s="197">
        <f>(BD12+BE12+BF12)*$AZ$8</f>
        <v>2928.3791719999999</v>
      </c>
      <c r="BH12" s="197">
        <f t="shared" ref="BH12:BH27" si="4">BA12-BG12</f>
        <v>-2851.3010393782674</v>
      </c>
      <c r="BI12" s="197">
        <f t="shared" ref="BI12:BI27" si="5">BC12-BG12</f>
        <v>-2521.3010393782674</v>
      </c>
      <c r="BJ12" s="1033">
        <f>BA12/((1+$B$4)^(AX12-1))</f>
        <v>77.078132621732507</v>
      </c>
      <c r="BK12" s="213">
        <f>BB12/((1+$B$4)^(AX12-1))</f>
        <v>330</v>
      </c>
      <c r="BL12" s="213">
        <f>BG12/((1+$B$4)^(AX12-1))</f>
        <v>2928.3791719999999</v>
      </c>
      <c r="BM12" s="213">
        <f>BH12/((1+$B$4)^(AX12-1))</f>
        <v>-2851.3010393782674</v>
      </c>
      <c r="BN12" s="929">
        <f>BI12/((1+$B$4)^(AX12-1))</f>
        <v>-2521.3010393782674</v>
      </c>
      <c r="BO12" s="196">
        <f>BJ12</f>
        <v>77.078132621732507</v>
      </c>
      <c r="BP12" s="197">
        <f>BK12</f>
        <v>330</v>
      </c>
      <c r="BQ12" s="197">
        <f>BL12</f>
        <v>2928.3791719999999</v>
      </c>
      <c r="BR12" s="197">
        <f>BM12</f>
        <v>-2851.3010393782674</v>
      </c>
      <c r="BS12" s="199">
        <f>BN12</f>
        <v>-2521.3010393782674</v>
      </c>
      <c r="BT12" s="197"/>
      <c r="BV12" s="204">
        <v>1</v>
      </c>
      <c r="BW12" s="225">
        <f>'Energy NPV'!$D65</f>
        <v>1.761785888496743</v>
      </c>
      <c r="BX12" s="197">
        <f>'Energy margins'!$S$12</f>
        <v>43.75</v>
      </c>
      <c r="BY12" s="197">
        <f>BW12*BX12</f>
        <v>77.078132621732507</v>
      </c>
      <c r="BZ12" s="197">
        <f>'Margins summary'!$U$14</f>
        <v>330</v>
      </c>
      <c r="CA12" s="197">
        <f>BY12+BZ12</f>
        <v>407.07813262173249</v>
      </c>
      <c r="CB12" s="197">
        <f>'Margins summary'!$T$20</f>
        <v>5743.7583439999999</v>
      </c>
      <c r="CC12" s="918">
        <f>'Energy NPV'!U65</f>
        <v>112.99999999999999</v>
      </c>
      <c r="CD12" s="197"/>
      <c r="CE12" s="197">
        <f>(CB12+CC12+CD12)*$BX$8</f>
        <v>11713.516688</v>
      </c>
      <c r="CF12" s="197">
        <f t="shared" ref="CF12:CF27" si="6">BY12-CE12</f>
        <v>-11636.438555378267</v>
      </c>
      <c r="CG12" s="197">
        <f t="shared" ref="CG12:CG27" si="7">CA12-CE12</f>
        <v>-11306.438555378267</v>
      </c>
      <c r="CH12" s="1033">
        <f>BY12/((1+$B$4)^(BV12-1))</f>
        <v>77.078132621732507</v>
      </c>
      <c r="CI12" s="213">
        <f>BZ12/((1+$B$4)^(BV12-1))</f>
        <v>330</v>
      </c>
      <c r="CJ12" s="213">
        <f>CE12/((1+$B$4)^(BV12-1))</f>
        <v>11713.516688</v>
      </c>
      <c r="CK12" s="213">
        <f>CF12/((1+$B$4)^(BV12-1))</f>
        <v>-11636.438555378267</v>
      </c>
      <c r="CL12" s="929">
        <f>CG12/((1+$B$4)^(BV12-1))</f>
        <v>-11306.438555378267</v>
      </c>
      <c r="CM12" s="196">
        <f>CH12</f>
        <v>77.078132621732507</v>
      </c>
      <c r="CN12" s="197">
        <f>CI12</f>
        <v>330</v>
      </c>
      <c r="CO12" s="197">
        <f>CJ12</f>
        <v>11713.516688</v>
      </c>
      <c r="CP12" s="197">
        <f>CK12</f>
        <v>-11636.438555378267</v>
      </c>
      <c r="CQ12" s="199">
        <f>CL12</f>
        <v>-11306.438555378267</v>
      </c>
      <c r="CR12" s="197"/>
      <c r="CT12" s="204">
        <v>1</v>
      </c>
      <c r="CU12" s="225">
        <f>'Energy NPV'!$D65</f>
        <v>1.761785888496743</v>
      </c>
      <c r="CV12" s="197">
        <f>'Energy margins'!$S$12</f>
        <v>43.75</v>
      </c>
      <c r="CW12" s="197">
        <f>CU12*CV12</f>
        <v>77.078132621732507</v>
      </c>
      <c r="CX12" s="197">
        <f>'Margins summary'!$U$14</f>
        <v>330</v>
      </c>
      <c r="CY12" s="197">
        <f>CW12+CX12</f>
        <v>407.07813262173249</v>
      </c>
      <c r="CZ12" s="197">
        <f>'Margins summary'!$T$20</f>
        <v>5743.7583439999999</v>
      </c>
      <c r="DA12" s="918">
        <f>'Energy NPV'!U65</f>
        <v>112.99999999999999</v>
      </c>
      <c r="DB12" s="197"/>
      <c r="DC12" s="197">
        <f>(CZ12+DA12+DB12)*$CV$8</f>
        <v>0</v>
      </c>
      <c r="DD12" s="197">
        <f t="shared" ref="DD12:DD27" si="8">CW12-DC12</f>
        <v>77.078132621732507</v>
      </c>
      <c r="DE12" s="197">
        <f t="shared" ref="DE12:DE27" si="9">CY12-DC12</f>
        <v>407.07813262173249</v>
      </c>
      <c r="DF12" s="1033">
        <f>CW12/((1+$B$4)^(CT12-1))</f>
        <v>77.078132621732507</v>
      </c>
      <c r="DG12" s="213">
        <f>CX12/((1+$B$4)^(CT12-1))</f>
        <v>330</v>
      </c>
      <c r="DH12" s="213">
        <f>DC12/((1+$B$4)^(CT12-1))</f>
        <v>0</v>
      </c>
      <c r="DI12" s="213">
        <f>DD12/((1+$B$4)^(CT12-1))</f>
        <v>77.078132621732507</v>
      </c>
      <c r="DJ12" s="929">
        <f>DE12/((1+$B$4)^(CT12-1))</f>
        <v>407.07813262173249</v>
      </c>
      <c r="DK12" s="196">
        <f>DF12</f>
        <v>77.078132621732507</v>
      </c>
      <c r="DL12" s="197">
        <f>DG12</f>
        <v>330</v>
      </c>
      <c r="DM12" s="197">
        <f>DH12</f>
        <v>0</v>
      </c>
      <c r="DN12" s="197">
        <f>DI12</f>
        <v>77.078132621732507</v>
      </c>
      <c r="DO12" s="199">
        <f>DJ12</f>
        <v>407.07813262173249</v>
      </c>
    </row>
    <row r="13" spans="1:119" x14ac:dyDescent="0.3">
      <c r="B13" s="204">
        <v>2</v>
      </c>
      <c r="C13" s="197">
        <f>'Energy NPV'!$D66</f>
        <v>7.1188775071016606</v>
      </c>
      <c r="D13" s="197">
        <f>'Energy margins'!$S$12</f>
        <v>43.75</v>
      </c>
      <c r="E13" s="197">
        <f t="shared" ref="E13:E27" si="10">C13*D13</f>
        <v>311.45089093569766</v>
      </c>
      <c r="F13" s="197">
        <f>'Margins summary'!$U$14</f>
        <v>330</v>
      </c>
      <c r="G13" s="197">
        <f t="shared" ref="G13:G27" si="11">E13+F13</f>
        <v>641.45089093569766</v>
      </c>
      <c r="H13" s="197"/>
      <c r="I13" s="918">
        <f>'Energy NPV'!U66</f>
        <v>497.93314399999997</v>
      </c>
      <c r="J13" s="197"/>
      <c r="K13" s="197">
        <f t="shared" ref="K13:K27" si="12">(H13+I13+J13)*$E$8</f>
        <v>497.93314399999997</v>
      </c>
      <c r="L13" s="197">
        <f t="shared" si="0"/>
        <v>-186.48225306430231</v>
      </c>
      <c r="M13" s="197">
        <f t="shared" si="1"/>
        <v>143.51774693569769</v>
      </c>
      <c r="N13" s="196">
        <f t="shared" ref="N13:N27" si="13">E13/((1+$B$4)^(B13-1))</f>
        <v>302.37950576281327</v>
      </c>
      <c r="O13" s="197">
        <f t="shared" ref="O13:O27" si="14">F13/((1+$B$4)^(B13-1))</f>
        <v>320.38834951456312</v>
      </c>
      <c r="P13" s="197">
        <f t="shared" ref="P13:P27" si="15">K13/((1+$B$4)^(B13-1))</f>
        <v>483.43023689320387</v>
      </c>
      <c r="Q13" s="197">
        <f t="shared" ref="Q13:Q27" si="16">L13/((1+$B$4)^(B13-1))</f>
        <v>-181.0507311303906</v>
      </c>
      <c r="R13" s="199">
        <f t="shared" ref="R13:R27" si="17">M13/((1+$B$4)^(B13-1))</f>
        <v>139.33761838417252</v>
      </c>
      <c r="S13" s="196">
        <f>S12+N13</f>
        <v>379.45763838454576</v>
      </c>
      <c r="T13" s="197">
        <f t="shared" ref="T13:W27" si="18">T12+O13</f>
        <v>650.38834951456306</v>
      </c>
      <c r="U13" s="197">
        <f t="shared" si="18"/>
        <v>6340.1885808932038</v>
      </c>
      <c r="V13" s="197">
        <f t="shared" si="18"/>
        <v>-5960.7309425086578</v>
      </c>
      <c r="W13" s="199">
        <f t="shared" si="18"/>
        <v>-5310.342592994094</v>
      </c>
      <c r="X13" s="197"/>
      <c r="Z13" s="204">
        <v>2</v>
      </c>
      <c r="AA13" s="225">
        <f>'Energy NPV'!$D66</f>
        <v>7.1188775071016606</v>
      </c>
      <c r="AB13" s="197">
        <f>'Energy margins'!$S$12</f>
        <v>43.75</v>
      </c>
      <c r="AC13" s="197">
        <f t="shared" ref="AC13:AC26" si="19">AA13*AB13</f>
        <v>311.45089093569766</v>
      </c>
      <c r="AD13" s="197">
        <f>'Margins summary'!$U$14</f>
        <v>330</v>
      </c>
      <c r="AE13" s="197">
        <f t="shared" ref="AE13:AE27" si="20">AC13+AD13</f>
        <v>641.45089093569766</v>
      </c>
      <c r="AF13" s="197"/>
      <c r="AG13" s="918">
        <f>'Energy NPV'!U66</f>
        <v>497.93314399999997</v>
      </c>
      <c r="AH13" s="197"/>
      <c r="AI13" s="197">
        <f t="shared" ref="AI13:AI27" si="21">(AF13+AG13+AH13)*$AB$8</f>
        <v>746.8997159999999</v>
      </c>
      <c r="AJ13" s="197">
        <f t="shared" si="2"/>
        <v>-435.44882506430224</v>
      </c>
      <c r="AK13" s="197">
        <f t="shared" si="3"/>
        <v>-105.44882506430224</v>
      </c>
      <c r="AL13" s="196">
        <f t="shared" ref="AL13:AL27" si="22">AC13/((1+$B$4)^(Z13-1))</f>
        <v>302.37950576281327</v>
      </c>
      <c r="AM13" s="197">
        <f t="shared" ref="AM13:AM27" si="23">AD13/((1+$B$4)^(Z13-1))</f>
        <v>320.38834951456312</v>
      </c>
      <c r="AN13" s="197">
        <f t="shared" ref="AN13:AN27" si="24">AI13/((1+$B$4)^(Z13-1))</f>
        <v>725.14535533980575</v>
      </c>
      <c r="AO13" s="197">
        <f t="shared" ref="AO13:AO27" si="25">AJ13/((1+$B$4)^(Z13-1))</f>
        <v>-422.76584957699248</v>
      </c>
      <c r="AP13" s="199">
        <f t="shared" ref="AP13:AP27" si="26">AK13/((1+$B$4)^(Z13-1))</f>
        <v>-102.37750006242936</v>
      </c>
      <c r="AQ13" s="196">
        <f>AQ12+AL13</f>
        <v>379.45763838454576</v>
      </c>
      <c r="AR13" s="197">
        <f t="shared" ref="AR13:AU27" si="27">AR12+AM13</f>
        <v>650.38834951456306</v>
      </c>
      <c r="AS13" s="197">
        <f t="shared" si="27"/>
        <v>9510.2828713398048</v>
      </c>
      <c r="AT13" s="197">
        <f t="shared" si="27"/>
        <v>-9130.8252329552579</v>
      </c>
      <c r="AU13" s="199">
        <f t="shared" si="27"/>
        <v>-8480.436883440696</v>
      </c>
      <c r="AV13" s="197"/>
      <c r="AX13" s="204">
        <v>2</v>
      </c>
      <c r="AY13" s="225">
        <f>'Energy NPV'!$D66</f>
        <v>7.1188775071016606</v>
      </c>
      <c r="AZ13" s="197">
        <f>'Energy margins'!$S$12</f>
        <v>43.75</v>
      </c>
      <c r="BA13" s="197">
        <f t="shared" ref="BA13:BA27" si="28">AY13*AZ13</f>
        <v>311.45089093569766</v>
      </c>
      <c r="BB13" s="197">
        <f>'Margins summary'!$U$14</f>
        <v>330</v>
      </c>
      <c r="BC13" s="197">
        <f t="shared" ref="BC13:BC27" si="29">BA13+BB13</f>
        <v>641.45089093569766</v>
      </c>
      <c r="BD13" s="197"/>
      <c r="BE13" s="918">
        <f>'Energy NPV'!U66</f>
        <v>497.93314399999997</v>
      </c>
      <c r="BF13" s="197"/>
      <c r="BG13" s="197">
        <f t="shared" ref="BG13:BG27" si="30">(BD13+BE13+BF13)*$AZ$8</f>
        <v>248.96657199999999</v>
      </c>
      <c r="BH13" s="197">
        <f t="shared" si="4"/>
        <v>62.484318935697672</v>
      </c>
      <c r="BI13" s="197">
        <f t="shared" si="5"/>
        <v>392.48431893569767</v>
      </c>
      <c r="BJ13" s="196">
        <f t="shared" ref="BJ13:BJ27" si="31">BA13/((1+$B$4)^(AX13-1))</f>
        <v>302.37950576281327</v>
      </c>
      <c r="BK13" s="197">
        <f t="shared" ref="BK13:BK27" si="32">BB13/((1+$B$4)^(AX13-1))</f>
        <v>320.38834951456312</v>
      </c>
      <c r="BL13" s="197">
        <f t="shared" ref="BL13:BL27" si="33">BG13/((1+$B$4)^(AX13-1))</f>
        <v>241.71511844660193</v>
      </c>
      <c r="BM13" s="197">
        <f t="shared" ref="BM13:BM27" si="34">BH13/((1+$B$4)^(AX13-1))</f>
        <v>60.664387316211332</v>
      </c>
      <c r="BN13" s="199">
        <f t="shared" ref="BN13:BN27" si="35">BI13/((1+$B$4)^(AX13-1))</f>
        <v>381.05273683077445</v>
      </c>
      <c r="BO13" s="196">
        <f>BO12+BJ13</f>
        <v>379.45763838454576</v>
      </c>
      <c r="BP13" s="197">
        <f t="shared" ref="BP13:BS27" si="36">BP12+BK13</f>
        <v>650.38834951456306</v>
      </c>
      <c r="BQ13" s="197">
        <f t="shared" si="36"/>
        <v>3170.0942904466019</v>
      </c>
      <c r="BR13" s="197">
        <f t="shared" si="36"/>
        <v>-2790.6366520620559</v>
      </c>
      <c r="BS13" s="199">
        <f t="shared" si="36"/>
        <v>-2140.248302547493</v>
      </c>
      <c r="BT13" s="197"/>
      <c r="BV13" s="204">
        <v>2</v>
      </c>
      <c r="BW13" s="225">
        <f>'Energy NPV'!$D66</f>
        <v>7.1188775071016606</v>
      </c>
      <c r="BX13" s="197">
        <f>'Energy margins'!$S$12</f>
        <v>43.75</v>
      </c>
      <c r="BY13" s="197">
        <f t="shared" ref="BY13:BY27" si="37">BW13*BX13</f>
        <v>311.45089093569766</v>
      </c>
      <c r="BZ13" s="197">
        <f>'Margins summary'!$U$14</f>
        <v>330</v>
      </c>
      <c r="CA13" s="197">
        <f t="shared" ref="CA13:CA27" si="38">BY13+BZ13</f>
        <v>641.45089093569766</v>
      </c>
      <c r="CB13" s="197"/>
      <c r="CC13" s="918">
        <f>'Energy NPV'!U66</f>
        <v>497.93314399999997</v>
      </c>
      <c r="CD13" s="197"/>
      <c r="CE13" s="197">
        <f t="shared" ref="CE13:CE27" si="39">(CB13+CC13+CD13)*$BX$8</f>
        <v>995.86628799999994</v>
      </c>
      <c r="CF13" s="197">
        <f t="shared" si="6"/>
        <v>-684.41539706430228</v>
      </c>
      <c r="CG13" s="197">
        <f t="shared" si="7"/>
        <v>-354.41539706430228</v>
      </c>
      <c r="CH13" s="196">
        <f t="shared" ref="CH13:CH27" si="40">BY13/((1+$B$4)^(BV13-1))</f>
        <v>302.37950576281327</v>
      </c>
      <c r="CI13" s="197">
        <f t="shared" ref="CI13:CI27" si="41">BZ13/((1+$B$4)^(BV13-1))</f>
        <v>320.38834951456312</v>
      </c>
      <c r="CJ13" s="197">
        <f t="shared" ref="CJ13:CJ27" si="42">CE13/((1+$B$4)^(BV13-1))</f>
        <v>966.86047378640774</v>
      </c>
      <c r="CK13" s="197">
        <f t="shared" ref="CK13:CK27" si="43">CF13/((1+$B$4)^(BV13-1))</f>
        <v>-664.48096802359441</v>
      </c>
      <c r="CL13" s="199">
        <f t="shared" ref="CL13:CL27" si="44">CG13/((1+$B$4)^(BV13-1))</f>
        <v>-344.09261850903135</v>
      </c>
      <c r="CM13" s="196">
        <f>CM12+CH13</f>
        <v>379.45763838454576</v>
      </c>
      <c r="CN13" s="197">
        <f t="shared" ref="CN13:CN27" si="45">CN12+CI13</f>
        <v>650.38834951456306</v>
      </c>
      <c r="CO13" s="197">
        <f t="shared" ref="CO13:CO27" si="46">CO12+CJ13</f>
        <v>12680.377161786408</v>
      </c>
      <c r="CP13" s="197">
        <f t="shared" ref="CP13:CP27" si="47">CP12+CK13</f>
        <v>-12300.919523401861</v>
      </c>
      <c r="CQ13" s="199">
        <f t="shared" ref="CQ13:CQ27" si="48">CQ12+CL13</f>
        <v>-11650.531173887299</v>
      </c>
      <c r="CR13" s="197"/>
      <c r="CT13" s="204">
        <v>2</v>
      </c>
      <c r="CU13" s="225">
        <f>'Energy NPV'!$D66</f>
        <v>7.1188775071016606</v>
      </c>
      <c r="CV13" s="197">
        <f>'Energy margins'!$S$12</f>
        <v>43.75</v>
      </c>
      <c r="CW13" s="197">
        <f t="shared" ref="CW13:CW27" si="49">CU13*CV13</f>
        <v>311.45089093569766</v>
      </c>
      <c r="CX13" s="197">
        <f>'Margins summary'!$U$14</f>
        <v>330</v>
      </c>
      <c r="CY13" s="197">
        <f t="shared" ref="CY13:CY27" si="50">CW13+CX13</f>
        <v>641.45089093569766</v>
      </c>
      <c r="CZ13" s="197"/>
      <c r="DA13" s="918">
        <f>'Energy NPV'!U66</f>
        <v>497.93314399999997</v>
      </c>
      <c r="DB13" s="197"/>
      <c r="DC13" s="197">
        <f t="shared" ref="DC13:DC27" si="51">(CZ13+DA13+DB13)*$CV$8</f>
        <v>0</v>
      </c>
      <c r="DD13" s="197">
        <f t="shared" si="8"/>
        <v>311.45089093569766</v>
      </c>
      <c r="DE13" s="197">
        <f t="shared" si="9"/>
        <v>641.45089093569766</v>
      </c>
      <c r="DF13" s="196">
        <f t="shared" ref="DF13:DF27" si="52">CW13/((1+$B$4)^(CT13-1))</f>
        <v>302.37950576281327</v>
      </c>
      <c r="DG13" s="197">
        <f t="shared" ref="DG13:DG27" si="53">CX13/((1+$B$4)^(CT13-1))</f>
        <v>320.38834951456312</v>
      </c>
      <c r="DH13" s="197">
        <f t="shared" ref="DH13:DH27" si="54">DC13/((1+$B$4)^(CT13-1))</f>
        <v>0</v>
      </c>
      <c r="DI13" s="197">
        <f t="shared" ref="DI13:DI27" si="55">DD13/((1+$B$4)^(CT13-1))</f>
        <v>302.37950576281327</v>
      </c>
      <c r="DJ13" s="199">
        <f t="shared" ref="DJ13:DJ27" si="56">DE13/((1+$B$4)^(CT13-1))</f>
        <v>622.76785527737638</v>
      </c>
      <c r="DK13" s="196">
        <f>DK12+DF13</f>
        <v>379.45763838454576</v>
      </c>
      <c r="DL13" s="197">
        <f t="shared" ref="DL13:DL27" si="57">DL12+DG13</f>
        <v>650.38834951456306</v>
      </c>
      <c r="DM13" s="197">
        <f t="shared" ref="DM13:DM27" si="58">DM12+DH13</f>
        <v>0</v>
      </c>
      <c r="DN13" s="197">
        <f t="shared" ref="DN13:DN27" si="59">DN12+DI13</f>
        <v>379.45763838454576</v>
      </c>
      <c r="DO13" s="199">
        <f t="shared" ref="DO13:DO27" si="60">DO12+DJ13</f>
        <v>1029.8459878991089</v>
      </c>
    </row>
    <row r="14" spans="1:119" x14ac:dyDescent="0.3">
      <c r="B14" s="204">
        <f t="shared" ref="B14:B27" si="61">B13+1</f>
        <v>3</v>
      </c>
      <c r="C14" s="197">
        <f>'Energy NPV'!$D67</f>
        <v>9.4057559323979216</v>
      </c>
      <c r="D14" s="197">
        <f>'Energy margins'!$S$12</f>
        <v>43.75</v>
      </c>
      <c r="E14" s="197">
        <f t="shared" si="10"/>
        <v>411.50182204240906</v>
      </c>
      <c r="F14" s="197">
        <f>'Margins summary'!$U$14</f>
        <v>330</v>
      </c>
      <c r="G14" s="197">
        <f t="shared" si="11"/>
        <v>741.501822042409</v>
      </c>
      <c r="H14" s="197"/>
      <c r="I14" s="918">
        <f>'Energy NPV'!U67</f>
        <v>497.93314399999997</v>
      </c>
      <c r="J14" s="197"/>
      <c r="K14" s="197">
        <f t="shared" si="12"/>
        <v>497.93314399999997</v>
      </c>
      <c r="L14" s="197">
        <f t="shared" si="0"/>
        <v>-86.43132195759091</v>
      </c>
      <c r="M14" s="197">
        <f t="shared" si="1"/>
        <v>243.56867804240903</v>
      </c>
      <c r="N14" s="196">
        <f t="shared" si="13"/>
        <v>387.87993405826097</v>
      </c>
      <c r="O14" s="197">
        <f t="shared" si="14"/>
        <v>311.05665001413894</v>
      </c>
      <c r="P14" s="197">
        <f t="shared" si="15"/>
        <v>469.3497445565086</v>
      </c>
      <c r="Q14" s="197">
        <f t="shared" si="16"/>
        <v>-81.469810498247639</v>
      </c>
      <c r="R14" s="199">
        <f t="shared" si="17"/>
        <v>229.58683951589126</v>
      </c>
      <c r="S14" s="196">
        <f t="shared" ref="S14:S27" si="62">S13+N14</f>
        <v>767.33757244280673</v>
      </c>
      <c r="T14" s="197">
        <f t="shared" si="18"/>
        <v>961.44499952870206</v>
      </c>
      <c r="U14" s="197">
        <f t="shared" si="18"/>
        <v>6809.5383254497128</v>
      </c>
      <c r="V14" s="197">
        <f t="shared" si="18"/>
        <v>-6042.2007530069059</v>
      </c>
      <c r="W14" s="199">
        <f t="shared" si="18"/>
        <v>-5080.7557534782027</v>
      </c>
      <c r="X14" s="197"/>
      <c r="Z14" s="204">
        <f t="shared" ref="Z14:Z27" si="63">Z13+1</f>
        <v>3</v>
      </c>
      <c r="AA14" s="225">
        <f>'Energy NPV'!$D67</f>
        <v>9.4057559323979216</v>
      </c>
      <c r="AB14" s="197">
        <f>'Energy margins'!$S$12</f>
        <v>43.75</v>
      </c>
      <c r="AC14" s="197">
        <f t="shared" si="19"/>
        <v>411.50182204240906</v>
      </c>
      <c r="AD14" s="197">
        <f>'Margins summary'!$U$14</f>
        <v>330</v>
      </c>
      <c r="AE14" s="197">
        <f t="shared" si="20"/>
        <v>741.501822042409</v>
      </c>
      <c r="AF14" s="197"/>
      <c r="AG14" s="918">
        <f>'Energy NPV'!U67</f>
        <v>497.93314399999997</v>
      </c>
      <c r="AH14" s="197"/>
      <c r="AI14" s="197">
        <f t="shared" si="21"/>
        <v>746.8997159999999</v>
      </c>
      <c r="AJ14" s="197">
        <f t="shared" si="2"/>
        <v>-335.39789395759084</v>
      </c>
      <c r="AK14" s="197">
        <f t="shared" si="3"/>
        <v>-5.3978939575908953</v>
      </c>
      <c r="AL14" s="196">
        <f t="shared" si="22"/>
        <v>387.87993405826097</v>
      </c>
      <c r="AM14" s="197">
        <f t="shared" si="23"/>
        <v>311.05665001413894</v>
      </c>
      <c r="AN14" s="197">
        <f t="shared" si="24"/>
        <v>704.02461683476292</v>
      </c>
      <c r="AO14" s="197">
        <f t="shared" si="25"/>
        <v>-316.1446827765019</v>
      </c>
      <c r="AP14" s="199">
        <f t="shared" si="26"/>
        <v>-5.0880327623629897</v>
      </c>
      <c r="AQ14" s="196">
        <f t="shared" ref="AQ14:AQ27" si="64">AQ13+AL14</f>
        <v>767.33757244280673</v>
      </c>
      <c r="AR14" s="197">
        <f t="shared" si="27"/>
        <v>961.44499952870206</v>
      </c>
      <c r="AS14" s="197">
        <f t="shared" si="27"/>
        <v>10214.307488174567</v>
      </c>
      <c r="AT14" s="197">
        <f t="shared" si="27"/>
        <v>-9446.9699157317591</v>
      </c>
      <c r="AU14" s="199">
        <f t="shared" si="27"/>
        <v>-8485.5249162030595</v>
      </c>
      <c r="AV14" s="197"/>
      <c r="AX14" s="204">
        <f t="shared" ref="AX14:AX27" si="65">AX13+1</f>
        <v>3</v>
      </c>
      <c r="AY14" s="225">
        <f>'Energy NPV'!$D67</f>
        <v>9.4057559323979216</v>
      </c>
      <c r="AZ14" s="197">
        <f>'Energy margins'!$S$12</f>
        <v>43.75</v>
      </c>
      <c r="BA14" s="197">
        <f t="shared" si="28"/>
        <v>411.50182204240906</v>
      </c>
      <c r="BB14" s="197">
        <f>'Margins summary'!$U$14</f>
        <v>330</v>
      </c>
      <c r="BC14" s="197">
        <f t="shared" si="29"/>
        <v>741.501822042409</v>
      </c>
      <c r="BD14" s="197"/>
      <c r="BE14" s="918">
        <f>'Energy NPV'!U67</f>
        <v>497.93314399999997</v>
      </c>
      <c r="BF14" s="197"/>
      <c r="BG14" s="197">
        <f t="shared" si="30"/>
        <v>248.96657199999999</v>
      </c>
      <c r="BH14" s="197">
        <f t="shared" si="4"/>
        <v>162.53525004240907</v>
      </c>
      <c r="BI14" s="197">
        <f t="shared" si="5"/>
        <v>492.53525004240902</v>
      </c>
      <c r="BJ14" s="196">
        <f t="shared" si="31"/>
        <v>387.87993405826097</v>
      </c>
      <c r="BK14" s="197">
        <f t="shared" si="32"/>
        <v>311.05665001413894</v>
      </c>
      <c r="BL14" s="197">
        <f t="shared" si="33"/>
        <v>234.6748722782543</v>
      </c>
      <c r="BM14" s="197">
        <f t="shared" si="34"/>
        <v>153.20506178000667</v>
      </c>
      <c r="BN14" s="199">
        <f t="shared" si="35"/>
        <v>464.26171179414558</v>
      </c>
      <c r="BO14" s="196">
        <f t="shared" ref="BO14:BO27" si="66">BO13+BJ14</f>
        <v>767.33757244280673</v>
      </c>
      <c r="BP14" s="197">
        <f t="shared" si="36"/>
        <v>961.44499952870206</v>
      </c>
      <c r="BQ14" s="197">
        <f t="shared" si="36"/>
        <v>3404.7691627248564</v>
      </c>
      <c r="BR14" s="197">
        <f t="shared" si="36"/>
        <v>-2637.431590282049</v>
      </c>
      <c r="BS14" s="199">
        <f t="shared" si="36"/>
        <v>-1675.9865907533474</v>
      </c>
      <c r="BT14" s="197"/>
      <c r="BV14" s="204">
        <f t="shared" ref="BV14:BV27" si="67">BV13+1</f>
        <v>3</v>
      </c>
      <c r="BW14" s="225">
        <f>'Energy NPV'!$D67</f>
        <v>9.4057559323979216</v>
      </c>
      <c r="BX14" s="197">
        <f>'Energy margins'!$S$12</f>
        <v>43.75</v>
      </c>
      <c r="BY14" s="197">
        <f t="shared" si="37"/>
        <v>411.50182204240906</v>
      </c>
      <c r="BZ14" s="197">
        <f>'Margins summary'!$U$14</f>
        <v>330</v>
      </c>
      <c r="CA14" s="197">
        <f t="shared" si="38"/>
        <v>741.501822042409</v>
      </c>
      <c r="CB14" s="197"/>
      <c r="CC14" s="918">
        <f>'Energy NPV'!U67</f>
        <v>497.93314399999997</v>
      </c>
      <c r="CD14" s="197"/>
      <c r="CE14" s="197">
        <f t="shared" si="39"/>
        <v>995.86628799999994</v>
      </c>
      <c r="CF14" s="197">
        <f t="shared" si="6"/>
        <v>-584.36446595759094</v>
      </c>
      <c r="CG14" s="197">
        <f t="shared" si="7"/>
        <v>-254.36446595759094</v>
      </c>
      <c r="CH14" s="196">
        <f t="shared" si="40"/>
        <v>387.87993405826097</v>
      </c>
      <c r="CI14" s="197">
        <f t="shared" si="41"/>
        <v>311.05665001413894</v>
      </c>
      <c r="CJ14" s="197">
        <f t="shared" si="42"/>
        <v>938.69948911301719</v>
      </c>
      <c r="CK14" s="197">
        <f t="shared" si="43"/>
        <v>-550.81955505475628</v>
      </c>
      <c r="CL14" s="199">
        <f t="shared" si="44"/>
        <v>-239.76290504061734</v>
      </c>
      <c r="CM14" s="196">
        <f t="shared" ref="CM14:CM27" si="68">CM13+CH14</f>
        <v>767.33757244280673</v>
      </c>
      <c r="CN14" s="197">
        <f t="shared" si="45"/>
        <v>961.44499952870206</v>
      </c>
      <c r="CO14" s="197">
        <f t="shared" si="46"/>
        <v>13619.076650899426</v>
      </c>
      <c r="CP14" s="197">
        <f t="shared" si="47"/>
        <v>-12851.739078456618</v>
      </c>
      <c r="CQ14" s="199">
        <f t="shared" si="48"/>
        <v>-11890.294078927916</v>
      </c>
      <c r="CR14" s="197"/>
      <c r="CT14" s="204">
        <f t="shared" ref="CT14:CT27" si="69">CT13+1</f>
        <v>3</v>
      </c>
      <c r="CU14" s="225">
        <f>'Energy NPV'!$D67</f>
        <v>9.4057559323979216</v>
      </c>
      <c r="CV14" s="197">
        <f>'Energy margins'!$S$12</f>
        <v>43.75</v>
      </c>
      <c r="CW14" s="197">
        <f t="shared" si="49"/>
        <v>411.50182204240906</v>
      </c>
      <c r="CX14" s="197">
        <f>'Margins summary'!$U$14</f>
        <v>330</v>
      </c>
      <c r="CY14" s="197">
        <f t="shared" si="50"/>
        <v>741.501822042409</v>
      </c>
      <c r="CZ14" s="197"/>
      <c r="DA14" s="918">
        <f>'Energy NPV'!U67</f>
        <v>497.93314399999997</v>
      </c>
      <c r="DB14" s="197"/>
      <c r="DC14" s="197">
        <f t="shared" si="51"/>
        <v>0</v>
      </c>
      <c r="DD14" s="197">
        <f t="shared" si="8"/>
        <v>411.50182204240906</v>
      </c>
      <c r="DE14" s="197">
        <f t="shared" si="9"/>
        <v>741.501822042409</v>
      </c>
      <c r="DF14" s="196">
        <f t="shared" si="52"/>
        <v>387.87993405826097</v>
      </c>
      <c r="DG14" s="197">
        <f t="shared" si="53"/>
        <v>311.05665001413894</v>
      </c>
      <c r="DH14" s="197">
        <f t="shared" si="54"/>
        <v>0</v>
      </c>
      <c r="DI14" s="197">
        <f t="shared" si="55"/>
        <v>387.87993405826097</v>
      </c>
      <c r="DJ14" s="199">
        <f t="shared" si="56"/>
        <v>698.93658407239991</v>
      </c>
      <c r="DK14" s="196">
        <f t="shared" ref="DK14:DK27" si="70">DK13+DF14</f>
        <v>767.33757244280673</v>
      </c>
      <c r="DL14" s="197">
        <f t="shared" si="57"/>
        <v>961.44499952870206</v>
      </c>
      <c r="DM14" s="197">
        <f t="shared" si="58"/>
        <v>0</v>
      </c>
      <c r="DN14" s="197">
        <f t="shared" si="59"/>
        <v>767.33757244280673</v>
      </c>
      <c r="DO14" s="199">
        <f t="shared" si="60"/>
        <v>1728.7825719715088</v>
      </c>
    </row>
    <row r="15" spans="1:119" x14ac:dyDescent="0.3">
      <c r="B15" s="204">
        <f t="shared" si="61"/>
        <v>4</v>
      </c>
      <c r="C15" s="225">
        <f>'Energy NPV'!$D68</f>
        <v>10</v>
      </c>
      <c r="D15" s="197">
        <f>'Energy margins'!$S$12</f>
        <v>43.75</v>
      </c>
      <c r="E15" s="197">
        <f t="shared" si="10"/>
        <v>437.5</v>
      </c>
      <c r="F15" s="197">
        <f>'Margins summary'!$U$14</f>
        <v>330</v>
      </c>
      <c r="G15" s="197">
        <f t="shared" si="11"/>
        <v>767.5</v>
      </c>
      <c r="H15" s="197"/>
      <c r="I15" s="918">
        <f>'Energy NPV'!U68</f>
        <v>316.00314399999996</v>
      </c>
      <c r="J15" s="197"/>
      <c r="K15" s="197">
        <f t="shared" si="12"/>
        <v>316.00314399999996</v>
      </c>
      <c r="L15" s="197">
        <f t="shared" si="0"/>
        <v>121.49685600000004</v>
      </c>
      <c r="M15" s="197">
        <f t="shared" si="1"/>
        <v>451.49685600000004</v>
      </c>
      <c r="N15" s="196">
        <f t="shared" si="13"/>
        <v>400.3744759670073</v>
      </c>
      <c r="O15" s="197">
        <f t="shared" si="14"/>
        <v>301.99674758654265</v>
      </c>
      <c r="P15" s="197">
        <f t="shared" si="15"/>
        <v>289.18764156097541</v>
      </c>
      <c r="Q15" s="197">
        <f t="shared" si="16"/>
        <v>111.18683440603192</v>
      </c>
      <c r="R15" s="199">
        <f t="shared" si="17"/>
        <v>413.18358199257455</v>
      </c>
      <c r="S15" s="196">
        <f t="shared" si="62"/>
        <v>1167.7120484098141</v>
      </c>
      <c r="T15" s="197">
        <f t="shared" si="18"/>
        <v>1263.4417471152447</v>
      </c>
      <c r="U15" s="197">
        <f t="shared" si="18"/>
        <v>7098.7259670106887</v>
      </c>
      <c r="V15" s="197">
        <f t="shared" si="18"/>
        <v>-5931.0139186008737</v>
      </c>
      <c r="W15" s="199">
        <f t="shared" si="18"/>
        <v>-4667.5721714856281</v>
      </c>
      <c r="X15" s="197"/>
      <c r="Z15" s="204">
        <f t="shared" si="63"/>
        <v>4</v>
      </c>
      <c r="AA15" s="225">
        <f>'Energy NPV'!$D68</f>
        <v>10</v>
      </c>
      <c r="AB15" s="197">
        <f>'Energy margins'!$S$12</f>
        <v>43.75</v>
      </c>
      <c r="AC15" s="197">
        <f t="shared" si="19"/>
        <v>437.5</v>
      </c>
      <c r="AD15" s="197">
        <f>'Margins summary'!$U$14</f>
        <v>330</v>
      </c>
      <c r="AE15" s="197">
        <f t="shared" si="20"/>
        <v>767.5</v>
      </c>
      <c r="AF15" s="197"/>
      <c r="AG15" s="918">
        <f>'Energy NPV'!U68</f>
        <v>316.00314399999996</v>
      </c>
      <c r="AH15" s="197"/>
      <c r="AI15" s="197">
        <f t="shared" si="21"/>
        <v>474.00471599999992</v>
      </c>
      <c r="AJ15" s="197">
        <f t="shared" si="2"/>
        <v>-36.504715999999917</v>
      </c>
      <c r="AK15" s="197">
        <f t="shared" si="3"/>
        <v>293.49528400000008</v>
      </c>
      <c r="AL15" s="196">
        <f t="shared" si="22"/>
        <v>400.3744759670073</v>
      </c>
      <c r="AM15" s="197">
        <f t="shared" si="23"/>
        <v>301.99674758654265</v>
      </c>
      <c r="AN15" s="197">
        <f t="shared" si="24"/>
        <v>433.78146234146305</v>
      </c>
      <c r="AO15" s="197">
        <f t="shared" si="25"/>
        <v>-33.406986374455755</v>
      </c>
      <c r="AP15" s="199">
        <f t="shared" si="26"/>
        <v>268.5897612120869</v>
      </c>
      <c r="AQ15" s="196">
        <f t="shared" si="64"/>
        <v>1167.7120484098141</v>
      </c>
      <c r="AR15" s="197">
        <f t="shared" si="27"/>
        <v>1263.4417471152447</v>
      </c>
      <c r="AS15" s="197">
        <f t="shared" si="27"/>
        <v>10648.08895051603</v>
      </c>
      <c r="AT15" s="197">
        <f t="shared" si="27"/>
        <v>-9480.3769021062144</v>
      </c>
      <c r="AU15" s="199">
        <f t="shared" si="27"/>
        <v>-8216.9351549909734</v>
      </c>
      <c r="AV15" s="197"/>
      <c r="AX15" s="204">
        <f t="shared" si="65"/>
        <v>4</v>
      </c>
      <c r="AY15" s="225">
        <f>'Energy NPV'!$D68</f>
        <v>10</v>
      </c>
      <c r="AZ15" s="197">
        <f>'Energy margins'!$S$12</f>
        <v>43.75</v>
      </c>
      <c r="BA15" s="197">
        <f t="shared" si="28"/>
        <v>437.5</v>
      </c>
      <c r="BB15" s="197">
        <f>'Margins summary'!$U$14</f>
        <v>330</v>
      </c>
      <c r="BC15" s="197">
        <f t="shared" si="29"/>
        <v>767.5</v>
      </c>
      <c r="BD15" s="197"/>
      <c r="BE15" s="918">
        <f>'Energy NPV'!U68</f>
        <v>316.00314399999996</v>
      </c>
      <c r="BF15" s="197"/>
      <c r="BG15" s="197">
        <f t="shared" si="30"/>
        <v>158.00157199999998</v>
      </c>
      <c r="BH15" s="197">
        <f t="shared" si="4"/>
        <v>279.49842799999999</v>
      </c>
      <c r="BI15" s="197">
        <f t="shared" si="5"/>
        <v>609.49842799999999</v>
      </c>
      <c r="BJ15" s="196">
        <f t="shared" si="31"/>
        <v>400.3744759670073</v>
      </c>
      <c r="BK15" s="197">
        <f t="shared" si="32"/>
        <v>301.99674758654265</v>
      </c>
      <c r="BL15" s="197">
        <f t="shared" si="33"/>
        <v>144.5938207804877</v>
      </c>
      <c r="BM15" s="197">
        <f t="shared" si="34"/>
        <v>255.7806551865196</v>
      </c>
      <c r="BN15" s="199">
        <f t="shared" si="35"/>
        <v>557.77740277306225</v>
      </c>
      <c r="BO15" s="196">
        <f t="shared" si="66"/>
        <v>1167.7120484098141</v>
      </c>
      <c r="BP15" s="197">
        <f t="shared" si="36"/>
        <v>1263.4417471152447</v>
      </c>
      <c r="BQ15" s="197">
        <f t="shared" si="36"/>
        <v>3549.3629835053443</v>
      </c>
      <c r="BR15" s="197">
        <f t="shared" si="36"/>
        <v>-2381.6509350955293</v>
      </c>
      <c r="BS15" s="199">
        <f t="shared" si="36"/>
        <v>-1118.2091879802852</v>
      </c>
      <c r="BT15" s="197"/>
      <c r="BV15" s="204">
        <f t="shared" si="67"/>
        <v>4</v>
      </c>
      <c r="BW15" s="225">
        <f>'Energy NPV'!$D68</f>
        <v>10</v>
      </c>
      <c r="BX15" s="197">
        <f>'Energy margins'!$S$12</f>
        <v>43.75</v>
      </c>
      <c r="BY15" s="197">
        <f t="shared" si="37"/>
        <v>437.5</v>
      </c>
      <c r="BZ15" s="197">
        <f>'Margins summary'!$U$14</f>
        <v>330</v>
      </c>
      <c r="CA15" s="197">
        <f t="shared" si="38"/>
        <v>767.5</v>
      </c>
      <c r="CB15" s="197"/>
      <c r="CC15" s="918">
        <f>'Energy NPV'!U68</f>
        <v>316.00314399999996</v>
      </c>
      <c r="CD15" s="197"/>
      <c r="CE15" s="197">
        <f t="shared" si="39"/>
        <v>632.00628799999993</v>
      </c>
      <c r="CF15" s="197">
        <f t="shared" si="6"/>
        <v>-194.50628799999993</v>
      </c>
      <c r="CG15" s="197">
        <f t="shared" si="7"/>
        <v>135.49371200000007</v>
      </c>
      <c r="CH15" s="196">
        <f t="shared" si="40"/>
        <v>400.3744759670073</v>
      </c>
      <c r="CI15" s="197">
        <f t="shared" si="41"/>
        <v>301.99674758654265</v>
      </c>
      <c r="CJ15" s="197">
        <f t="shared" si="42"/>
        <v>578.37528312195082</v>
      </c>
      <c r="CK15" s="197">
        <f t="shared" si="43"/>
        <v>-178.00080715494349</v>
      </c>
      <c r="CL15" s="199">
        <f t="shared" si="44"/>
        <v>123.99594043159918</v>
      </c>
      <c r="CM15" s="196">
        <f t="shared" si="68"/>
        <v>1167.7120484098141</v>
      </c>
      <c r="CN15" s="197">
        <f t="shared" si="45"/>
        <v>1263.4417471152447</v>
      </c>
      <c r="CO15" s="197">
        <f t="shared" si="46"/>
        <v>14197.451934021377</v>
      </c>
      <c r="CP15" s="197">
        <f t="shared" si="47"/>
        <v>-13029.739885611561</v>
      </c>
      <c r="CQ15" s="199">
        <f t="shared" si="48"/>
        <v>-11766.298138496317</v>
      </c>
      <c r="CR15" s="197"/>
      <c r="CT15" s="204">
        <f t="shared" si="69"/>
        <v>4</v>
      </c>
      <c r="CU15" s="225">
        <f>'Energy NPV'!$D68</f>
        <v>10</v>
      </c>
      <c r="CV15" s="197">
        <f>'Energy margins'!$S$12</f>
        <v>43.75</v>
      </c>
      <c r="CW15" s="197">
        <f t="shared" si="49"/>
        <v>437.5</v>
      </c>
      <c r="CX15" s="197">
        <f>'Margins summary'!$U$14</f>
        <v>330</v>
      </c>
      <c r="CY15" s="197">
        <f t="shared" si="50"/>
        <v>767.5</v>
      </c>
      <c r="CZ15" s="197"/>
      <c r="DA15" s="918">
        <f>'Energy NPV'!U68</f>
        <v>316.00314399999996</v>
      </c>
      <c r="DB15" s="197"/>
      <c r="DC15" s="197">
        <f t="shared" si="51"/>
        <v>0</v>
      </c>
      <c r="DD15" s="197">
        <f t="shared" si="8"/>
        <v>437.5</v>
      </c>
      <c r="DE15" s="197">
        <f t="shared" si="9"/>
        <v>767.5</v>
      </c>
      <c r="DF15" s="196">
        <f t="shared" si="52"/>
        <v>400.3744759670073</v>
      </c>
      <c r="DG15" s="197">
        <f t="shared" si="53"/>
        <v>301.99674758654265</v>
      </c>
      <c r="DH15" s="197">
        <f t="shared" si="54"/>
        <v>0</v>
      </c>
      <c r="DI15" s="197">
        <f t="shared" si="55"/>
        <v>400.3744759670073</v>
      </c>
      <c r="DJ15" s="199">
        <f t="shared" si="56"/>
        <v>702.37122355354995</v>
      </c>
      <c r="DK15" s="196">
        <f t="shared" si="70"/>
        <v>1167.7120484098141</v>
      </c>
      <c r="DL15" s="197">
        <f t="shared" si="57"/>
        <v>1263.4417471152447</v>
      </c>
      <c r="DM15" s="197">
        <f t="shared" si="58"/>
        <v>0</v>
      </c>
      <c r="DN15" s="197">
        <f t="shared" si="59"/>
        <v>1167.7120484098141</v>
      </c>
      <c r="DO15" s="199">
        <f t="shared" si="60"/>
        <v>2431.1537955250587</v>
      </c>
    </row>
    <row r="16" spans="1:119" x14ac:dyDescent="0.3">
      <c r="B16" s="204">
        <f t="shared" si="61"/>
        <v>5</v>
      </c>
      <c r="C16" s="225">
        <f>'Energy NPV'!$D69</f>
        <v>10</v>
      </c>
      <c r="D16" s="197">
        <f>'Energy margins'!$S$12</f>
        <v>43.75</v>
      </c>
      <c r="E16" s="197">
        <f t="shared" si="10"/>
        <v>437.5</v>
      </c>
      <c r="F16" s="197">
        <f>'Margins summary'!$U$14</f>
        <v>330</v>
      </c>
      <c r="G16" s="197">
        <f t="shared" si="11"/>
        <v>767.5</v>
      </c>
      <c r="H16" s="197"/>
      <c r="I16" s="918">
        <f>'Energy NPV'!U69</f>
        <v>316.00314399999996</v>
      </c>
      <c r="J16" s="197"/>
      <c r="K16" s="197">
        <f t="shared" si="12"/>
        <v>316.00314399999996</v>
      </c>
      <c r="L16" s="197">
        <f t="shared" si="0"/>
        <v>121.49685600000004</v>
      </c>
      <c r="M16" s="197">
        <f t="shared" si="1"/>
        <v>451.49685600000004</v>
      </c>
      <c r="N16" s="196">
        <f t="shared" si="13"/>
        <v>388.71308346311395</v>
      </c>
      <c r="O16" s="197">
        <f t="shared" si="14"/>
        <v>293.20072581217738</v>
      </c>
      <c r="P16" s="197">
        <f t="shared" si="15"/>
        <v>280.76470054463636</v>
      </c>
      <c r="Q16" s="197">
        <f t="shared" si="16"/>
        <v>107.94838291847759</v>
      </c>
      <c r="R16" s="199">
        <f t="shared" si="17"/>
        <v>401.14910873065497</v>
      </c>
      <c r="S16" s="196">
        <f t="shared" si="62"/>
        <v>1556.425131872928</v>
      </c>
      <c r="T16" s="197">
        <f t="shared" si="18"/>
        <v>1556.642472927422</v>
      </c>
      <c r="U16" s="197">
        <f t="shared" si="18"/>
        <v>7379.4906675553248</v>
      </c>
      <c r="V16" s="197">
        <f t="shared" si="18"/>
        <v>-5823.0655356823963</v>
      </c>
      <c r="W16" s="199">
        <f t="shared" si="18"/>
        <v>-4266.4230627549732</v>
      </c>
      <c r="X16" s="197"/>
      <c r="Z16" s="204">
        <f t="shared" si="63"/>
        <v>5</v>
      </c>
      <c r="AA16" s="225">
        <f>'Energy NPV'!$D69</f>
        <v>10</v>
      </c>
      <c r="AB16" s="197">
        <f>'Energy margins'!$S$12</f>
        <v>43.75</v>
      </c>
      <c r="AC16" s="197">
        <f t="shared" si="19"/>
        <v>437.5</v>
      </c>
      <c r="AD16" s="197">
        <f>'Margins summary'!$U$14</f>
        <v>330</v>
      </c>
      <c r="AE16" s="197">
        <f t="shared" si="20"/>
        <v>767.5</v>
      </c>
      <c r="AF16" s="197"/>
      <c r="AG16" s="918">
        <f>'Energy NPV'!U69</f>
        <v>316.00314399999996</v>
      </c>
      <c r="AH16" s="197"/>
      <c r="AI16" s="197">
        <f t="shared" si="21"/>
        <v>474.00471599999992</v>
      </c>
      <c r="AJ16" s="197">
        <f t="shared" si="2"/>
        <v>-36.504715999999917</v>
      </c>
      <c r="AK16" s="197">
        <f t="shared" si="3"/>
        <v>293.49528400000008</v>
      </c>
      <c r="AL16" s="196">
        <f t="shared" si="22"/>
        <v>388.71308346311395</v>
      </c>
      <c r="AM16" s="197">
        <f t="shared" si="23"/>
        <v>293.20072581217738</v>
      </c>
      <c r="AN16" s="197">
        <f t="shared" si="24"/>
        <v>421.14705081695445</v>
      </c>
      <c r="AO16" s="197">
        <f t="shared" si="25"/>
        <v>-32.433967353840544</v>
      </c>
      <c r="AP16" s="199">
        <f t="shared" si="26"/>
        <v>260.76675845833682</v>
      </c>
      <c r="AQ16" s="196">
        <f t="shared" si="64"/>
        <v>1556.425131872928</v>
      </c>
      <c r="AR16" s="197">
        <f t="shared" si="27"/>
        <v>1556.642472927422</v>
      </c>
      <c r="AS16" s="197">
        <f t="shared" si="27"/>
        <v>11069.236001332985</v>
      </c>
      <c r="AT16" s="197">
        <f t="shared" si="27"/>
        <v>-9512.8108694600542</v>
      </c>
      <c r="AU16" s="199">
        <f t="shared" si="27"/>
        <v>-7956.1683965326365</v>
      </c>
      <c r="AV16" s="197"/>
      <c r="AX16" s="204">
        <f t="shared" si="65"/>
        <v>5</v>
      </c>
      <c r="AY16" s="225">
        <f>'Energy NPV'!$D69</f>
        <v>10</v>
      </c>
      <c r="AZ16" s="197">
        <f>'Energy margins'!$S$12</f>
        <v>43.75</v>
      </c>
      <c r="BA16" s="197">
        <f t="shared" si="28"/>
        <v>437.5</v>
      </c>
      <c r="BB16" s="197">
        <f>'Margins summary'!$U$14</f>
        <v>330</v>
      </c>
      <c r="BC16" s="197">
        <f t="shared" si="29"/>
        <v>767.5</v>
      </c>
      <c r="BD16" s="197"/>
      <c r="BE16" s="918">
        <f>'Energy NPV'!U69</f>
        <v>316.00314399999996</v>
      </c>
      <c r="BF16" s="197"/>
      <c r="BG16" s="197">
        <f t="shared" si="30"/>
        <v>158.00157199999998</v>
      </c>
      <c r="BH16" s="197">
        <f t="shared" si="4"/>
        <v>279.49842799999999</v>
      </c>
      <c r="BI16" s="197">
        <f t="shared" si="5"/>
        <v>609.49842799999999</v>
      </c>
      <c r="BJ16" s="196">
        <f t="shared" si="31"/>
        <v>388.71308346311395</v>
      </c>
      <c r="BK16" s="197">
        <f t="shared" si="32"/>
        <v>293.20072581217738</v>
      </c>
      <c r="BL16" s="197">
        <f t="shared" si="33"/>
        <v>140.38235027231818</v>
      </c>
      <c r="BM16" s="197">
        <f t="shared" si="34"/>
        <v>248.33073319079574</v>
      </c>
      <c r="BN16" s="199">
        <f t="shared" si="35"/>
        <v>541.53145900297307</v>
      </c>
      <c r="BO16" s="196">
        <f t="shared" si="66"/>
        <v>1556.425131872928</v>
      </c>
      <c r="BP16" s="197">
        <f t="shared" si="36"/>
        <v>1556.642472927422</v>
      </c>
      <c r="BQ16" s="197">
        <f t="shared" si="36"/>
        <v>3689.7453337776624</v>
      </c>
      <c r="BR16" s="197">
        <f t="shared" si="36"/>
        <v>-2133.3202019047335</v>
      </c>
      <c r="BS16" s="199">
        <f t="shared" si="36"/>
        <v>-576.67772897731209</v>
      </c>
      <c r="BT16" s="197"/>
      <c r="BV16" s="204">
        <f t="shared" si="67"/>
        <v>5</v>
      </c>
      <c r="BW16" s="225">
        <f>'Energy NPV'!$D69</f>
        <v>10</v>
      </c>
      <c r="BX16" s="197">
        <f>'Energy margins'!$S$12</f>
        <v>43.75</v>
      </c>
      <c r="BY16" s="197">
        <f t="shared" si="37"/>
        <v>437.5</v>
      </c>
      <c r="BZ16" s="197">
        <f>'Margins summary'!$U$14</f>
        <v>330</v>
      </c>
      <c r="CA16" s="197">
        <f t="shared" si="38"/>
        <v>767.5</v>
      </c>
      <c r="CB16" s="197"/>
      <c r="CC16" s="918">
        <f>'Energy NPV'!U69</f>
        <v>316.00314399999996</v>
      </c>
      <c r="CD16" s="197"/>
      <c r="CE16" s="197">
        <f t="shared" si="39"/>
        <v>632.00628799999993</v>
      </c>
      <c r="CF16" s="197">
        <f t="shared" si="6"/>
        <v>-194.50628799999993</v>
      </c>
      <c r="CG16" s="197">
        <f t="shared" si="7"/>
        <v>135.49371200000007</v>
      </c>
      <c r="CH16" s="196">
        <f t="shared" si="40"/>
        <v>388.71308346311395</v>
      </c>
      <c r="CI16" s="197">
        <f t="shared" si="41"/>
        <v>293.20072581217738</v>
      </c>
      <c r="CJ16" s="197">
        <f t="shared" si="42"/>
        <v>561.52940108927271</v>
      </c>
      <c r="CK16" s="197">
        <f t="shared" si="43"/>
        <v>-172.81631762615874</v>
      </c>
      <c r="CL16" s="199">
        <f t="shared" si="44"/>
        <v>120.38440818601863</v>
      </c>
      <c r="CM16" s="196">
        <f t="shared" si="68"/>
        <v>1556.425131872928</v>
      </c>
      <c r="CN16" s="197">
        <f t="shared" si="45"/>
        <v>1556.642472927422</v>
      </c>
      <c r="CO16" s="197">
        <f t="shared" si="46"/>
        <v>14758.98133511065</v>
      </c>
      <c r="CP16" s="197">
        <f t="shared" si="47"/>
        <v>-13202.55620323772</v>
      </c>
      <c r="CQ16" s="199">
        <f t="shared" si="48"/>
        <v>-11645.913730310298</v>
      </c>
      <c r="CR16" s="197"/>
      <c r="CT16" s="204">
        <f t="shared" si="69"/>
        <v>5</v>
      </c>
      <c r="CU16" s="225">
        <f>'Energy NPV'!$D69</f>
        <v>10</v>
      </c>
      <c r="CV16" s="197">
        <f>'Energy margins'!$S$12</f>
        <v>43.75</v>
      </c>
      <c r="CW16" s="197">
        <f t="shared" si="49"/>
        <v>437.5</v>
      </c>
      <c r="CX16" s="197">
        <f>'Margins summary'!$U$14</f>
        <v>330</v>
      </c>
      <c r="CY16" s="197">
        <f t="shared" si="50"/>
        <v>767.5</v>
      </c>
      <c r="CZ16" s="197"/>
      <c r="DA16" s="918">
        <f>'Energy NPV'!U69</f>
        <v>316.00314399999996</v>
      </c>
      <c r="DB16" s="197"/>
      <c r="DC16" s="197">
        <f t="shared" si="51"/>
        <v>0</v>
      </c>
      <c r="DD16" s="197">
        <f t="shared" si="8"/>
        <v>437.5</v>
      </c>
      <c r="DE16" s="197">
        <f t="shared" si="9"/>
        <v>767.5</v>
      </c>
      <c r="DF16" s="196">
        <f t="shared" si="52"/>
        <v>388.71308346311395</v>
      </c>
      <c r="DG16" s="197">
        <f t="shared" si="53"/>
        <v>293.20072581217738</v>
      </c>
      <c r="DH16" s="197">
        <f t="shared" si="54"/>
        <v>0</v>
      </c>
      <c r="DI16" s="197">
        <f t="shared" si="55"/>
        <v>388.71308346311395</v>
      </c>
      <c r="DJ16" s="199">
        <f t="shared" si="56"/>
        <v>681.91380927529133</v>
      </c>
      <c r="DK16" s="196">
        <f t="shared" si="70"/>
        <v>1556.425131872928</v>
      </c>
      <c r="DL16" s="197">
        <f t="shared" si="57"/>
        <v>1556.642472927422</v>
      </c>
      <c r="DM16" s="197">
        <f t="shared" si="58"/>
        <v>0</v>
      </c>
      <c r="DN16" s="197">
        <f t="shared" si="59"/>
        <v>1556.425131872928</v>
      </c>
      <c r="DO16" s="199">
        <f t="shared" si="60"/>
        <v>3113.0676048003502</v>
      </c>
    </row>
    <row r="17" spans="2:119" x14ac:dyDescent="0.3">
      <c r="B17" s="204">
        <f t="shared" si="61"/>
        <v>6</v>
      </c>
      <c r="C17" s="225">
        <f>'Energy NPV'!$D70</f>
        <v>10</v>
      </c>
      <c r="D17" s="197">
        <f>'Energy margins'!$S$12</f>
        <v>43.75</v>
      </c>
      <c r="E17" s="197">
        <f t="shared" si="10"/>
        <v>437.5</v>
      </c>
      <c r="F17" s="197">
        <f>'Margins summary'!$U$14</f>
        <v>330</v>
      </c>
      <c r="G17" s="197">
        <f t="shared" si="11"/>
        <v>767.5</v>
      </c>
      <c r="H17" s="197"/>
      <c r="I17" s="918">
        <f>'Energy NPV'!U70</f>
        <v>316.00314399999996</v>
      </c>
      <c r="J17" s="197"/>
      <c r="K17" s="197">
        <f t="shared" si="12"/>
        <v>316.00314399999996</v>
      </c>
      <c r="L17" s="197">
        <f t="shared" si="0"/>
        <v>121.49685600000004</v>
      </c>
      <c r="M17" s="197">
        <f t="shared" si="1"/>
        <v>451.49685600000004</v>
      </c>
      <c r="N17" s="196">
        <f t="shared" si="13"/>
        <v>377.39134316807178</v>
      </c>
      <c r="O17" s="197">
        <f t="shared" si="14"/>
        <v>284.66089884677416</v>
      </c>
      <c r="P17" s="197">
        <f t="shared" si="15"/>
        <v>272.58708790741395</v>
      </c>
      <c r="Q17" s="197">
        <f t="shared" si="16"/>
        <v>104.80425526065787</v>
      </c>
      <c r="R17" s="199">
        <f t="shared" si="17"/>
        <v>389.465154107432</v>
      </c>
      <c r="S17" s="196">
        <f t="shared" si="62"/>
        <v>1933.8164750409996</v>
      </c>
      <c r="T17" s="197">
        <f t="shared" si="18"/>
        <v>1841.3033717741962</v>
      </c>
      <c r="U17" s="197">
        <f t="shared" si="18"/>
        <v>7652.0777554627384</v>
      </c>
      <c r="V17" s="197">
        <f t="shared" si="18"/>
        <v>-5718.2612804217388</v>
      </c>
      <c r="W17" s="199">
        <f t="shared" si="18"/>
        <v>-3876.9579086475414</v>
      </c>
      <c r="X17" s="197"/>
      <c r="Z17" s="204">
        <f t="shared" si="63"/>
        <v>6</v>
      </c>
      <c r="AA17" s="225">
        <f>'Energy NPV'!$D70</f>
        <v>10</v>
      </c>
      <c r="AB17" s="197">
        <f>'Energy margins'!$S$12</f>
        <v>43.75</v>
      </c>
      <c r="AC17" s="197">
        <f t="shared" si="19"/>
        <v>437.5</v>
      </c>
      <c r="AD17" s="197">
        <f>'Margins summary'!$U$14</f>
        <v>330</v>
      </c>
      <c r="AE17" s="197">
        <f t="shared" si="20"/>
        <v>767.5</v>
      </c>
      <c r="AF17" s="197"/>
      <c r="AG17" s="918">
        <f>'Energy NPV'!U70</f>
        <v>316.00314399999996</v>
      </c>
      <c r="AH17" s="197"/>
      <c r="AI17" s="197">
        <f t="shared" si="21"/>
        <v>474.00471599999992</v>
      </c>
      <c r="AJ17" s="197">
        <f t="shared" si="2"/>
        <v>-36.504715999999917</v>
      </c>
      <c r="AK17" s="197">
        <f t="shared" si="3"/>
        <v>293.49528400000008</v>
      </c>
      <c r="AL17" s="196">
        <f t="shared" si="22"/>
        <v>377.39134316807178</v>
      </c>
      <c r="AM17" s="197">
        <f t="shared" si="23"/>
        <v>284.66089884677416</v>
      </c>
      <c r="AN17" s="197">
        <f t="shared" si="24"/>
        <v>408.88063186112089</v>
      </c>
      <c r="AO17" s="197">
        <f t="shared" si="25"/>
        <v>-31.489288693049073</v>
      </c>
      <c r="AP17" s="199">
        <f t="shared" si="26"/>
        <v>253.17161015372508</v>
      </c>
      <c r="AQ17" s="196">
        <f t="shared" si="64"/>
        <v>1933.8164750409996</v>
      </c>
      <c r="AR17" s="197">
        <f t="shared" si="27"/>
        <v>1841.3033717741962</v>
      </c>
      <c r="AS17" s="197">
        <f t="shared" si="27"/>
        <v>11478.116633194106</v>
      </c>
      <c r="AT17" s="197">
        <f t="shared" si="27"/>
        <v>-9544.3001581531025</v>
      </c>
      <c r="AU17" s="199">
        <f t="shared" si="27"/>
        <v>-7702.9967863789116</v>
      </c>
      <c r="AV17" s="197"/>
      <c r="AX17" s="204">
        <f t="shared" si="65"/>
        <v>6</v>
      </c>
      <c r="AY17" s="225">
        <f>'Energy NPV'!$D70</f>
        <v>10</v>
      </c>
      <c r="AZ17" s="197">
        <f>'Energy margins'!$S$12</f>
        <v>43.75</v>
      </c>
      <c r="BA17" s="197">
        <f t="shared" si="28"/>
        <v>437.5</v>
      </c>
      <c r="BB17" s="197">
        <f>'Margins summary'!$U$14</f>
        <v>330</v>
      </c>
      <c r="BC17" s="197">
        <f t="shared" si="29"/>
        <v>767.5</v>
      </c>
      <c r="BD17" s="197"/>
      <c r="BE17" s="918">
        <f>'Energy NPV'!U70</f>
        <v>316.00314399999996</v>
      </c>
      <c r="BF17" s="197"/>
      <c r="BG17" s="197">
        <f t="shared" si="30"/>
        <v>158.00157199999998</v>
      </c>
      <c r="BH17" s="197">
        <f t="shared" si="4"/>
        <v>279.49842799999999</v>
      </c>
      <c r="BI17" s="197">
        <f t="shared" si="5"/>
        <v>609.49842799999999</v>
      </c>
      <c r="BJ17" s="196">
        <f t="shared" si="31"/>
        <v>377.39134316807178</v>
      </c>
      <c r="BK17" s="197">
        <f t="shared" si="32"/>
        <v>284.66089884677416</v>
      </c>
      <c r="BL17" s="197">
        <f t="shared" si="33"/>
        <v>136.29354395370697</v>
      </c>
      <c r="BM17" s="197">
        <f t="shared" si="34"/>
        <v>241.09779921436481</v>
      </c>
      <c r="BN17" s="199">
        <f t="shared" si="35"/>
        <v>525.75869806113894</v>
      </c>
      <c r="BO17" s="196">
        <f t="shared" si="66"/>
        <v>1933.8164750409996</v>
      </c>
      <c r="BP17" s="197">
        <f t="shared" si="36"/>
        <v>1841.3033717741962</v>
      </c>
      <c r="BQ17" s="197">
        <f t="shared" si="36"/>
        <v>3826.0388777313692</v>
      </c>
      <c r="BR17" s="197">
        <f t="shared" si="36"/>
        <v>-1892.2224026903687</v>
      </c>
      <c r="BS17" s="199">
        <f t="shared" si="36"/>
        <v>-50.919030916173142</v>
      </c>
      <c r="BT17" s="197"/>
      <c r="BV17" s="204">
        <f t="shared" si="67"/>
        <v>6</v>
      </c>
      <c r="BW17" s="225">
        <f>'Energy NPV'!$D70</f>
        <v>10</v>
      </c>
      <c r="BX17" s="197">
        <f>'Energy margins'!$S$12</f>
        <v>43.75</v>
      </c>
      <c r="BY17" s="197">
        <f t="shared" si="37"/>
        <v>437.5</v>
      </c>
      <c r="BZ17" s="197">
        <f>'Margins summary'!$U$14</f>
        <v>330</v>
      </c>
      <c r="CA17" s="197">
        <f t="shared" si="38"/>
        <v>767.5</v>
      </c>
      <c r="CB17" s="197"/>
      <c r="CC17" s="918">
        <f>'Energy NPV'!U70</f>
        <v>316.00314399999996</v>
      </c>
      <c r="CD17" s="197"/>
      <c r="CE17" s="197">
        <f t="shared" si="39"/>
        <v>632.00628799999993</v>
      </c>
      <c r="CF17" s="197">
        <f t="shared" si="6"/>
        <v>-194.50628799999993</v>
      </c>
      <c r="CG17" s="197">
        <f t="shared" si="7"/>
        <v>135.49371200000007</v>
      </c>
      <c r="CH17" s="196">
        <f t="shared" si="40"/>
        <v>377.39134316807178</v>
      </c>
      <c r="CI17" s="197">
        <f t="shared" si="41"/>
        <v>284.66089884677416</v>
      </c>
      <c r="CJ17" s="197">
        <f t="shared" si="42"/>
        <v>545.17417581482789</v>
      </c>
      <c r="CK17" s="197">
        <f t="shared" si="43"/>
        <v>-167.78283264675605</v>
      </c>
      <c r="CL17" s="199">
        <f t="shared" si="44"/>
        <v>116.8780662000181</v>
      </c>
      <c r="CM17" s="196">
        <f t="shared" si="68"/>
        <v>1933.8164750409996</v>
      </c>
      <c r="CN17" s="197">
        <f t="shared" si="45"/>
        <v>1841.3033717741962</v>
      </c>
      <c r="CO17" s="197">
        <f t="shared" si="46"/>
        <v>15304.155510925477</v>
      </c>
      <c r="CP17" s="197">
        <f t="shared" si="47"/>
        <v>-13370.339035884475</v>
      </c>
      <c r="CQ17" s="199">
        <f t="shared" si="48"/>
        <v>-11529.035664110281</v>
      </c>
      <c r="CR17" s="197"/>
      <c r="CT17" s="204">
        <f t="shared" si="69"/>
        <v>6</v>
      </c>
      <c r="CU17" s="225">
        <f>'Energy NPV'!$D70</f>
        <v>10</v>
      </c>
      <c r="CV17" s="197">
        <f>'Energy margins'!$S$12</f>
        <v>43.75</v>
      </c>
      <c r="CW17" s="197">
        <f t="shared" si="49"/>
        <v>437.5</v>
      </c>
      <c r="CX17" s="197">
        <f>'Margins summary'!$U$14</f>
        <v>330</v>
      </c>
      <c r="CY17" s="197">
        <f t="shared" si="50"/>
        <v>767.5</v>
      </c>
      <c r="CZ17" s="197"/>
      <c r="DA17" s="918">
        <f>'Energy NPV'!U70</f>
        <v>316.00314399999996</v>
      </c>
      <c r="DB17" s="197"/>
      <c r="DC17" s="197">
        <f t="shared" si="51"/>
        <v>0</v>
      </c>
      <c r="DD17" s="197">
        <f t="shared" si="8"/>
        <v>437.5</v>
      </c>
      <c r="DE17" s="197">
        <f t="shared" si="9"/>
        <v>767.5</v>
      </c>
      <c r="DF17" s="196">
        <f t="shared" si="52"/>
        <v>377.39134316807178</v>
      </c>
      <c r="DG17" s="197">
        <f t="shared" si="53"/>
        <v>284.66089884677416</v>
      </c>
      <c r="DH17" s="197">
        <f t="shared" si="54"/>
        <v>0</v>
      </c>
      <c r="DI17" s="197">
        <f t="shared" si="55"/>
        <v>377.39134316807178</v>
      </c>
      <c r="DJ17" s="199">
        <f t="shared" si="56"/>
        <v>662.052242014846</v>
      </c>
      <c r="DK17" s="196">
        <f t="shared" si="70"/>
        <v>1933.8164750409996</v>
      </c>
      <c r="DL17" s="197">
        <f t="shared" si="57"/>
        <v>1841.3033717741962</v>
      </c>
      <c r="DM17" s="197">
        <f t="shared" si="58"/>
        <v>0</v>
      </c>
      <c r="DN17" s="197">
        <f t="shared" si="59"/>
        <v>1933.8164750409996</v>
      </c>
      <c r="DO17" s="199">
        <f t="shared" si="60"/>
        <v>3775.1198468151961</v>
      </c>
    </row>
    <row r="18" spans="2:119" x14ac:dyDescent="0.3">
      <c r="B18" s="204">
        <f t="shared" si="61"/>
        <v>7</v>
      </c>
      <c r="C18" s="225">
        <f>'Energy NPV'!$D71</f>
        <v>10</v>
      </c>
      <c r="D18" s="197">
        <f>'Energy margins'!$S$12</f>
        <v>43.75</v>
      </c>
      <c r="E18" s="197">
        <f t="shared" si="10"/>
        <v>437.5</v>
      </c>
      <c r="F18" s="197">
        <f>'Margins summary'!$U$14</f>
        <v>330</v>
      </c>
      <c r="G18" s="197">
        <f t="shared" si="11"/>
        <v>767.5</v>
      </c>
      <c r="H18" s="197"/>
      <c r="I18" s="918">
        <f>'Energy NPV'!U71</f>
        <v>316.00314399999996</v>
      </c>
      <c r="J18" s="197"/>
      <c r="K18" s="197">
        <f t="shared" si="12"/>
        <v>316.00314399999996</v>
      </c>
      <c r="L18" s="197">
        <f t="shared" si="0"/>
        <v>121.49685600000004</v>
      </c>
      <c r="M18" s="197">
        <f t="shared" si="1"/>
        <v>451.49685600000004</v>
      </c>
      <c r="N18" s="196">
        <f t="shared" si="13"/>
        <v>366.39936229909881</v>
      </c>
      <c r="O18" s="197">
        <f t="shared" si="14"/>
        <v>276.36980470560593</v>
      </c>
      <c r="P18" s="197">
        <f t="shared" si="15"/>
        <v>264.64765816253777</v>
      </c>
      <c r="Q18" s="197">
        <f t="shared" si="16"/>
        <v>101.75170413656103</v>
      </c>
      <c r="R18" s="199">
        <f t="shared" si="17"/>
        <v>378.12150884216697</v>
      </c>
      <c r="S18" s="196">
        <f t="shared" si="62"/>
        <v>2300.2158373400985</v>
      </c>
      <c r="T18" s="197">
        <f t="shared" si="18"/>
        <v>2117.6731764798024</v>
      </c>
      <c r="U18" s="197">
        <f t="shared" si="18"/>
        <v>7916.7254136252759</v>
      </c>
      <c r="V18" s="197">
        <f t="shared" si="18"/>
        <v>-5616.5095762851779</v>
      </c>
      <c r="W18" s="199">
        <f t="shared" si="18"/>
        <v>-3498.8363998053746</v>
      </c>
      <c r="X18" s="197"/>
      <c r="Z18" s="204">
        <f t="shared" si="63"/>
        <v>7</v>
      </c>
      <c r="AA18" s="225">
        <f>'Energy NPV'!$D71</f>
        <v>10</v>
      </c>
      <c r="AB18" s="197">
        <f>'Energy margins'!$S$12</f>
        <v>43.75</v>
      </c>
      <c r="AC18" s="197">
        <f t="shared" si="19"/>
        <v>437.5</v>
      </c>
      <c r="AD18" s="197">
        <f>'Margins summary'!$U$14</f>
        <v>330</v>
      </c>
      <c r="AE18" s="197">
        <f t="shared" si="20"/>
        <v>767.5</v>
      </c>
      <c r="AF18" s="197"/>
      <c r="AG18" s="918">
        <f>'Energy NPV'!U71</f>
        <v>316.00314399999996</v>
      </c>
      <c r="AH18" s="197"/>
      <c r="AI18" s="197">
        <f t="shared" si="21"/>
        <v>474.00471599999992</v>
      </c>
      <c r="AJ18" s="197">
        <f t="shared" si="2"/>
        <v>-36.504715999999917</v>
      </c>
      <c r="AK18" s="197">
        <f t="shared" si="3"/>
        <v>293.49528400000008</v>
      </c>
      <c r="AL18" s="196">
        <f t="shared" si="22"/>
        <v>366.39936229909881</v>
      </c>
      <c r="AM18" s="197">
        <f t="shared" si="23"/>
        <v>276.36980470560593</v>
      </c>
      <c r="AN18" s="197">
        <f t="shared" si="24"/>
        <v>396.97148724380662</v>
      </c>
      <c r="AO18" s="197">
        <f t="shared" si="25"/>
        <v>-30.572124944707838</v>
      </c>
      <c r="AP18" s="199">
        <f t="shared" si="26"/>
        <v>245.79767976089812</v>
      </c>
      <c r="AQ18" s="196">
        <f t="shared" si="64"/>
        <v>2300.2158373400985</v>
      </c>
      <c r="AR18" s="197">
        <f t="shared" si="27"/>
        <v>2117.6731764798024</v>
      </c>
      <c r="AS18" s="197">
        <f t="shared" si="27"/>
        <v>11875.088120437913</v>
      </c>
      <c r="AT18" s="197">
        <f t="shared" si="27"/>
        <v>-9574.8722830978095</v>
      </c>
      <c r="AU18" s="199">
        <f t="shared" si="27"/>
        <v>-7457.1991066180135</v>
      </c>
      <c r="AV18" s="197"/>
      <c r="AX18" s="204">
        <f t="shared" si="65"/>
        <v>7</v>
      </c>
      <c r="AY18" s="225">
        <f>'Energy NPV'!$D71</f>
        <v>10</v>
      </c>
      <c r="AZ18" s="197">
        <f>'Energy margins'!$S$12</f>
        <v>43.75</v>
      </c>
      <c r="BA18" s="197">
        <f t="shared" si="28"/>
        <v>437.5</v>
      </c>
      <c r="BB18" s="197">
        <f>'Margins summary'!$U$14</f>
        <v>330</v>
      </c>
      <c r="BC18" s="197">
        <f t="shared" si="29"/>
        <v>767.5</v>
      </c>
      <c r="BD18" s="197"/>
      <c r="BE18" s="918">
        <f>'Energy NPV'!U71</f>
        <v>316.00314399999996</v>
      </c>
      <c r="BF18" s="197"/>
      <c r="BG18" s="197">
        <f t="shared" si="30"/>
        <v>158.00157199999998</v>
      </c>
      <c r="BH18" s="197">
        <f t="shared" si="4"/>
        <v>279.49842799999999</v>
      </c>
      <c r="BI18" s="197">
        <f t="shared" si="5"/>
        <v>609.49842799999999</v>
      </c>
      <c r="BJ18" s="196">
        <f t="shared" si="31"/>
        <v>366.39936229909881</v>
      </c>
      <c r="BK18" s="197">
        <f t="shared" si="32"/>
        <v>276.36980470560593</v>
      </c>
      <c r="BL18" s="197">
        <f t="shared" si="33"/>
        <v>132.32382908126888</v>
      </c>
      <c r="BM18" s="197">
        <f t="shared" si="34"/>
        <v>234.0755332178299</v>
      </c>
      <c r="BN18" s="199">
        <f t="shared" si="35"/>
        <v>510.44533792343583</v>
      </c>
      <c r="BO18" s="196">
        <f t="shared" si="66"/>
        <v>2300.2158373400985</v>
      </c>
      <c r="BP18" s="197">
        <f t="shared" si="36"/>
        <v>2117.6731764798024</v>
      </c>
      <c r="BQ18" s="197">
        <f t="shared" si="36"/>
        <v>3958.362706812638</v>
      </c>
      <c r="BR18" s="197">
        <f t="shared" si="36"/>
        <v>-1658.1468694725388</v>
      </c>
      <c r="BS18" s="199">
        <f t="shared" si="36"/>
        <v>459.52630700726269</v>
      </c>
      <c r="BT18" s="197"/>
      <c r="BV18" s="204">
        <f t="shared" si="67"/>
        <v>7</v>
      </c>
      <c r="BW18" s="225">
        <f>'Energy NPV'!$D71</f>
        <v>10</v>
      </c>
      <c r="BX18" s="197">
        <f>'Energy margins'!$S$12</f>
        <v>43.75</v>
      </c>
      <c r="BY18" s="197">
        <f t="shared" si="37"/>
        <v>437.5</v>
      </c>
      <c r="BZ18" s="197">
        <f>'Margins summary'!$U$14</f>
        <v>330</v>
      </c>
      <c r="CA18" s="197">
        <f t="shared" si="38"/>
        <v>767.5</v>
      </c>
      <c r="CB18" s="197"/>
      <c r="CC18" s="918">
        <f>'Energy NPV'!U71</f>
        <v>316.00314399999996</v>
      </c>
      <c r="CD18" s="197"/>
      <c r="CE18" s="197">
        <f t="shared" si="39"/>
        <v>632.00628799999993</v>
      </c>
      <c r="CF18" s="197">
        <f t="shared" si="6"/>
        <v>-194.50628799999993</v>
      </c>
      <c r="CG18" s="197">
        <f t="shared" si="7"/>
        <v>135.49371200000007</v>
      </c>
      <c r="CH18" s="196">
        <f t="shared" si="40"/>
        <v>366.39936229909881</v>
      </c>
      <c r="CI18" s="197">
        <f t="shared" si="41"/>
        <v>276.36980470560593</v>
      </c>
      <c r="CJ18" s="197">
        <f t="shared" si="42"/>
        <v>529.29531632507553</v>
      </c>
      <c r="CK18" s="197">
        <f t="shared" si="43"/>
        <v>-162.89595402597675</v>
      </c>
      <c r="CL18" s="199">
        <f t="shared" si="44"/>
        <v>113.47385067962921</v>
      </c>
      <c r="CM18" s="196">
        <f t="shared" si="68"/>
        <v>2300.2158373400985</v>
      </c>
      <c r="CN18" s="197">
        <f t="shared" si="45"/>
        <v>2117.6731764798024</v>
      </c>
      <c r="CO18" s="197">
        <f t="shared" si="46"/>
        <v>15833.450827250552</v>
      </c>
      <c r="CP18" s="197">
        <f t="shared" si="47"/>
        <v>-13533.234989910452</v>
      </c>
      <c r="CQ18" s="199">
        <f t="shared" si="48"/>
        <v>-11415.561813430651</v>
      </c>
      <c r="CR18" s="197"/>
      <c r="CT18" s="204">
        <f t="shared" si="69"/>
        <v>7</v>
      </c>
      <c r="CU18" s="225">
        <f>'Energy NPV'!$D71</f>
        <v>10</v>
      </c>
      <c r="CV18" s="197">
        <f>'Energy margins'!$S$12</f>
        <v>43.75</v>
      </c>
      <c r="CW18" s="197">
        <f t="shared" si="49"/>
        <v>437.5</v>
      </c>
      <c r="CX18" s="197">
        <f>'Margins summary'!$U$14</f>
        <v>330</v>
      </c>
      <c r="CY18" s="197">
        <f t="shared" si="50"/>
        <v>767.5</v>
      </c>
      <c r="CZ18" s="197"/>
      <c r="DA18" s="918">
        <f>'Energy NPV'!U71</f>
        <v>316.00314399999996</v>
      </c>
      <c r="DB18" s="197"/>
      <c r="DC18" s="197">
        <f t="shared" si="51"/>
        <v>0</v>
      </c>
      <c r="DD18" s="197">
        <f t="shared" si="8"/>
        <v>437.5</v>
      </c>
      <c r="DE18" s="197">
        <f t="shared" si="9"/>
        <v>767.5</v>
      </c>
      <c r="DF18" s="196">
        <f t="shared" si="52"/>
        <v>366.39936229909881</v>
      </c>
      <c r="DG18" s="197">
        <f t="shared" si="53"/>
        <v>276.36980470560593</v>
      </c>
      <c r="DH18" s="197">
        <f t="shared" si="54"/>
        <v>0</v>
      </c>
      <c r="DI18" s="197">
        <f t="shared" si="55"/>
        <v>366.39936229909881</v>
      </c>
      <c r="DJ18" s="199">
        <f t="shared" si="56"/>
        <v>642.76916700470474</v>
      </c>
      <c r="DK18" s="196">
        <f t="shared" si="70"/>
        <v>2300.2158373400985</v>
      </c>
      <c r="DL18" s="197">
        <f t="shared" si="57"/>
        <v>2117.6731764798024</v>
      </c>
      <c r="DM18" s="197">
        <f t="shared" si="58"/>
        <v>0</v>
      </c>
      <c r="DN18" s="197">
        <f t="shared" si="59"/>
        <v>2300.2158373400985</v>
      </c>
      <c r="DO18" s="199">
        <f t="shared" si="60"/>
        <v>4417.8890138199004</v>
      </c>
    </row>
    <row r="19" spans="2:119" x14ac:dyDescent="0.3">
      <c r="B19" s="204">
        <f t="shared" si="61"/>
        <v>8</v>
      </c>
      <c r="C19" s="225">
        <f>'Energy NPV'!$D72</f>
        <v>10</v>
      </c>
      <c r="D19" s="197">
        <f>'Energy margins'!$S$12</f>
        <v>43.75</v>
      </c>
      <c r="E19" s="197">
        <f t="shared" si="10"/>
        <v>437.5</v>
      </c>
      <c r="F19" s="197">
        <f>'Margins summary'!$U$14</f>
        <v>330</v>
      </c>
      <c r="G19" s="197">
        <f t="shared" si="11"/>
        <v>767.5</v>
      </c>
      <c r="H19" s="197"/>
      <c r="I19" s="918">
        <f>'Energy NPV'!U72</f>
        <v>316.00314399999996</v>
      </c>
      <c r="J19" s="197"/>
      <c r="K19" s="197">
        <f t="shared" si="12"/>
        <v>316.00314399999996</v>
      </c>
      <c r="L19" s="197">
        <f t="shared" si="0"/>
        <v>121.49685600000004</v>
      </c>
      <c r="M19" s="197">
        <f t="shared" si="1"/>
        <v>451.49685600000004</v>
      </c>
      <c r="N19" s="196">
        <f t="shared" si="13"/>
        <v>355.72753621271727</v>
      </c>
      <c r="O19" s="197">
        <f t="shared" si="14"/>
        <v>268.32019874330672</v>
      </c>
      <c r="P19" s="197">
        <f t="shared" si="15"/>
        <v>256.93947394421144</v>
      </c>
      <c r="Q19" s="197">
        <f t="shared" si="16"/>
        <v>98.788062268505854</v>
      </c>
      <c r="R19" s="199">
        <f t="shared" si="17"/>
        <v>367.1082610118126</v>
      </c>
      <c r="S19" s="196">
        <f t="shared" si="62"/>
        <v>2655.9433735528155</v>
      </c>
      <c r="T19" s="197">
        <f t="shared" si="18"/>
        <v>2385.9933752231091</v>
      </c>
      <c r="U19" s="197">
        <f t="shared" si="18"/>
        <v>8173.6648875694873</v>
      </c>
      <c r="V19" s="197">
        <f t="shared" si="18"/>
        <v>-5517.7215140166718</v>
      </c>
      <c r="W19" s="199">
        <f t="shared" si="18"/>
        <v>-3131.7281387935618</v>
      </c>
      <c r="X19" s="197"/>
      <c r="Z19" s="204">
        <f t="shared" si="63"/>
        <v>8</v>
      </c>
      <c r="AA19" s="225">
        <f>'Energy NPV'!$D72</f>
        <v>10</v>
      </c>
      <c r="AB19" s="197">
        <f>'Energy margins'!$S$12</f>
        <v>43.75</v>
      </c>
      <c r="AC19" s="197">
        <f t="shared" si="19"/>
        <v>437.5</v>
      </c>
      <c r="AD19" s="197">
        <f>'Margins summary'!$U$14</f>
        <v>330</v>
      </c>
      <c r="AE19" s="197">
        <f t="shared" si="20"/>
        <v>767.5</v>
      </c>
      <c r="AF19" s="197"/>
      <c r="AG19" s="918">
        <f>'Energy NPV'!U72</f>
        <v>316.00314399999996</v>
      </c>
      <c r="AH19" s="197"/>
      <c r="AI19" s="197">
        <f t="shared" si="21"/>
        <v>474.00471599999992</v>
      </c>
      <c r="AJ19" s="197">
        <f t="shared" si="2"/>
        <v>-36.504715999999917</v>
      </c>
      <c r="AK19" s="197">
        <f t="shared" si="3"/>
        <v>293.49528400000008</v>
      </c>
      <c r="AL19" s="196">
        <f t="shared" si="22"/>
        <v>355.72753621271727</v>
      </c>
      <c r="AM19" s="197">
        <f t="shared" si="23"/>
        <v>268.32019874330672</v>
      </c>
      <c r="AN19" s="197">
        <f t="shared" si="24"/>
        <v>385.40921091631708</v>
      </c>
      <c r="AO19" s="197">
        <f t="shared" si="25"/>
        <v>-29.681674703599839</v>
      </c>
      <c r="AP19" s="199">
        <f t="shared" si="26"/>
        <v>238.63852403970691</v>
      </c>
      <c r="AQ19" s="196">
        <f t="shared" si="64"/>
        <v>2655.9433735528155</v>
      </c>
      <c r="AR19" s="197">
        <f t="shared" si="27"/>
        <v>2385.9933752231091</v>
      </c>
      <c r="AS19" s="197">
        <f t="shared" si="27"/>
        <v>12260.49733135423</v>
      </c>
      <c r="AT19" s="197">
        <f t="shared" si="27"/>
        <v>-9604.5539578014086</v>
      </c>
      <c r="AU19" s="199">
        <f t="shared" si="27"/>
        <v>-7218.5605825783068</v>
      </c>
      <c r="AV19" s="197"/>
      <c r="AX19" s="204">
        <f t="shared" si="65"/>
        <v>8</v>
      </c>
      <c r="AY19" s="225">
        <f>'Energy NPV'!$D72</f>
        <v>10</v>
      </c>
      <c r="AZ19" s="197">
        <f>'Energy margins'!$S$12</f>
        <v>43.75</v>
      </c>
      <c r="BA19" s="197">
        <f t="shared" si="28"/>
        <v>437.5</v>
      </c>
      <c r="BB19" s="197">
        <f>'Margins summary'!$U$14</f>
        <v>330</v>
      </c>
      <c r="BC19" s="197">
        <f t="shared" si="29"/>
        <v>767.5</v>
      </c>
      <c r="BD19" s="197"/>
      <c r="BE19" s="918">
        <f>'Energy NPV'!U72</f>
        <v>316.00314399999996</v>
      </c>
      <c r="BF19" s="197"/>
      <c r="BG19" s="197">
        <f t="shared" si="30"/>
        <v>158.00157199999998</v>
      </c>
      <c r="BH19" s="197">
        <f t="shared" si="4"/>
        <v>279.49842799999999</v>
      </c>
      <c r="BI19" s="197">
        <f t="shared" si="5"/>
        <v>609.49842799999999</v>
      </c>
      <c r="BJ19" s="196">
        <f t="shared" si="31"/>
        <v>355.72753621271727</v>
      </c>
      <c r="BK19" s="197">
        <f t="shared" si="32"/>
        <v>268.32019874330672</v>
      </c>
      <c r="BL19" s="197">
        <f t="shared" si="33"/>
        <v>128.46973697210572</v>
      </c>
      <c r="BM19" s="197">
        <f t="shared" si="34"/>
        <v>227.25779924061155</v>
      </c>
      <c r="BN19" s="199">
        <f t="shared" si="35"/>
        <v>495.57799798391829</v>
      </c>
      <c r="BO19" s="196">
        <f t="shared" si="66"/>
        <v>2655.9433735528155</v>
      </c>
      <c r="BP19" s="197">
        <f t="shared" si="36"/>
        <v>2385.9933752231091</v>
      </c>
      <c r="BQ19" s="197">
        <f t="shared" si="36"/>
        <v>4086.8324437847436</v>
      </c>
      <c r="BR19" s="197">
        <f t="shared" si="36"/>
        <v>-1430.8890702319272</v>
      </c>
      <c r="BS19" s="199">
        <f t="shared" si="36"/>
        <v>955.10430499118092</v>
      </c>
      <c r="BT19" s="197"/>
      <c r="BV19" s="204">
        <f t="shared" si="67"/>
        <v>8</v>
      </c>
      <c r="BW19" s="225">
        <f>'Energy NPV'!$D72</f>
        <v>10</v>
      </c>
      <c r="BX19" s="197">
        <f>'Energy margins'!$S$12</f>
        <v>43.75</v>
      </c>
      <c r="BY19" s="197">
        <f t="shared" si="37"/>
        <v>437.5</v>
      </c>
      <c r="BZ19" s="197">
        <f>'Margins summary'!$U$14</f>
        <v>330</v>
      </c>
      <c r="CA19" s="197">
        <f t="shared" si="38"/>
        <v>767.5</v>
      </c>
      <c r="CB19" s="197"/>
      <c r="CC19" s="918">
        <f>'Energy NPV'!U72</f>
        <v>316.00314399999996</v>
      </c>
      <c r="CD19" s="197"/>
      <c r="CE19" s="197">
        <f t="shared" si="39"/>
        <v>632.00628799999993</v>
      </c>
      <c r="CF19" s="197">
        <f t="shared" si="6"/>
        <v>-194.50628799999993</v>
      </c>
      <c r="CG19" s="197">
        <f t="shared" si="7"/>
        <v>135.49371200000007</v>
      </c>
      <c r="CH19" s="196">
        <f t="shared" si="40"/>
        <v>355.72753621271727</v>
      </c>
      <c r="CI19" s="197">
        <f t="shared" si="41"/>
        <v>268.32019874330672</v>
      </c>
      <c r="CJ19" s="197">
        <f t="shared" si="42"/>
        <v>513.87894788842289</v>
      </c>
      <c r="CK19" s="197">
        <f t="shared" si="43"/>
        <v>-158.15141167570556</v>
      </c>
      <c r="CL19" s="199">
        <f t="shared" si="44"/>
        <v>110.16878706760117</v>
      </c>
      <c r="CM19" s="196">
        <f t="shared" si="68"/>
        <v>2655.9433735528155</v>
      </c>
      <c r="CN19" s="197">
        <f t="shared" si="45"/>
        <v>2385.9933752231091</v>
      </c>
      <c r="CO19" s="197">
        <f t="shared" si="46"/>
        <v>16347.329775138975</v>
      </c>
      <c r="CP19" s="197">
        <f t="shared" si="47"/>
        <v>-13691.386401586158</v>
      </c>
      <c r="CQ19" s="199">
        <f t="shared" si="48"/>
        <v>-11305.39302636305</v>
      </c>
      <c r="CR19" s="197"/>
      <c r="CT19" s="204">
        <f t="shared" si="69"/>
        <v>8</v>
      </c>
      <c r="CU19" s="225">
        <f>'Energy NPV'!$D72</f>
        <v>10</v>
      </c>
      <c r="CV19" s="197">
        <f>'Energy margins'!$S$12</f>
        <v>43.75</v>
      </c>
      <c r="CW19" s="197">
        <f t="shared" si="49"/>
        <v>437.5</v>
      </c>
      <c r="CX19" s="197">
        <f>'Margins summary'!$U$14</f>
        <v>330</v>
      </c>
      <c r="CY19" s="197">
        <f t="shared" si="50"/>
        <v>767.5</v>
      </c>
      <c r="CZ19" s="197"/>
      <c r="DA19" s="918">
        <f>'Energy NPV'!U72</f>
        <v>316.00314399999996</v>
      </c>
      <c r="DB19" s="197"/>
      <c r="DC19" s="197">
        <f t="shared" si="51"/>
        <v>0</v>
      </c>
      <c r="DD19" s="197">
        <f t="shared" si="8"/>
        <v>437.5</v>
      </c>
      <c r="DE19" s="197">
        <f t="shared" si="9"/>
        <v>767.5</v>
      </c>
      <c r="DF19" s="196">
        <f t="shared" si="52"/>
        <v>355.72753621271727</v>
      </c>
      <c r="DG19" s="197">
        <f t="shared" si="53"/>
        <v>268.32019874330672</v>
      </c>
      <c r="DH19" s="197">
        <f t="shared" si="54"/>
        <v>0</v>
      </c>
      <c r="DI19" s="197">
        <f t="shared" si="55"/>
        <v>355.72753621271727</v>
      </c>
      <c r="DJ19" s="199">
        <f t="shared" si="56"/>
        <v>624.04773495602399</v>
      </c>
      <c r="DK19" s="196">
        <f t="shared" si="70"/>
        <v>2655.9433735528155</v>
      </c>
      <c r="DL19" s="197">
        <f t="shared" si="57"/>
        <v>2385.9933752231091</v>
      </c>
      <c r="DM19" s="197">
        <f t="shared" si="58"/>
        <v>0</v>
      </c>
      <c r="DN19" s="197">
        <f t="shared" si="59"/>
        <v>2655.9433735528155</v>
      </c>
      <c r="DO19" s="199">
        <f t="shared" si="60"/>
        <v>5041.9367487759246</v>
      </c>
    </row>
    <row r="20" spans="2:119" x14ac:dyDescent="0.3">
      <c r="B20" s="204">
        <f t="shared" si="61"/>
        <v>9</v>
      </c>
      <c r="C20" s="225">
        <f>'Energy NPV'!$D73</f>
        <v>10</v>
      </c>
      <c r="D20" s="197">
        <f>'Energy margins'!$S$12</f>
        <v>43.75</v>
      </c>
      <c r="E20" s="197">
        <f t="shared" si="10"/>
        <v>437.5</v>
      </c>
      <c r="F20" s="197">
        <f>'Margins summary'!$U$14</f>
        <v>330</v>
      </c>
      <c r="G20" s="197">
        <f t="shared" si="11"/>
        <v>767.5</v>
      </c>
      <c r="H20" s="197"/>
      <c r="I20" s="918">
        <f>'Energy NPV'!U73</f>
        <v>316.00314399999996</v>
      </c>
      <c r="J20" s="197"/>
      <c r="K20" s="197">
        <f t="shared" si="12"/>
        <v>316.00314399999996</v>
      </c>
      <c r="L20" s="197">
        <f t="shared" si="0"/>
        <v>121.49685600000004</v>
      </c>
      <c r="M20" s="197">
        <f t="shared" si="1"/>
        <v>451.49685600000004</v>
      </c>
      <c r="N20" s="196">
        <f t="shared" si="13"/>
        <v>345.36654001234689</v>
      </c>
      <c r="O20" s="197">
        <f t="shared" si="14"/>
        <v>260.50504732359883</v>
      </c>
      <c r="P20" s="197">
        <f t="shared" si="15"/>
        <v>249.45579994583636</v>
      </c>
      <c r="Q20" s="197">
        <f t="shared" si="16"/>
        <v>95.910740066510542</v>
      </c>
      <c r="R20" s="199">
        <f t="shared" si="17"/>
        <v>356.41578739010936</v>
      </c>
      <c r="S20" s="196">
        <f t="shared" si="62"/>
        <v>3001.3099135651623</v>
      </c>
      <c r="T20" s="197">
        <f t="shared" si="18"/>
        <v>2646.4984225467078</v>
      </c>
      <c r="U20" s="197">
        <f t="shared" si="18"/>
        <v>8423.1206875153239</v>
      </c>
      <c r="V20" s="197">
        <f t="shared" si="18"/>
        <v>-5421.8107739501611</v>
      </c>
      <c r="W20" s="199">
        <f t="shared" si="18"/>
        <v>-2775.3123514034523</v>
      </c>
      <c r="X20" s="197"/>
      <c r="Z20" s="204">
        <f t="shared" si="63"/>
        <v>9</v>
      </c>
      <c r="AA20" s="225">
        <f>'Energy NPV'!$D73</f>
        <v>10</v>
      </c>
      <c r="AB20" s="197">
        <f>'Energy margins'!$S$12</f>
        <v>43.75</v>
      </c>
      <c r="AC20" s="197">
        <f t="shared" si="19"/>
        <v>437.5</v>
      </c>
      <c r="AD20" s="197">
        <f>'Margins summary'!$U$14</f>
        <v>330</v>
      </c>
      <c r="AE20" s="197">
        <f t="shared" si="20"/>
        <v>767.5</v>
      </c>
      <c r="AF20" s="197"/>
      <c r="AG20" s="918">
        <f>'Energy NPV'!U73</f>
        <v>316.00314399999996</v>
      </c>
      <c r="AH20" s="197"/>
      <c r="AI20" s="197">
        <f t="shared" si="21"/>
        <v>474.00471599999992</v>
      </c>
      <c r="AJ20" s="197">
        <f t="shared" si="2"/>
        <v>-36.504715999999917</v>
      </c>
      <c r="AK20" s="197">
        <f t="shared" si="3"/>
        <v>293.49528400000008</v>
      </c>
      <c r="AL20" s="196">
        <f t="shared" si="22"/>
        <v>345.36654001234689</v>
      </c>
      <c r="AM20" s="197">
        <f t="shared" si="23"/>
        <v>260.50504732359883</v>
      </c>
      <c r="AN20" s="197">
        <f t="shared" si="24"/>
        <v>374.18369991875454</v>
      </c>
      <c r="AO20" s="197">
        <f t="shared" si="25"/>
        <v>-28.817159906407614</v>
      </c>
      <c r="AP20" s="199">
        <f t="shared" si="26"/>
        <v>231.68788741719121</v>
      </c>
      <c r="AQ20" s="196">
        <f t="shared" si="64"/>
        <v>3001.3099135651623</v>
      </c>
      <c r="AR20" s="197">
        <f t="shared" si="27"/>
        <v>2646.4984225467078</v>
      </c>
      <c r="AS20" s="197">
        <f t="shared" si="27"/>
        <v>12634.681031272985</v>
      </c>
      <c r="AT20" s="197">
        <f t="shared" si="27"/>
        <v>-9633.3711177078167</v>
      </c>
      <c r="AU20" s="199">
        <f t="shared" si="27"/>
        <v>-6986.8726951611152</v>
      </c>
      <c r="AV20" s="197"/>
      <c r="AX20" s="204">
        <f t="shared" si="65"/>
        <v>9</v>
      </c>
      <c r="AY20" s="225">
        <f>'Energy NPV'!$D73</f>
        <v>10</v>
      </c>
      <c r="AZ20" s="197">
        <f>'Energy margins'!$S$12</f>
        <v>43.75</v>
      </c>
      <c r="BA20" s="197">
        <f t="shared" si="28"/>
        <v>437.5</v>
      </c>
      <c r="BB20" s="197">
        <f>'Margins summary'!$U$14</f>
        <v>330</v>
      </c>
      <c r="BC20" s="197">
        <f t="shared" si="29"/>
        <v>767.5</v>
      </c>
      <c r="BD20" s="197"/>
      <c r="BE20" s="918">
        <f>'Energy NPV'!U73</f>
        <v>316.00314399999996</v>
      </c>
      <c r="BF20" s="197"/>
      <c r="BG20" s="197">
        <f t="shared" si="30"/>
        <v>158.00157199999998</v>
      </c>
      <c r="BH20" s="197">
        <f t="shared" si="4"/>
        <v>279.49842799999999</v>
      </c>
      <c r="BI20" s="197">
        <f t="shared" si="5"/>
        <v>609.49842799999999</v>
      </c>
      <c r="BJ20" s="196">
        <f t="shared" si="31"/>
        <v>345.36654001234689</v>
      </c>
      <c r="BK20" s="197">
        <f t="shared" si="32"/>
        <v>260.50504732359883</v>
      </c>
      <c r="BL20" s="197">
        <f t="shared" si="33"/>
        <v>124.72789997291818</v>
      </c>
      <c r="BM20" s="197">
        <f t="shared" si="34"/>
        <v>220.63864003942871</v>
      </c>
      <c r="BN20" s="199">
        <f t="shared" si="35"/>
        <v>481.14368736302748</v>
      </c>
      <c r="BO20" s="196">
        <f t="shared" si="66"/>
        <v>3001.3099135651623</v>
      </c>
      <c r="BP20" s="197">
        <f t="shared" si="36"/>
        <v>2646.4984225467078</v>
      </c>
      <c r="BQ20" s="197">
        <f t="shared" si="36"/>
        <v>4211.5603437576619</v>
      </c>
      <c r="BR20" s="197">
        <f t="shared" si="36"/>
        <v>-1210.2504301924985</v>
      </c>
      <c r="BS20" s="199">
        <f t="shared" si="36"/>
        <v>1436.2479923542085</v>
      </c>
      <c r="BT20" s="197"/>
      <c r="BV20" s="204">
        <f t="shared" si="67"/>
        <v>9</v>
      </c>
      <c r="BW20" s="225">
        <f>'Energy NPV'!$D73</f>
        <v>10</v>
      </c>
      <c r="BX20" s="197">
        <f>'Energy margins'!$S$12</f>
        <v>43.75</v>
      </c>
      <c r="BY20" s="197">
        <f t="shared" si="37"/>
        <v>437.5</v>
      </c>
      <c r="BZ20" s="197">
        <f>'Margins summary'!$U$14</f>
        <v>330</v>
      </c>
      <c r="CA20" s="197">
        <f t="shared" si="38"/>
        <v>767.5</v>
      </c>
      <c r="CB20" s="197"/>
      <c r="CC20" s="918">
        <f>'Energy NPV'!U73</f>
        <v>316.00314399999996</v>
      </c>
      <c r="CD20" s="197"/>
      <c r="CE20" s="197">
        <f t="shared" si="39"/>
        <v>632.00628799999993</v>
      </c>
      <c r="CF20" s="197">
        <f t="shared" si="6"/>
        <v>-194.50628799999993</v>
      </c>
      <c r="CG20" s="197">
        <f t="shared" si="7"/>
        <v>135.49371200000007</v>
      </c>
      <c r="CH20" s="196">
        <f t="shared" si="40"/>
        <v>345.36654001234689</v>
      </c>
      <c r="CI20" s="197">
        <f t="shared" si="41"/>
        <v>260.50504732359883</v>
      </c>
      <c r="CJ20" s="197">
        <f t="shared" si="42"/>
        <v>498.91159989167272</v>
      </c>
      <c r="CK20" s="197">
        <f t="shared" si="43"/>
        <v>-153.54505987932581</v>
      </c>
      <c r="CL20" s="199">
        <f t="shared" si="44"/>
        <v>106.95998744427298</v>
      </c>
      <c r="CM20" s="196">
        <f t="shared" si="68"/>
        <v>3001.3099135651623</v>
      </c>
      <c r="CN20" s="197">
        <f t="shared" si="45"/>
        <v>2646.4984225467078</v>
      </c>
      <c r="CO20" s="197">
        <f t="shared" si="46"/>
        <v>16846.241375030648</v>
      </c>
      <c r="CP20" s="197">
        <f t="shared" si="47"/>
        <v>-13844.931461465483</v>
      </c>
      <c r="CQ20" s="199">
        <f t="shared" si="48"/>
        <v>-11198.433038918776</v>
      </c>
      <c r="CR20" s="197"/>
      <c r="CT20" s="204">
        <f t="shared" si="69"/>
        <v>9</v>
      </c>
      <c r="CU20" s="225">
        <f>'Energy NPV'!$D73</f>
        <v>10</v>
      </c>
      <c r="CV20" s="197">
        <f>'Energy margins'!$S$12</f>
        <v>43.75</v>
      </c>
      <c r="CW20" s="197">
        <f t="shared" si="49"/>
        <v>437.5</v>
      </c>
      <c r="CX20" s="197">
        <f>'Margins summary'!$U$14</f>
        <v>330</v>
      </c>
      <c r="CY20" s="197">
        <f t="shared" si="50"/>
        <v>767.5</v>
      </c>
      <c r="CZ20" s="197"/>
      <c r="DA20" s="918">
        <f>'Energy NPV'!U73</f>
        <v>316.00314399999996</v>
      </c>
      <c r="DB20" s="197"/>
      <c r="DC20" s="197">
        <f t="shared" si="51"/>
        <v>0</v>
      </c>
      <c r="DD20" s="197">
        <f t="shared" si="8"/>
        <v>437.5</v>
      </c>
      <c r="DE20" s="197">
        <f t="shared" si="9"/>
        <v>767.5</v>
      </c>
      <c r="DF20" s="196">
        <f t="shared" si="52"/>
        <v>345.36654001234689</v>
      </c>
      <c r="DG20" s="197">
        <f t="shared" si="53"/>
        <v>260.50504732359883</v>
      </c>
      <c r="DH20" s="197">
        <f t="shared" si="54"/>
        <v>0</v>
      </c>
      <c r="DI20" s="197">
        <f t="shared" si="55"/>
        <v>345.36654001234689</v>
      </c>
      <c r="DJ20" s="199">
        <f t="shared" si="56"/>
        <v>605.87158733594572</v>
      </c>
      <c r="DK20" s="196">
        <f t="shared" si="70"/>
        <v>3001.3099135651623</v>
      </c>
      <c r="DL20" s="197">
        <f t="shared" si="57"/>
        <v>2646.4984225467078</v>
      </c>
      <c r="DM20" s="197">
        <f t="shared" si="58"/>
        <v>0</v>
      </c>
      <c r="DN20" s="197">
        <f t="shared" si="59"/>
        <v>3001.3099135651623</v>
      </c>
      <c r="DO20" s="199">
        <f t="shared" si="60"/>
        <v>5647.8083361118706</v>
      </c>
    </row>
    <row r="21" spans="2:119" x14ac:dyDescent="0.3">
      <c r="B21" s="204">
        <f t="shared" si="61"/>
        <v>10</v>
      </c>
      <c r="C21" s="225">
        <f>'Energy NPV'!$D74</f>
        <v>10</v>
      </c>
      <c r="D21" s="197">
        <f>'Energy margins'!$S$12</f>
        <v>43.75</v>
      </c>
      <c r="E21" s="197">
        <f t="shared" si="10"/>
        <v>437.5</v>
      </c>
      <c r="F21" s="197">
        <f>'Margins summary'!$U$14</f>
        <v>330</v>
      </c>
      <c r="G21" s="197">
        <f t="shared" si="11"/>
        <v>767.5</v>
      </c>
      <c r="H21" s="197"/>
      <c r="I21" s="918">
        <f>'Energy NPV'!U74</f>
        <v>316.00314399999996</v>
      </c>
      <c r="J21" s="197"/>
      <c r="K21" s="197">
        <f t="shared" si="12"/>
        <v>316.00314399999996</v>
      </c>
      <c r="L21" s="197">
        <f t="shared" si="0"/>
        <v>121.49685600000004</v>
      </c>
      <c r="M21" s="197">
        <f t="shared" si="1"/>
        <v>451.49685600000004</v>
      </c>
      <c r="N21" s="196">
        <f t="shared" si="13"/>
        <v>335.30732040033678</v>
      </c>
      <c r="O21" s="197">
        <f t="shared" si="14"/>
        <v>252.91752167339689</v>
      </c>
      <c r="P21" s="197">
        <f t="shared" si="15"/>
        <v>242.19009703479259</v>
      </c>
      <c r="Q21" s="197">
        <f t="shared" si="16"/>
        <v>93.11722336554422</v>
      </c>
      <c r="R21" s="199">
        <f t="shared" si="17"/>
        <v>346.03474503894108</v>
      </c>
      <c r="S21" s="196">
        <f t="shared" si="62"/>
        <v>3336.6172339654991</v>
      </c>
      <c r="T21" s="197">
        <f t="shared" si="18"/>
        <v>2899.4159442201048</v>
      </c>
      <c r="U21" s="197">
        <f t="shared" si="18"/>
        <v>8665.3107845501163</v>
      </c>
      <c r="V21" s="197">
        <f t="shared" si="18"/>
        <v>-5328.6935505846168</v>
      </c>
      <c r="W21" s="199">
        <f t="shared" si="18"/>
        <v>-2429.2776063645115</v>
      </c>
      <c r="X21" s="197"/>
      <c r="Z21" s="204">
        <f t="shared" si="63"/>
        <v>10</v>
      </c>
      <c r="AA21" s="225">
        <f>'Energy NPV'!$D74</f>
        <v>10</v>
      </c>
      <c r="AB21" s="197">
        <f>'Energy margins'!$S$12</f>
        <v>43.75</v>
      </c>
      <c r="AC21" s="197">
        <f t="shared" si="19"/>
        <v>437.5</v>
      </c>
      <c r="AD21" s="197">
        <f>'Margins summary'!$U$14</f>
        <v>330</v>
      </c>
      <c r="AE21" s="197">
        <f t="shared" si="20"/>
        <v>767.5</v>
      </c>
      <c r="AF21" s="197"/>
      <c r="AG21" s="918">
        <f>'Energy NPV'!U74</f>
        <v>316.00314399999996</v>
      </c>
      <c r="AH21" s="197"/>
      <c r="AI21" s="197">
        <f t="shared" si="21"/>
        <v>474.00471599999992</v>
      </c>
      <c r="AJ21" s="197">
        <f t="shared" si="2"/>
        <v>-36.504715999999917</v>
      </c>
      <c r="AK21" s="197">
        <f t="shared" si="3"/>
        <v>293.49528400000008</v>
      </c>
      <c r="AL21" s="196">
        <f t="shared" si="22"/>
        <v>335.30732040033678</v>
      </c>
      <c r="AM21" s="197">
        <f t="shared" si="23"/>
        <v>252.91752167339689</v>
      </c>
      <c r="AN21" s="197">
        <f t="shared" si="24"/>
        <v>363.28514555218885</v>
      </c>
      <c r="AO21" s="197">
        <f t="shared" si="25"/>
        <v>-27.977825151852052</v>
      </c>
      <c r="AP21" s="199">
        <f t="shared" si="26"/>
        <v>224.93969652154485</v>
      </c>
      <c r="AQ21" s="196">
        <f t="shared" si="64"/>
        <v>3336.6172339654991</v>
      </c>
      <c r="AR21" s="197">
        <f t="shared" si="27"/>
        <v>2899.4159442201048</v>
      </c>
      <c r="AS21" s="197">
        <f t="shared" si="27"/>
        <v>12997.966176825174</v>
      </c>
      <c r="AT21" s="197">
        <f t="shared" si="27"/>
        <v>-9661.3489428596695</v>
      </c>
      <c r="AU21" s="199">
        <f t="shared" si="27"/>
        <v>-6761.9329986395705</v>
      </c>
      <c r="AV21" s="197"/>
      <c r="AX21" s="204">
        <f t="shared" si="65"/>
        <v>10</v>
      </c>
      <c r="AY21" s="225">
        <f>'Energy NPV'!$D74</f>
        <v>10</v>
      </c>
      <c r="AZ21" s="197">
        <f>'Energy margins'!$S$12</f>
        <v>43.75</v>
      </c>
      <c r="BA21" s="197">
        <f t="shared" si="28"/>
        <v>437.5</v>
      </c>
      <c r="BB21" s="197">
        <f>'Margins summary'!$U$14</f>
        <v>330</v>
      </c>
      <c r="BC21" s="197">
        <f t="shared" si="29"/>
        <v>767.5</v>
      </c>
      <c r="BD21" s="197"/>
      <c r="BE21" s="918">
        <f>'Energy NPV'!U74</f>
        <v>316.00314399999996</v>
      </c>
      <c r="BF21" s="197"/>
      <c r="BG21" s="197">
        <f t="shared" si="30"/>
        <v>158.00157199999998</v>
      </c>
      <c r="BH21" s="197">
        <f t="shared" si="4"/>
        <v>279.49842799999999</v>
      </c>
      <c r="BI21" s="197">
        <f t="shared" si="5"/>
        <v>609.49842799999999</v>
      </c>
      <c r="BJ21" s="196">
        <f t="shared" si="31"/>
        <v>335.30732040033678</v>
      </c>
      <c r="BK21" s="197">
        <f t="shared" si="32"/>
        <v>252.91752167339689</v>
      </c>
      <c r="BL21" s="197">
        <f t="shared" si="33"/>
        <v>121.09504851739629</v>
      </c>
      <c r="BM21" s="197">
        <f t="shared" si="34"/>
        <v>214.21227188294048</v>
      </c>
      <c r="BN21" s="199">
        <f t="shared" si="35"/>
        <v>467.12979355633735</v>
      </c>
      <c r="BO21" s="196">
        <f t="shared" si="66"/>
        <v>3336.6172339654991</v>
      </c>
      <c r="BP21" s="197">
        <f t="shared" si="36"/>
        <v>2899.4159442201048</v>
      </c>
      <c r="BQ21" s="197">
        <f t="shared" si="36"/>
        <v>4332.6553922750581</v>
      </c>
      <c r="BR21" s="197">
        <f t="shared" si="36"/>
        <v>-996.03815830955796</v>
      </c>
      <c r="BS21" s="199">
        <f t="shared" si="36"/>
        <v>1903.3777859105458</v>
      </c>
      <c r="BT21" s="197"/>
      <c r="BV21" s="204">
        <f t="shared" si="67"/>
        <v>10</v>
      </c>
      <c r="BW21" s="225">
        <f>'Energy NPV'!$D74</f>
        <v>10</v>
      </c>
      <c r="BX21" s="197">
        <f>'Energy margins'!$S$12</f>
        <v>43.75</v>
      </c>
      <c r="BY21" s="197">
        <f t="shared" si="37"/>
        <v>437.5</v>
      </c>
      <c r="BZ21" s="197">
        <f>'Margins summary'!$U$14</f>
        <v>330</v>
      </c>
      <c r="CA21" s="197">
        <f t="shared" si="38"/>
        <v>767.5</v>
      </c>
      <c r="CB21" s="197"/>
      <c r="CC21" s="918">
        <f>'Energy NPV'!U74</f>
        <v>316.00314399999996</v>
      </c>
      <c r="CD21" s="197"/>
      <c r="CE21" s="197">
        <f t="shared" si="39"/>
        <v>632.00628799999993</v>
      </c>
      <c r="CF21" s="197">
        <f t="shared" si="6"/>
        <v>-194.50628799999993</v>
      </c>
      <c r="CG21" s="197">
        <f t="shared" si="7"/>
        <v>135.49371200000007</v>
      </c>
      <c r="CH21" s="196">
        <f t="shared" si="40"/>
        <v>335.30732040033678</v>
      </c>
      <c r="CI21" s="197">
        <f t="shared" si="41"/>
        <v>252.91752167339689</v>
      </c>
      <c r="CJ21" s="197">
        <f t="shared" si="42"/>
        <v>484.38019406958517</v>
      </c>
      <c r="CK21" s="197">
        <f t="shared" si="43"/>
        <v>-149.07287366924837</v>
      </c>
      <c r="CL21" s="199">
        <f t="shared" si="44"/>
        <v>103.84464800414852</v>
      </c>
      <c r="CM21" s="196">
        <f t="shared" si="68"/>
        <v>3336.6172339654991</v>
      </c>
      <c r="CN21" s="197">
        <f t="shared" si="45"/>
        <v>2899.4159442201048</v>
      </c>
      <c r="CO21" s="197">
        <f t="shared" si="46"/>
        <v>17330.621569100233</v>
      </c>
      <c r="CP21" s="197">
        <f t="shared" si="47"/>
        <v>-13994.004335134732</v>
      </c>
      <c r="CQ21" s="199">
        <f t="shared" si="48"/>
        <v>-11094.588390914627</v>
      </c>
      <c r="CR21" s="197"/>
      <c r="CT21" s="204">
        <f t="shared" si="69"/>
        <v>10</v>
      </c>
      <c r="CU21" s="225">
        <f>'Energy NPV'!$D74</f>
        <v>10</v>
      </c>
      <c r="CV21" s="197">
        <f>'Energy margins'!$S$12</f>
        <v>43.75</v>
      </c>
      <c r="CW21" s="197">
        <f t="shared" si="49"/>
        <v>437.5</v>
      </c>
      <c r="CX21" s="197">
        <f>'Margins summary'!$U$14</f>
        <v>330</v>
      </c>
      <c r="CY21" s="197">
        <f t="shared" si="50"/>
        <v>767.5</v>
      </c>
      <c r="CZ21" s="197"/>
      <c r="DA21" s="918">
        <f>'Energy NPV'!U74</f>
        <v>316.00314399999996</v>
      </c>
      <c r="DB21" s="197"/>
      <c r="DC21" s="197">
        <f t="shared" si="51"/>
        <v>0</v>
      </c>
      <c r="DD21" s="197">
        <f t="shared" si="8"/>
        <v>437.5</v>
      </c>
      <c r="DE21" s="197">
        <f t="shared" si="9"/>
        <v>767.5</v>
      </c>
      <c r="DF21" s="196">
        <f t="shared" si="52"/>
        <v>335.30732040033678</v>
      </c>
      <c r="DG21" s="197">
        <f t="shared" si="53"/>
        <v>252.91752167339689</v>
      </c>
      <c r="DH21" s="197">
        <f t="shared" si="54"/>
        <v>0</v>
      </c>
      <c r="DI21" s="197">
        <f t="shared" si="55"/>
        <v>335.30732040033678</v>
      </c>
      <c r="DJ21" s="199">
        <f t="shared" si="56"/>
        <v>588.22484207373373</v>
      </c>
      <c r="DK21" s="196">
        <f t="shared" si="70"/>
        <v>3336.6172339654991</v>
      </c>
      <c r="DL21" s="197">
        <f t="shared" si="57"/>
        <v>2899.4159442201048</v>
      </c>
      <c r="DM21" s="197">
        <f t="shared" si="58"/>
        <v>0</v>
      </c>
      <c r="DN21" s="197">
        <f t="shared" si="59"/>
        <v>3336.6172339654991</v>
      </c>
      <c r="DO21" s="199">
        <f t="shared" si="60"/>
        <v>6236.0331781856039</v>
      </c>
    </row>
    <row r="22" spans="2:119" x14ac:dyDescent="0.3">
      <c r="B22" s="204">
        <f t="shared" si="61"/>
        <v>11</v>
      </c>
      <c r="C22" s="225">
        <f>'Energy NPV'!$D75</f>
        <v>10</v>
      </c>
      <c r="D22" s="197">
        <f>'Energy margins'!$S$12</f>
        <v>43.75</v>
      </c>
      <c r="E22" s="197">
        <f t="shared" si="10"/>
        <v>437.5</v>
      </c>
      <c r="F22" s="197">
        <f>'Margins summary'!$U$14</f>
        <v>330</v>
      </c>
      <c r="G22" s="197">
        <f t="shared" si="11"/>
        <v>767.5</v>
      </c>
      <c r="H22" s="197"/>
      <c r="I22" s="918">
        <f>'Energy NPV'!U75</f>
        <v>316.00314399999996</v>
      </c>
      <c r="J22" s="197"/>
      <c r="K22" s="197">
        <f t="shared" si="12"/>
        <v>316.00314399999996</v>
      </c>
      <c r="L22" s="197">
        <f t="shared" si="0"/>
        <v>121.49685600000004</v>
      </c>
      <c r="M22" s="197">
        <f t="shared" si="1"/>
        <v>451.49685600000004</v>
      </c>
      <c r="N22" s="196">
        <f t="shared" si="13"/>
        <v>325.54108776731726</v>
      </c>
      <c r="O22" s="197">
        <f t="shared" si="14"/>
        <v>245.55099191591933</v>
      </c>
      <c r="P22" s="197">
        <f t="shared" si="15"/>
        <v>235.13601653863356</v>
      </c>
      <c r="Q22" s="197">
        <f t="shared" si="16"/>
        <v>90.405071228683695</v>
      </c>
      <c r="R22" s="199">
        <f t="shared" si="17"/>
        <v>335.95606314460304</v>
      </c>
      <c r="S22" s="196">
        <f t="shared" si="62"/>
        <v>3662.1583217328161</v>
      </c>
      <c r="T22" s="197">
        <f t="shared" si="18"/>
        <v>3144.9669361360243</v>
      </c>
      <c r="U22" s="197">
        <f t="shared" si="18"/>
        <v>8900.4468010887504</v>
      </c>
      <c r="V22" s="197">
        <f t="shared" si="18"/>
        <v>-5238.2884793559333</v>
      </c>
      <c r="W22" s="199">
        <f t="shared" si="18"/>
        <v>-2093.3215432199086</v>
      </c>
      <c r="X22" s="197"/>
      <c r="Z22" s="204">
        <f t="shared" si="63"/>
        <v>11</v>
      </c>
      <c r="AA22" s="225">
        <f>'Energy NPV'!$D75</f>
        <v>10</v>
      </c>
      <c r="AB22" s="197">
        <f>'Energy margins'!$S$12</f>
        <v>43.75</v>
      </c>
      <c r="AC22" s="197">
        <f t="shared" si="19"/>
        <v>437.5</v>
      </c>
      <c r="AD22" s="197">
        <f>'Margins summary'!$U$14</f>
        <v>330</v>
      </c>
      <c r="AE22" s="197">
        <f t="shared" si="20"/>
        <v>767.5</v>
      </c>
      <c r="AF22" s="197"/>
      <c r="AG22" s="918">
        <f>'Energy NPV'!U75</f>
        <v>316.00314399999996</v>
      </c>
      <c r="AH22" s="197"/>
      <c r="AI22" s="197">
        <f t="shared" si="21"/>
        <v>474.00471599999992</v>
      </c>
      <c r="AJ22" s="197">
        <f t="shared" si="2"/>
        <v>-36.504715999999917</v>
      </c>
      <c r="AK22" s="197">
        <f t="shared" si="3"/>
        <v>293.49528400000008</v>
      </c>
      <c r="AL22" s="196">
        <f t="shared" si="22"/>
        <v>325.54108776731726</v>
      </c>
      <c r="AM22" s="197">
        <f t="shared" si="23"/>
        <v>245.55099191591933</v>
      </c>
      <c r="AN22" s="197">
        <f t="shared" si="24"/>
        <v>352.7040248079503</v>
      </c>
      <c r="AO22" s="197">
        <f t="shared" si="25"/>
        <v>-27.162937040633061</v>
      </c>
      <c r="AP22" s="199">
        <f t="shared" si="26"/>
        <v>218.38805487528626</v>
      </c>
      <c r="AQ22" s="196">
        <f t="shared" si="64"/>
        <v>3662.1583217328161</v>
      </c>
      <c r="AR22" s="197">
        <f t="shared" si="27"/>
        <v>3144.9669361360243</v>
      </c>
      <c r="AS22" s="197">
        <f t="shared" si="27"/>
        <v>13350.670201633124</v>
      </c>
      <c r="AT22" s="197">
        <f t="shared" si="27"/>
        <v>-9688.511879900303</v>
      </c>
      <c r="AU22" s="199">
        <f t="shared" si="27"/>
        <v>-6543.5449437642847</v>
      </c>
      <c r="AV22" s="197"/>
      <c r="AX22" s="204">
        <f t="shared" si="65"/>
        <v>11</v>
      </c>
      <c r="AY22" s="225">
        <f>'Energy NPV'!$D75</f>
        <v>10</v>
      </c>
      <c r="AZ22" s="197">
        <f>'Energy margins'!$S$12</f>
        <v>43.75</v>
      </c>
      <c r="BA22" s="197">
        <f t="shared" si="28"/>
        <v>437.5</v>
      </c>
      <c r="BB22" s="197">
        <f>'Margins summary'!$U$14</f>
        <v>330</v>
      </c>
      <c r="BC22" s="197">
        <f t="shared" si="29"/>
        <v>767.5</v>
      </c>
      <c r="BD22" s="197"/>
      <c r="BE22" s="918">
        <f>'Energy NPV'!U75</f>
        <v>316.00314399999996</v>
      </c>
      <c r="BF22" s="197"/>
      <c r="BG22" s="197">
        <f t="shared" si="30"/>
        <v>158.00157199999998</v>
      </c>
      <c r="BH22" s="197">
        <f t="shared" si="4"/>
        <v>279.49842799999999</v>
      </c>
      <c r="BI22" s="197">
        <f t="shared" si="5"/>
        <v>609.49842799999999</v>
      </c>
      <c r="BJ22" s="196">
        <f t="shared" si="31"/>
        <v>325.54108776731726</v>
      </c>
      <c r="BK22" s="197">
        <f t="shared" si="32"/>
        <v>245.55099191591933</v>
      </c>
      <c r="BL22" s="197">
        <f t="shared" si="33"/>
        <v>117.56800826931678</v>
      </c>
      <c r="BM22" s="197">
        <f t="shared" si="34"/>
        <v>207.97307949800046</v>
      </c>
      <c r="BN22" s="199">
        <f t="shared" si="35"/>
        <v>453.52407141391978</v>
      </c>
      <c r="BO22" s="196">
        <f t="shared" si="66"/>
        <v>3662.1583217328161</v>
      </c>
      <c r="BP22" s="197">
        <f t="shared" si="36"/>
        <v>3144.9669361360243</v>
      </c>
      <c r="BQ22" s="197">
        <f t="shared" si="36"/>
        <v>4450.2234005443752</v>
      </c>
      <c r="BR22" s="197">
        <f t="shared" si="36"/>
        <v>-788.06507881155744</v>
      </c>
      <c r="BS22" s="199">
        <f t="shared" si="36"/>
        <v>2356.9018573244657</v>
      </c>
      <c r="BT22" s="197"/>
      <c r="BV22" s="204">
        <f t="shared" si="67"/>
        <v>11</v>
      </c>
      <c r="BW22" s="225">
        <f>'Energy NPV'!$D75</f>
        <v>10</v>
      </c>
      <c r="BX22" s="197">
        <f>'Energy margins'!$S$12</f>
        <v>43.75</v>
      </c>
      <c r="BY22" s="197">
        <f t="shared" si="37"/>
        <v>437.5</v>
      </c>
      <c r="BZ22" s="197">
        <f>'Margins summary'!$U$14</f>
        <v>330</v>
      </c>
      <c r="CA22" s="197">
        <f t="shared" si="38"/>
        <v>767.5</v>
      </c>
      <c r="CB22" s="197"/>
      <c r="CC22" s="918">
        <f>'Energy NPV'!U75</f>
        <v>316.00314399999996</v>
      </c>
      <c r="CD22" s="197"/>
      <c r="CE22" s="197">
        <f t="shared" si="39"/>
        <v>632.00628799999993</v>
      </c>
      <c r="CF22" s="197">
        <f t="shared" si="6"/>
        <v>-194.50628799999993</v>
      </c>
      <c r="CG22" s="197">
        <f t="shared" si="7"/>
        <v>135.49371200000007</v>
      </c>
      <c r="CH22" s="196">
        <f t="shared" si="40"/>
        <v>325.54108776731726</v>
      </c>
      <c r="CI22" s="197">
        <f t="shared" si="41"/>
        <v>245.55099191591933</v>
      </c>
      <c r="CJ22" s="197">
        <f t="shared" si="42"/>
        <v>470.27203307726711</v>
      </c>
      <c r="CK22" s="197">
        <f t="shared" si="43"/>
        <v>-144.73094530994987</v>
      </c>
      <c r="CL22" s="199">
        <f t="shared" si="44"/>
        <v>100.82004660596945</v>
      </c>
      <c r="CM22" s="196">
        <f t="shared" si="68"/>
        <v>3662.1583217328161</v>
      </c>
      <c r="CN22" s="197">
        <f t="shared" si="45"/>
        <v>3144.9669361360243</v>
      </c>
      <c r="CO22" s="197">
        <f t="shared" si="46"/>
        <v>17800.893602177501</v>
      </c>
      <c r="CP22" s="197">
        <f t="shared" si="47"/>
        <v>-14138.735280444682</v>
      </c>
      <c r="CQ22" s="199">
        <f t="shared" si="48"/>
        <v>-10993.768344308657</v>
      </c>
      <c r="CR22" s="197"/>
      <c r="CT22" s="204">
        <f t="shared" si="69"/>
        <v>11</v>
      </c>
      <c r="CU22" s="225">
        <f>'Energy NPV'!$D75</f>
        <v>10</v>
      </c>
      <c r="CV22" s="197">
        <f>'Energy margins'!$S$12</f>
        <v>43.75</v>
      </c>
      <c r="CW22" s="197">
        <f t="shared" si="49"/>
        <v>437.5</v>
      </c>
      <c r="CX22" s="197">
        <f>'Margins summary'!$U$14</f>
        <v>330</v>
      </c>
      <c r="CY22" s="197">
        <f t="shared" si="50"/>
        <v>767.5</v>
      </c>
      <c r="CZ22" s="197"/>
      <c r="DA22" s="918">
        <f>'Energy NPV'!U75</f>
        <v>316.00314399999996</v>
      </c>
      <c r="DB22" s="197"/>
      <c r="DC22" s="197">
        <f t="shared" si="51"/>
        <v>0</v>
      </c>
      <c r="DD22" s="197">
        <f t="shared" si="8"/>
        <v>437.5</v>
      </c>
      <c r="DE22" s="197">
        <f t="shared" si="9"/>
        <v>767.5</v>
      </c>
      <c r="DF22" s="196">
        <f t="shared" si="52"/>
        <v>325.54108776731726</v>
      </c>
      <c r="DG22" s="197">
        <f t="shared" si="53"/>
        <v>245.55099191591933</v>
      </c>
      <c r="DH22" s="197">
        <f t="shared" si="54"/>
        <v>0</v>
      </c>
      <c r="DI22" s="197">
        <f t="shared" si="55"/>
        <v>325.54108776731726</v>
      </c>
      <c r="DJ22" s="199">
        <f t="shared" si="56"/>
        <v>571.09207968323653</v>
      </c>
      <c r="DK22" s="196">
        <f t="shared" si="70"/>
        <v>3662.1583217328161</v>
      </c>
      <c r="DL22" s="197">
        <f t="shared" si="57"/>
        <v>3144.9669361360243</v>
      </c>
      <c r="DM22" s="197">
        <f t="shared" si="58"/>
        <v>0</v>
      </c>
      <c r="DN22" s="197">
        <f t="shared" si="59"/>
        <v>3662.1583217328161</v>
      </c>
      <c r="DO22" s="199">
        <f t="shared" si="60"/>
        <v>6807.12525786884</v>
      </c>
    </row>
    <row r="23" spans="2:119" x14ac:dyDescent="0.3">
      <c r="B23" s="204">
        <f t="shared" si="61"/>
        <v>12</v>
      </c>
      <c r="C23" s="225">
        <f>'Energy NPV'!$D76</f>
        <v>10</v>
      </c>
      <c r="D23" s="197">
        <f>'Energy margins'!$S$12</f>
        <v>43.75</v>
      </c>
      <c r="E23" s="197">
        <f t="shared" si="10"/>
        <v>437.5</v>
      </c>
      <c r="F23" s="197">
        <f>'Margins summary'!$U$14</f>
        <v>330</v>
      </c>
      <c r="G23" s="197">
        <f t="shared" si="11"/>
        <v>767.5</v>
      </c>
      <c r="H23" s="197"/>
      <c r="I23" s="918">
        <f>'Energy NPV'!U76</f>
        <v>316.00314399999996</v>
      </c>
      <c r="J23" s="197"/>
      <c r="K23" s="197">
        <f t="shared" si="12"/>
        <v>316.00314399999996</v>
      </c>
      <c r="L23" s="197">
        <f t="shared" si="0"/>
        <v>121.49685600000004</v>
      </c>
      <c r="M23" s="197">
        <f t="shared" si="1"/>
        <v>451.49685600000004</v>
      </c>
      <c r="N23" s="196">
        <f t="shared" si="13"/>
        <v>316.05930851195848</v>
      </c>
      <c r="O23" s="197">
        <f t="shared" si="14"/>
        <v>238.39902127759154</v>
      </c>
      <c r="P23" s="197">
        <f t="shared" si="15"/>
        <v>228.2873946977025</v>
      </c>
      <c r="Q23" s="197">
        <f t="shared" si="16"/>
        <v>87.771913814256024</v>
      </c>
      <c r="R23" s="199">
        <f t="shared" si="17"/>
        <v>326.17093509184758</v>
      </c>
      <c r="S23" s="196">
        <f t="shared" si="62"/>
        <v>3978.2176302447747</v>
      </c>
      <c r="T23" s="197">
        <f t="shared" si="18"/>
        <v>3383.3659574136159</v>
      </c>
      <c r="U23" s="197">
        <f t="shared" si="18"/>
        <v>9128.7341957864537</v>
      </c>
      <c r="V23" s="197">
        <f t="shared" si="18"/>
        <v>-5150.5165655416777</v>
      </c>
      <c r="W23" s="199">
        <f t="shared" si="18"/>
        <v>-1767.1506081280609</v>
      </c>
      <c r="X23" s="197"/>
      <c r="Z23" s="204">
        <f t="shared" si="63"/>
        <v>12</v>
      </c>
      <c r="AA23" s="225">
        <f>'Energy NPV'!$D76</f>
        <v>10</v>
      </c>
      <c r="AB23" s="197">
        <f>'Energy margins'!$S$12</f>
        <v>43.75</v>
      </c>
      <c r="AC23" s="197">
        <f t="shared" si="19"/>
        <v>437.5</v>
      </c>
      <c r="AD23" s="197">
        <f>'Margins summary'!$U$14</f>
        <v>330</v>
      </c>
      <c r="AE23" s="197">
        <f t="shared" si="20"/>
        <v>767.5</v>
      </c>
      <c r="AF23" s="197"/>
      <c r="AG23" s="918">
        <f>'Energy NPV'!U76</f>
        <v>316.00314399999996</v>
      </c>
      <c r="AH23" s="197"/>
      <c r="AI23" s="197">
        <f t="shared" si="21"/>
        <v>474.00471599999992</v>
      </c>
      <c r="AJ23" s="197">
        <f t="shared" si="2"/>
        <v>-36.504715999999917</v>
      </c>
      <c r="AK23" s="197">
        <f t="shared" si="3"/>
        <v>293.49528400000008</v>
      </c>
      <c r="AL23" s="196">
        <f t="shared" si="22"/>
        <v>316.05930851195848</v>
      </c>
      <c r="AM23" s="197">
        <f t="shared" si="23"/>
        <v>238.39902127759154</v>
      </c>
      <c r="AN23" s="197">
        <f t="shared" si="24"/>
        <v>342.43109204655372</v>
      </c>
      <c r="AO23" s="197">
        <f t="shared" si="25"/>
        <v>-26.371783534595203</v>
      </c>
      <c r="AP23" s="199">
        <f t="shared" si="26"/>
        <v>212.02723774299636</v>
      </c>
      <c r="AQ23" s="196">
        <f t="shared" si="64"/>
        <v>3978.2176302447747</v>
      </c>
      <c r="AR23" s="197">
        <f t="shared" si="27"/>
        <v>3383.3659574136159</v>
      </c>
      <c r="AS23" s="197">
        <f t="shared" si="27"/>
        <v>13693.101293679678</v>
      </c>
      <c r="AT23" s="197">
        <f t="shared" si="27"/>
        <v>-9714.8836634348991</v>
      </c>
      <c r="AU23" s="199">
        <f t="shared" si="27"/>
        <v>-6331.5177060212882</v>
      </c>
      <c r="AV23" s="197"/>
      <c r="AX23" s="204">
        <f t="shared" si="65"/>
        <v>12</v>
      </c>
      <c r="AY23" s="225">
        <f>'Energy NPV'!$D76</f>
        <v>10</v>
      </c>
      <c r="AZ23" s="197">
        <f>'Energy margins'!$S$12</f>
        <v>43.75</v>
      </c>
      <c r="BA23" s="197">
        <f t="shared" si="28"/>
        <v>437.5</v>
      </c>
      <c r="BB23" s="197">
        <f>'Margins summary'!$U$14</f>
        <v>330</v>
      </c>
      <c r="BC23" s="197">
        <f t="shared" si="29"/>
        <v>767.5</v>
      </c>
      <c r="BD23" s="197"/>
      <c r="BE23" s="918">
        <f>'Energy NPV'!U76</f>
        <v>316.00314399999996</v>
      </c>
      <c r="BF23" s="197"/>
      <c r="BG23" s="197">
        <f t="shared" si="30"/>
        <v>158.00157199999998</v>
      </c>
      <c r="BH23" s="197">
        <f t="shared" si="4"/>
        <v>279.49842799999999</v>
      </c>
      <c r="BI23" s="197">
        <f t="shared" si="5"/>
        <v>609.49842799999999</v>
      </c>
      <c r="BJ23" s="196">
        <f t="shared" si="31"/>
        <v>316.05930851195848</v>
      </c>
      <c r="BK23" s="197">
        <f t="shared" si="32"/>
        <v>238.39902127759154</v>
      </c>
      <c r="BL23" s="197">
        <f t="shared" si="33"/>
        <v>114.14369734885125</v>
      </c>
      <c r="BM23" s="197">
        <f t="shared" si="34"/>
        <v>201.91561116310723</v>
      </c>
      <c r="BN23" s="199">
        <f t="shared" si="35"/>
        <v>440.3146324406988</v>
      </c>
      <c r="BO23" s="196">
        <f t="shared" si="66"/>
        <v>3978.2176302447747</v>
      </c>
      <c r="BP23" s="197">
        <f t="shared" si="36"/>
        <v>3383.3659574136159</v>
      </c>
      <c r="BQ23" s="197">
        <f t="shared" si="36"/>
        <v>4564.3670978932269</v>
      </c>
      <c r="BR23" s="197">
        <f t="shared" si="36"/>
        <v>-586.14946764845024</v>
      </c>
      <c r="BS23" s="199">
        <f t="shared" si="36"/>
        <v>2797.2164897651646</v>
      </c>
      <c r="BT23" s="197"/>
      <c r="BV23" s="204">
        <f t="shared" si="67"/>
        <v>12</v>
      </c>
      <c r="BW23" s="225">
        <f>'Energy NPV'!$D76</f>
        <v>10</v>
      </c>
      <c r="BX23" s="197">
        <f>'Energy margins'!$S$12</f>
        <v>43.75</v>
      </c>
      <c r="BY23" s="197">
        <f t="shared" si="37"/>
        <v>437.5</v>
      </c>
      <c r="BZ23" s="197">
        <f>'Margins summary'!$U$14</f>
        <v>330</v>
      </c>
      <c r="CA23" s="197">
        <f t="shared" si="38"/>
        <v>767.5</v>
      </c>
      <c r="CB23" s="197"/>
      <c r="CC23" s="918">
        <f>'Energy NPV'!U76</f>
        <v>316.00314399999996</v>
      </c>
      <c r="CD23" s="197"/>
      <c r="CE23" s="197">
        <f t="shared" si="39"/>
        <v>632.00628799999993</v>
      </c>
      <c r="CF23" s="197">
        <f t="shared" si="6"/>
        <v>-194.50628799999993</v>
      </c>
      <c r="CG23" s="197">
        <f t="shared" si="7"/>
        <v>135.49371200000007</v>
      </c>
      <c r="CH23" s="196">
        <f t="shared" si="40"/>
        <v>316.05930851195848</v>
      </c>
      <c r="CI23" s="197">
        <f t="shared" si="41"/>
        <v>238.39902127759154</v>
      </c>
      <c r="CJ23" s="197">
        <f t="shared" si="42"/>
        <v>456.57478939540499</v>
      </c>
      <c r="CK23" s="197">
        <f t="shared" si="43"/>
        <v>-140.51548088344646</v>
      </c>
      <c r="CL23" s="199">
        <f t="shared" si="44"/>
        <v>97.883540394145086</v>
      </c>
      <c r="CM23" s="196">
        <f t="shared" si="68"/>
        <v>3978.2176302447747</v>
      </c>
      <c r="CN23" s="197">
        <f t="shared" si="45"/>
        <v>3383.3659574136159</v>
      </c>
      <c r="CO23" s="197">
        <f t="shared" si="46"/>
        <v>18257.468391572907</v>
      </c>
      <c r="CP23" s="197">
        <f t="shared" si="47"/>
        <v>-14279.250761328129</v>
      </c>
      <c r="CQ23" s="199">
        <f t="shared" si="48"/>
        <v>-10895.884803914512</v>
      </c>
      <c r="CR23" s="197"/>
      <c r="CT23" s="204">
        <f t="shared" si="69"/>
        <v>12</v>
      </c>
      <c r="CU23" s="225">
        <f>'Energy NPV'!$D76</f>
        <v>10</v>
      </c>
      <c r="CV23" s="197">
        <f>'Energy margins'!$S$12</f>
        <v>43.75</v>
      </c>
      <c r="CW23" s="197">
        <f t="shared" si="49"/>
        <v>437.5</v>
      </c>
      <c r="CX23" s="197">
        <f>'Margins summary'!$U$14</f>
        <v>330</v>
      </c>
      <c r="CY23" s="197">
        <f t="shared" si="50"/>
        <v>767.5</v>
      </c>
      <c r="CZ23" s="197"/>
      <c r="DA23" s="918">
        <f>'Energy NPV'!U76</f>
        <v>316.00314399999996</v>
      </c>
      <c r="DB23" s="197"/>
      <c r="DC23" s="197">
        <f t="shared" si="51"/>
        <v>0</v>
      </c>
      <c r="DD23" s="197">
        <f t="shared" si="8"/>
        <v>437.5</v>
      </c>
      <c r="DE23" s="197">
        <f t="shared" si="9"/>
        <v>767.5</v>
      </c>
      <c r="DF23" s="196">
        <f t="shared" si="52"/>
        <v>316.05930851195848</v>
      </c>
      <c r="DG23" s="197">
        <f t="shared" si="53"/>
        <v>238.39902127759154</v>
      </c>
      <c r="DH23" s="197">
        <f t="shared" si="54"/>
        <v>0</v>
      </c>
      <c r="DI23" s="197">
        <f t="shared" si="55"/>
        <v>316.05930851195848</v>
      </c>
      <c r="DJ23" s="199">
        <f t="shared" si="56"/>
        <v>554.45832978955002</v>
      </c>
      <c r="DK23" s="196">
        <f t="shared" si="70"/>
        <v>3978.2176302447747</v>
      </c>
      <c r="DL23" s="197">
        <f t="shared" si="57"/>
        <v>3383.3659574136159</v>
      </c>
      <c r="DM23" s="197">
        <f t="shared" si="58"/>
        <v>0</v>
      </c>
      <c r="DN23" s="197">
        <f t="shared" si="59"/>
        <v>3978.2176302447747</v>
      </c>
      <c r="DO23" s="199">
        <f t="shared" si="60"/>
        <v>7361.5835876583897</v>
      </c>
    </row>
    <row r="24" spans="2:119" x14ac:dyDescent="0.3">
      <c r="B24" s="204">
        <f t="shared" si="61"/>
        <v>13</v>
      </c>
      <c r="C24" s="225">
        <f>'Energy NPV'!$D77</f>
        <v>10</v>
      </c>
      <c r="D24" s="197">
        <f>'Energy margins'!$S$12</f>
        <v>43.75</v>
      </c>
      <c r="E24" s="197">
        <f t="shared" si="10"/>
        <v>437.5</v>
      </c>
      <c r="F24" s="197">
        <f>'Margins summary'!$U$14</f>
        <v>330</v>
      </c>
      <c r="G24" s="197">
        <f t="shared" si="11"/>
        <v>767.5</v>
      </c>
      <c r="H24" s="197"/>
      <c r="I24" s="918">
        <f>'Energy NPV'!U77</f>
        <v>316.00314399999996</v>
      </c>
      <c r="J24" s="197"/>
      <c r="K24" s="197">
        <f t="shared" si="12"/>
        <v>316.00314399999996</v>
      </c>
      <c r="L24" s="197">
        <f t="shared" si="0"/>
        <v>121.49685600000004</v>
      </c>
      <c r="M24" s="197">
        <f t="shared" si="1"/>
        <v>451.49685600000004</v>
      </c>
      <c r="N24" s="196">
        <f t="shared" si="13"/>
        <v>306.85369758442579</v>
      </c>
      <c r="O24" s="197">
        <f t="shared" si="14"/>
        <v>231.45536046368116</v>
      </c>
      <c r="P24" s="197">
        <f t="shared" si="15"/>
        <v>221.63824727932283</v>
      </c>
      <c r="Q24" s="197">
        <f t="shared" si="16"/>
        <v>85.215450305102948</v>
      </c>
      <c r="R24" s="199">
        <f t="shared" si="17"/>
        <v>316.67081076878412</v>
      </c>
      <c r="S24" s="196">
        <f t="shared" si="62"/>
        <v>4285.0713278292005</v>
      </c>
      <c r="T24" s="197">
        <f t="shared" si="18"/>
        <v>3614.8213178772971</v>
      </c>
      <c r="U24" s="197">
        <f t="shared" si="18"/>
        <v>9350.3724430657767</v>
      </c>
      <c r="V24" s="197">
        <f t="shared" si="18"/>
        <v>-5065.3011152365743</v>
      </c>
      <c r="W24" s="199">
        <f t="shared" si="18"/>
        <v>-1450.4797973592767</v>
      </c>
      <c r="X24" s="197"/>
      <c r="Z24" s="204">
        <f t="shared" si="63"/>
        <v>13</v>
      </c>
      <c r="AA24" s="225">
        <f>'Energy NPV'!$D77</f>
        <v>10</v>
      </c>
      <c r="AB24" s="197">
        <f>'Energy margins'!$S$12</f>
        <v>43.75</v>
      </c>
      <c r="AC24" s="197">
        <f t="shared" si="19"/>
        <v>437.5</v>
      </c>
      <c r="AD24" s="197">
        <f>'Margins summary'!$U$14</f>
        <v>330</v>
      </c>
      <c r="AE24" s="197">
        <f t="shared" si="20"/>
        <v>767.5</v>
      </c>
      <c r="AF24" s="197"/>
      <c r="AG24" s="918">
        <f>'Energy NPV'!U77</f>
        <v>316.00314399999996</v>
      </c>
      <c r="AH24" s="197"/>
      <c r="AI24" s="197">
        <f t="shared" si="21"/>
        <v>474.00471599999992</v>
      </c>
      <c r="AJ24" s="197">
        <f t="shared" si="2"/>
        <v>-36.504715999999917</v>
      </c>
      <c r="AK24" s="197">
        <f t="shared" si="3"/>
        <v>293.49528400000008</v>
      </c>
      <c r="AL24" s="196">
        <f t="shared" si="22"/>
        <v>306.85369758442579</v>
      </c>
      <c r="AM24" s="197">
        <f t="shared" si="23"/>
        <v>231.45536046368116</v>
      </c>
      <c r="AN24" s="197">
        <f t="shared" si="24"/>
        <v>332.45737091898422</v>
      </c>
      <c r="AO24" s="197">
        <f t="shared" si="25"/>
        <v>-25.603673334558454</v>
      </c>
      <c r="AP24" s="199">
        <f t="shared" si="26"/>
        <v>205.85168712912269</v>
      </c>
      <c r="AQ24" s="196">
        <f t="shared" si="64"/>
        <v>4285.0713278292005</v>
      </c>
      <c r="AR24" s="197">
        <f t="shared" si="27"/>
        <v>3614.8213178772971</v>
      </c>
      <c r="AS24" s="197">
        <f t="shared" si="27"/>
        <v>14025.558664598662</v>
      </c>
      <c r="AT24" s="197">
        <f t="shared" si="27"/>
        <v>-9740.4873367694581</v>
      </c>
      <c r="AU24" s="199">
        <f t="shared" si="27"/>
        <v>-6125.6660188921651</v>
      </c>
      <c r="AV24" s="197"/>
      <c r="AX24" s="204">
        <f t="shared" si="65"/>
        <v>13</v>
      </c>
      <c r="AY24" s="225">
        <f>'Energy NPV'!$D77</f>
        <v>10</v>
      </c>
      <c r="AZ24" s="197">
        <f>'Energy margins'!$S$12</f>
        <v>43.75</v>
      </c>
      <c r="BA24" s="197">
        <f t="shared" si="28"/>
        <v>437.5</v>
      </c>
      <c r="BB24" s="197">
        <f>'Margins summary'!$U$14</f>
        <v>330</v>
      </c>
      <c r="BC24" s="197">
        <f t="shared" si="29"/>
        <v>767.5</v>
      </c>
      <c r="BD24" s="197"/>
      <c r="BE24" s="918">
        <f>'Energy NPV'!U77</f>
        <v>316.00314399999996</v>
      </c>
      <c r="BF24" s="197"/>
      <c r="BG24" s="197">
        <f t="shared" si="30"/>
        <v>158.00157199999998</v>
      </c>
      <c r="BH24" s="197">
        <f t="shared" si="4"/>
        <v>279.49842799999999</v>
      </c>
      <c r="BI24" s="197">
        <f t="shared" si="5"/>
        <v>609.49842799999999</v>
      </c>
      <c r="BJ24" s="196">
        <f t="shared" si="31"/>
        <v>306.85369758442579</v>
      </c>
      <c r="BK24" s="197">
        <f t="shared" si="32"/>
        <v>231.45536046368116</v>
      </c>
      <c r="BL24" s="197">
        <f t="shared" si="33"/>
        <v>110.81912363966141</v>
      </c>
      <c r="BM24" s="197">
        <f t="shared" si="34"/>
        <v>196.03457394476433</v>
      </c>
      <c r="BN24" s="199">
        <f t="shared" si="35"/>
        <v>427.48993440844549</v>
      </c>
      <c r="BO24" s="196">
        <f t="shared" si="66"/>
        <v>4285.0713278292005</v>
      </c>
      <c r="BP24" s="197">
        <f t="shared" si="36"/>
        <v>3614.8213178772971</v>
      </c>
      <c r="BQ24" s="197">
        <f t="shared" si="36"/>
        <v>4675.1862215328883</v>
      </c>
      <c r="BR24" s="197">
        <f t="shared" si="36"/>
        <v>-390.11489370368588</v>
      </c>
      <c r="BS24" s="199">
        <f t="shared" si="36"/>
        <v>3224.7064241736102</v>
      </c>
      <c r="BT24" s="197"/>
      <c r="BV24" s="204">
        <f t="shared" si="67"/>
        <v>13</v>
      </c>
      <c r="BW24" s="225">
        <f>'Energy NPV'!$D77</f>
        <v>10</v>
      </c>
      <c r="BX24" s="197">
        <f>'Energy margins'!$S$12</f>
        <v>43.75</v>
      </c>
      <c r="BY24" s="197">
        <f t="shared" si="37"/>
        <v>437.5</v>
      </c>
      <c r="BZ24" s="197">
        <f>'Margins summary'!$U$14</f>
        <v>330</v>
      </c>
      <c r="CA24" s="197">
        <f t="shared" si="38"/>
        <v>767.5</v>
      </c>
      <c r="CB24" s="197"/>
      <c r="CC24" s="918">
        <f>'Energy NPV'!U77</f>
        <v>316.00314399999996</v>
      </c>
      <c r="CD24" s="197"/>
      <c r="CE24" s="197">
        <f t="shared" si="39"/>
        <v>632.00628799999993</v>
      </c>
      <c r="CF24" s="197">
        <f t="shared" si="6"/>
        <v>-194.50628799999993</v>
      </c>
      <c r="CG24" s="197">
        <f t="shared" si="7"/>
        <v>135.49371200000007</v>
      </c>
      <c r="CH24" s="196">
        <f t="shared" si="40"/>
        <v>306.85369758442579</v>
      </c>
      <c r="CI24" s="197">
        <f t="shared" si="41"/>
        <v>231.45536046368116</v>
      </c>
      <c r="CJ24" s="197">
        <f t="shared" si="42"/>
        <v>443.27649455864565</v>
      </c>
      <c r="CK24" s="197">
        <f t="shared" si="43"/>
        <v>-136.42279697421989</v>
      </c>
      <c r="CL24" s="199">
        <f t="shared" si="44"/>
        <v>95.032563489461268</v>
      </c>
      <c r="CM24" s="196">
        <f t="shared" si="68"/>
        <v>4285.0713278292005</v>
      </c>
      <c r="CN24" s="197">
        <f t="shared" si="45"/>
        <v>3614.8213178772971</v>
      </c>
      <c r="CO24" s="197">
        <f t="shared" si="46"/>
        <v>18700.744886131553</v>
      </c>
      <c r="CP24" s="197">
        <f t="shared" si="47"/>
        <v>-14415.673558302349</v>
      </c>
      <c r="CQ24" s="199">
        <f t="shared" si="48"/>
        <v>-10800.852240425051</v>
      </c>
      <c r="CR24" s="197"/>
      <c r="CT24" s="204">
        <f t="shared" si="69"/>
        <v>13</v>
      </c>
      <c r="CU24" s="225">
        <f>'Energy NPV'!$D77</f>
        <v>10</v>
      </c>
      <c r="CV24" s="197">
        <f>'Energy margins'!$S$12</f>
        <v>43.75</v>
      </c>
      <c r="CW24" s="197">
        <f t="shared" si="49"/>
        <v>437.5</v>
      </c>
      <c r="CX24" s="197">
        <f>'Margins summary'!$U$14</f>
        <v>330</v>
      </c>
      <c r="CY24" s="197">
        <f t="shared" si="50"/>
        <v>767.5</v>
      </c>
      <c r="CZ24" s="197"/>
      <c r="DA24" s="918">
        <f>'Energy NPV'!U77</f>
        <v>316.00314399999996</v>
      </c>
      <c r="DB24" s="197"/>
      <c r="DC24" s="197">
        <f t="shared" si="51"/>
        <v>0</v>
      </c>
      <c r="DD24" s="197">
        <f t="shared" si="8"/>
        <v>437.5</v>
      </c>
      <c r="DE24" s="197">
        <f t="shared" si="9"/>
        <v>767.5</v>
      </c>
      <c r="DF24" s="196">
        <f t="shared" si="52"/>
        <v>306.85369758442579</v>
      </c>
      <c r="DG24" s="197">
        <f t="shared" si="53"/>
        <v>231.45536046368116</v>
      </c>
      <c r="DH24" s="197">
        <f t="shared" si="54"/>
        <v>0</v>
      </c>
      <c r="DI24" s="197">
        <f t="shared" si="55"/>
        <v>306.85369758442579</v>
      </c>
      <c r="DJ24" s="199">
        <f t="shared" si="56"/>
        <v>538.30905804810698</v>
      </c>
      <c r="DK24" s="196">
        <f t="shared" si="70"/>
        <v>4285.0713278292005</v>
      </c>
      <c r="DL24" s="197">
        <f t="shared" si="57"/>
        <v>3614.8213178772971</v>
      </c>
      <c r="DM24" s="197">
        <f t="shared" si="58"/>
        <v>0</v>
      </c>
      <c r="DN24" s="197">
        <f t="shared" si="59"/>
        <v>4285.0713278292005</v>
      </c>
      <c r="DO24" s="199">
        <f t="shared" si="60"/>
        <v>7899.8926457064963</v>
      </c>
    </row>
    <row r="25" spans="2:119" x14ac:dyDescent="0.3">
      <c r="B25" s="204">
        <f t="shared" si="61"/>
        <v>14</v>
      </c>
      <c r="C25" s="225">
        <f>'Energy NPV'!$D78</f>
        <v>10</v>
      </c>
      <c r="D25" s="197">
        <f>'Energy margins'!$S$12</f>
        <v>43.75</v>
      </c>
      <c r="E25" s="197">
        <f t="shared" si="10"/>
        <v>437.5</v>
      </c>
      <c r="F25" s="197">
        <f>'Margins summary'!$U$14</f>
        <v>330</v>
      </c>
      <c r="G25" s="197">
        <f t="shared" si="11"/>
        <v>767.5</v>
      </c>
      <c r="H25" s="197"/>
      <c r="I25" s="918">
        <f>'Energy NPV'!U78</f>
        <v>316.00314399999996</v>
      </c>
      <c r="J25" s="197"/>
      <c r="K25" s="197">
        <f t="shared" si="12"/>
        <v>316.00314399999996</v>
      </c>
      <c r="L25" s="197">
        <f t="shared" si="0"/>
        <v>121.49685600000004</v>
      </c>
      <c r="M25" s="197">
        <f t="shared" si="1"/>
        <v>451.49685600000004</v>
      </c>
      <c r="N25" s="196">
        <f t="shared" si="13"/>
        <v>297.91621124701533</v>
      </c>
      <c r="O25" s="197">
        <f t="shared" si="14"/>
        <v>224.71394219774871</v>
      </c>
      <c r="P25" s="197">
        <f t="shared" si="15"/>
        <v>215.18276434885712</v>
      </c>
      <c r="Q25" s="197">
        <f t="shared" si="16"/>
        <v>82.733446898158206</v>
      </c>
      <c r="R25" s="199">
        <f t="shared" si="17"/>
        <v>307.44738909590689</v>
      </c>
      <c r="S25" s="196">
        <f t="shared" si="62"/>
        <v>4582.9875390762154</v>
      </c>
      <c r="T25" s="197">
        <f t="shared" si="18"/>
        <v>3839.5352600750457</v>
      </c>
      <c r="U25" s="197">
        <f t="shared" si="18"/>
        <v>9565.5552074146344</v>
      </c>
      <c r="V25" s="197">
        <f t="shared" si="18"/>
        <v>-4982.5676683384163</v>
      </c>
      <c r="W25" s="199">
        <f t="shared" si="18"/>
        <v>-1143.0324082633699</v>
      </c>
      <c r="X25" s="197"/>
      <c r="Z25" s="204">
        <f t="shared" si="63"/>
        <v>14</v>
      </c>
      <c r="AA25" s="225">
        <f>'Energy NPV'!$D78</f>
        <v>10</v>
      </c>
      <c r="AB25" s="197">
        <f>'Energy margins'!$S$12</f>
        <v>43.75</v>
      </c>
      <c r="AC25" s="197">
        <f t="shared" si="19"/>
        <v>437.5</v>
      </c>
      <c r="AD25" s="197">
        <f>'Margins summary'!$U$14</f>
        <v>330</v>
      </c>
      <c r="AE25" s="197">
        <f t="shared" si="20"/>
        <v>767.5</v>
      </c>
      <c r="AF25" s="197"/>
      <c r="AG25" s="918">
        <f>'Energy NPV'!U78</f>
        <v>316.00314399999996</v>
      </c>
      <c r="AH25" s="197"/>
      <c r="AI25" s="197">
        <f t="shared" si="21"/>
        <v>474.00471599999992</v>
      </c>
      <c r="AJ25" s="197">
        <f t="shared" si="2"/>
        <v>-36.504715999999917</v>
      </c>
      <c r="AK25" s="197">
        <f t="shared" si="3"/>
        <v>293.49528400000008</v>
      </c>
      <c r="AL25" s="196">
        <f t="shared" si="22"/>
        <v>297.91621124701533</v>
      </c>
      <c r="AM25" s="197">
        <f t="shared" si="23"/>
        <v>224.71394219774871</v>
      </c>
      <c r="AN25" s="197">
        <f t="shared" si="24"/>
        <v>322.77414652328565</v>
      </c>
      <c r="AO25" s="197">
        <f t="shared" si="25"/>
        <v>-24.857935276270343</v>
      </c>
      <c r="AP25" s="199">
        <f t="shared" si="26"/>
        <v>199.85600692147835</v>
      </c>
      <c r="AQ25" s="196">
        <f t="shared" si="64"/>
        <v>4582.9875390762154</v>
      </c>
      <c r="AR25" s="197">
        <f t="shared" si="27"/>
        <v>3839.5352600750457</v>
      </c>
      <c r="AS25" s="197">
        <f t="shared" si="27"/>
        <v>14348.332811121947</v>
      </c>
      <c r="AT25" s="197">
        <f t="shared" si="27"/>
        <v>-9765.3452720457281</v>
      </c>
      <c r="AU25" s="199">
        <f t="shared" si="27"/>
        <v>-5925.8100119706869</v>
      </c>
      <c r="AV25" s="197"/>
      <c r="AX25" s="204">
        <f t="shared" si="65"/>
        <v>14</v>
      </c>
      <c r="AY25" s="225">
        <f>'Energy NPV'!$D78</f>
        <v>10</v>
      </c>
      <c r="AZ25" s="197">
        <f>'Energy margins'!$S$12</f>
        <v>43.75</v>
      </c>
      <c r="BA25" s="197">
        <f t="shared" si="28"/>
        <v>437.5</v>
      </c>
      <c r="BB25" s="197">
        <f>'Margins summary'!$U$14</f>
        <v>330</v>
      </c>
      <c r="BC25" s="197">
        <f t="shared" si="29"/>
        <v>767.5</v>
      </c>
      <c r="BD25" s="197"/>
      <c r="BE25" s="918">
        <f>'Energy NPV'!U78</f>
        <v>316.00314399999996</v>
      </c>
      <c r="BF25" s="197"/>
      <c r="BG25" s="197">
        <f t="shared" si="30"/>
        <v>158.00157199999998</v>
      </c>
      <c r="BH25" s="197">
        <f t="shared" si="4"/>
        <v>279.49842799999999</v>
      </c>
      <c r="BI25" s="197">
        <f t="shared" si="5"/>
        <v>609.49842799999999</v>
      </c>
      <c r="BJ25" s="196">
        <f t="shared" si="31"/>
        <v>297.91621124701533</v>
      </c>
      <c r="BK25" s="197">
        <f t="shared" si="32"/>
        <v>224.71394219774871</v>
      </c>
      <c r="BL25" s="197">
        <f t="shared" si="33"/>
        <v>107.59138217442856</v>
      </c>
      <c r="BM25" s="197">
        <f t="shared" si="34"/>
        <v>190.32482907258674</v>
      </c>
      <c r="BN25" s="199">
        <f t="shared" si="35"/>
        <v>415.03877127033547</v>
      </c>
      <c r="BO25" s="196">
        <f t="shared" si="66"/>
        <v>4582.9875390762154</v>
      </c>
      <c r="BP25" s="197">
        <f t="shared" si="36"/>
        <v>3839.5352600750457</v>
      </c>
      <c r="BQ25" s="197">
        <f t="shared" si="36"/>
        <v>4782.7776037073172</v>
      </c>
      <c r="BR25" s="197">
        <f t="shared" si="36"/>
        <v>-199.79006463109914</v>
      </c>
      <c r="BS25" s="199">
        <f t="shared" si="36"/>
        <v>3639.7451954439457</v>
      </c>
      <c r="BT25" s="197"/>
      <c r="BV25" s="204">
        <f t="shared" si="67"/>
        <v>14</v>
      </c>
      <c r="BW25" s="225">
        <f>'Energy NPV'!$D78</f>
        <v>10</v>
      </c>
      <c r="BX25" s="197">
        <f>'Energy margins'!$S$12</f>
        <v>43.75</v>
      </c>
      <c r="BY25" s="197">
        <f t="shared" si="37"/>
        <v>437.5</v>
      </c>
      <c r="BZ25" s="197">
        <f>'Margins summary'!$U$14</f>
        <v>330</v>
      </c>
      <c r="CA25" s="197">
        <f t="shared" si="38"/>
        <v>767.5</v>
      </c>
      <c r="CB25" s="197"/>
      <c r="CC25" s="918">
        <f>'Energy NPV'!U78</f>
        <v>316.00314399999996</v>
      </c>
      <c r="CD25" s="197"/>
      <c r="CE25" s="197">
        <f t="shared" si="39"/>
        <v>632.00628799999993</v>
      </c>
      <c r="CF25" s="197">
        <f t="shared" si="6"/>
        <v>-194.50628799999993</v>
      </c>
      <c r="CG25" s="197">
        <f t="shared" si="7"/>
        <v>135.49371200000007</v>
      </c>
      <c r="CH25" s="196">
        <f t="shared" si="40"/>
        <v>297.91621124701533</v>
      </c>
      <c r="CI25" s="197">
        <f t="shared" si="41"/>
        <v>224.71394219774871</v>
      </c>
      <c r="CJ25" s="197">
        <f t="shared" si="42"/>
        <v>430.36552869771424</v>
      </c>
      <c r="CK25" s="197">
        <f t="shared" si="43"/>
        <v>-132.44931745069894</v>
      </c>
      <c r="CL25" s="199">
        <f t="shared" si="44"/>
        <v>92.26462474704978</v>
      </c>
      <c r="CM25" s="196">
        <f t="shared" si="68"/>
        <v>4582.9875390762154</v>
      </c>
      <c r="CN25" s="197">
        <f t="shared" si="45"/>
        <v>3839.5352600750457</v>
      </c>
      <c r="CO25" s="197">
        <f t="shared" si="46"/>
        <v>19131.110414829269</v>
      </c>
      <c r="CP25" s="197">
        <f t="shared" si="47"/>
        <v>-14548.122875753048</v>
      </c>
      <c r="CQ25" s="199">
        <f t="shared" si="48"/>
        <v>-10708.587615678001</v>
      </c>
      <c r="CR25" s="197"/>
      <c r="CT25" s="204">
        <f t="shared" si="69"/>
        <v>14</v>
      </c>
      <c r="CU25" s="225">
        <f>'Energy NPV'!$D78</f>
        <v>10</v>
      </c>
      <c r="CV25" s="197">
        <f>'Energy margins'!$S$12</f>
        <v>43.75</v>
      </c>
      <c r="CW25" s="197">
        <f t="shared" si="49"/>
        <v>437.5</v>
      </c>
      <c r="CX25" s="197">
        <f>'Margins summary'!$U$14</f>
        <v>330</v>
      </c>
      <c r="CY25" s="197">
        <f t="shared" si="50"/>
        <v>767.5</v>
      </c>
      <c r="CZ25" s="197"/>
      <c r="DA25" s="918">
        <f>'Energy NPV'!U78</f>
        <v>316.00314399999996</v>
      </c>
      <c r="DB25" s="197"/>
      <c r="DC25" s="197">
        <f t="shared" si="51"/>
        <v>0</v>
      </c>
      <c r="DD25" s="197">
        <f t="shared" si="8"/>
        <v>437.5</v>
      </c>
      <c r="DE25" s="197">
        <f t="shared" si="9"/>
        <v>767.5</v>
      </c>
      <c r="DF25" s="196">
        <f t="shared" si="52"/>
        <v>297.91621124701533</v>
      </c>
      <c r="DG25" s="197">
        <f t="shared" si="53"/>
        <v>224.71394219774871</v>
      </c>
      <c r="DH25" s="197">
        <f t="shared" si="54"/>
        <v>0</v>
      </c>
      <c r="DI25" s="197">
        <f t="shared" si="55"/>
        <v>297.91621124701533</v>
      </c>
      <c r="DJ25" s="199">
        <f t="shared" si="56"/>
        <v>522.63015344476401</v>
      </c>
      <c r="DK25" s="196">
        <f t="shared" si="70"/>
        <v>4582.9875390762154</v>
      </c>
      <c r="DL25" s="197">
        <f t="shared" si="57"/>
        <v>3839.5352600750457</v>
      </c>
      <c r="DM25" s="197">
        <f t="shared" si="58"/>
        <v>0</v>
      </c>
      <c r="DN25" s="197">
        <f t="shared" si="59"/>
        <v>4582.9875390762154</v>
      </c>
      <c r="DO25" s="199">
        <f t="shared" si="60"/>
        <v>8422.5227991512602</v>
      </c>
    </row>
    <row r="26" spans="2:119" x14ac:dyDescent="0.3">
      <c r="B26" s="204">
        <f t="shared" si="61"/>
        <v>15</v>
      </c>
      <c r="C26" s="225">
        <f>'Energy NPV'!$D79</f>
        <v>10</v>
      </c>
      <c r="D26" s="197">
        <f>'Energy margins'!$S$12</f>
        <v>43.75</v>
      </c>
      <c r="E26" s="197">
        <f t="shared" si="10"/>
        <v>437.5</v>
      </c>
      <c r="F26" s="197">
        <f>'Margins summary'!$U$14</f>
        <v>330</v>
      </c>
      <c r="G26" s="197">
        <f t="shared" si="11"/>
        <v>767.5</v>
      </c>
      <c r="H26" s="197"/>
      <c r="I26" s="918">
        <f>'Energy NPV'!U79</f>
        <v>316.00314399999996</v>
      </c>
      <c r="J26" s="197"/>
      <c r="K26" s="197">
        <f t="shared" si="12"/>
        <v>316.00314399999996</v>
      </c>
      <c r="L26" s="197">
        <f t="shared" si="0"/>
        <v>121.49685600000004</v>
      </c>
      <c r="M26" s="197">
        <f t="shared" si="1"/>
        <v>451.49685600000004</v>
      </c>
      <c r="N26" s="196">
        <f t="shared" si="13"/>
        <v>289.23904004564594</v>
      </c>
      <c r="O26" s="197">
        <f t="shared" si="14"/>
        <v>218.16887592014436</v>
      </c>
      <c r="P26" s="197">
        <f t="shared" si="15"/>
        <v>208.91530519306517</v>
      </c>
      <c r="Q26" s="197">
        <f t="shared" si="16"/>
        <v>80.32373485258077</v>
      </c>
      <c r="R26" s="199">
        <f t="shared" si="17"/>
        <v>298.49261077272513</v>
      </c>
      <c r="S26" s="196">
        <f t="shared" si="62"/>
        <v>4872.2265791218615</v>
      </c>
      <c r="T26" s="197">
        <f t="shared" si="18"/>
        <v>4057.70413599519</v>
      </c>
      <c r="U26" s="197">
        <f t="shared" si="18"/>
        <v>9774.4705126076988</v>
      </c>
      <c r="V26" s="197">
        <f t="shared" si="18"/>
        <v>-4902.2439334858354</v>
      </c>
      <c r="W26" s="199">
        <f t="shared" si="18"/>
        <v>-844.53979749064479</v>
      </c>
      <c r="X26" s="197"/>
      <c r="Z26" s="204">
        <f t="shared" si="63"/>
        <v>15</v>
      </c>
      <c r="AA26" s="225">
        <f>'Energy NPV'!$D79</f>
        <v>10</v>
      </c>
      <c r="AB26" s="197">
        <f>'Energy margins'!$S$12</f>
        <v>43.75</v>
      </c>
      <c r="AC26" s="197">
        <f t="shared" si="19"/>
        <v>437.5</v>
      </c>
      <c r="AD26" s="197">
        <f>'Margins summary'!$U$14</f>
        <v>330</v>
      </c>
      <c r="AE26" s="197">
        <f t="shared" si="20"/>
        <v>767.5</v>
      </c>
      <c r="AF26" s="197"/>
      <c r="AG26" s="918">
        <f>'Energy NPV'!U79</f>
        <v>316.00314399999996</v>
      </c>
      <c r="AH26" s="197"/>
      <c r="AI26" s="197">
        <f t="shared" si="21"/>
        <v>474.00471599999992</v>
      </c>
      <c r="AJ26" s="197">
        <f t="shared" si="2"/>
        <v>-36.504715999999917</v>
      </c>
      <c r="AK26" s="197">
        <f t="shared" si="3"/>
        <v>293.49528400000008</v>
      </c>
      <c r="AL26" s="196">
        <f t="shared" si="22"/>
        <v>289.23904004564594</v>
      </c>
      <c r="AM26" s="197">
        <f t="shared" si="23"/>
        <v>218.16887592014436</v>
      </c>
      <c r="AN26" s="197">
        <f t="shared" si="24"/>
        <v>313.37295778959771</v>
      </c>
      <c r="AO26" s="197">
        <f t="shared" si="25"/>
        <v>-24.133917743951788</v>
      </c>
      <c r="AP26" s="199">
        <f t="shared" si="26"/>
        <v>194.03495817619256</v>
      </c>
      <c r="AQ26" s="196">
        <f t="shared" si="64"/>
        <v>4872.2265791218615</v>
      </c>
      <c r="AR26" s="197">
        <f t="shared" si="27"/>
        <v>4057.70413599519</v>
      </c>
      <c r="AS26" s="197">
        <f t="shared" si="27"/>
        <v>14661.705768911545</v>
      </c>
      <c r="AT26" s="197">
        <f t="shared" si="27"/>
        <v>-9789.4791897896794</v>
      </c>
      <c r="AU26" s="199">
        <f t="shared" si="27"/>
        <v>-5731.7750537944939</v>
      </c>
      <c r="AV26" s="197"/>
      <c r="AX26" s="204">
        <f t="shared" si="65"/>
        <v>15</v>
      </c>
      <c r="AY26" s="225">
        <f>'Energy NPV'!$D79</f>
        <v>10</v>
      </c>
      <c r="AZ26" s="197">
        <f>'Energy margins'!$S$12</f>
        <v>43.75</v>
      </c>
      <c r="BA26" s="197">
        <f t="shared" si="28"/>
        <v>437.5</v>
      </c>
      <c r="BB26" s="197">
        <f>'Margins summary'!$U$14</f>
        <v>330</v>
      </c>
      <c r="BC26" s="197">
        <f t="shared" si="29"/>
        <v>767.5</v>
      </c>
      <c r="BD26" s="197"/>
      <c r="BE26" s="918">
        <f>'Energy NPV'!U79</f>
        <v>316.00314399999996</v>
      </c>
      <c r="BF26" s="197"/>
      <c r="BG26" s="197">
        <f t="shared" si="30"/>
        <v>158.00157199999998</v>
      </c>
      <c r="BH26" s="197">
        <f t="shared" si="4"/>
        <v>279.49842799999999</v>
      </c>
      <c r="BI26" s="197">
        <f t="shared" si="5"/>
        <v>609.49842799999999</v>
      </c>
      <c r="BJ26" s="196">
        <f t="shared" si="31"/>
        <v>289.23904004564594</v>
      </c>
      <c r="BK26" s="197">
        <f t="shared" si="32"/>
        <v>218.16887592014436</v>
      </c>
      <c r="BL26" s="197">
        <f t="shared" si="33"/>
        <v>104.45765259653258</v>
      </c>
      <c r="BM26" s="197">
        <f t="shared" si="34"/>
        <v>184.78138744911334</v>
      </c>
      <c r="BN26" s="199">
        <f t="shared" si="35"/>
        <v>402.9502633692577</v>
      </c>
      <c r="BO26" s="196">
        <f t="shared" si="66"/>
        <v>4872.2265791218615</v>
      </c>
      <c r="BP26" s="197">
        <f t="shared" si="36"/>
        <v>4057.70413599519</v>
      </c>
      <c r="BQ26" s="197">
        <f t="shared" si="36"/>
        <v>4887.2352563038494</v>
      </c>
      <c r="BR26" s="197">
        <f t="shared" si="36"/>
        <v>-15.008677181985803</v>
      </c>
      <c r="BS26" s="199">
        <f t="shared" si="36"/>
        <v>4042.6954588132035</v>
      </c>
      <c r="BT26" s="197"/>
      <c r="BV26" s="204">
        <f t="shared" si="67"/>
        <v>15</v>
      </c>
      <c r="BW26" s="225">
        <f>'Energy NPV'!$D79</f>
        <v>10</v>
      </c>
      <c r="BX26" s="197">
        <f>'Energy margins'!$S$12</f>
        <v>43.75</v>
      </c>
      <c r="BY26" s="197">
        <f t="shared" si="37"/>
        <v>437.5</v>
      </c>
      <c r="BZ26" s="197">
        <f>'Margins summary'!$U$14</f>
        <v>330</v>
      </c>
      <c r="CA26" s="197">
        <f t="shared" si="38"/>
        <v>767.5</v>
      </c>
      <c r="CB26" s="197"/>
      <c r="CC26" s="918">
        <f>'Energy NPV'!U79</f>
        <v>316.00314399999996</v>
      </c>
      <c r="CD26" s="197"/>
      <c r="CE26" s="197">
        <f t="shared" si="39"/>
        <v>632.00628799999993</v>
      </c>
      <c r="CF26" s="197">
        <f t="shared" si="6"/>
        <v>-194.50628799999993</v>
      </c>
      <c r="CG26" s="197">
        <f t="shared" si="7"/>
        <v>135.49371200000007</v>
      </c>
      <c r="CH26" s="196">
        <f t="shared" si="40"/>
        <v>289.23904004564594</v>
      </c>
      <c r="CI26" s="197">
        <f t="shared" si="41"/>
        <v>218.16887592014436</v>
      </c>
      <c r="CJ26" s="197">
        <f t="shared" si="42"/>
        <v>417.83061038613033</v>
      </c>
      <c r="CK26" s="197">
        <f t="shared" si="43"/>
        <v>-128.5915703404844</v>
      </c>
      <c r="CL26" s="199">
        <f t="shared" si="44"/>
        <v>89.577305579659964</v>
      </c>
      <c r="CM26" s="196">
        <f t="shared" si="68"/>
        <v>4872.2265791218615</v>
      </c>
      <c r="CN26" s="197">
        <f t="shared" si="45"/>
        <v>4057.70413599519</v>
      </c>
      <c r="CO26" s="197">
        <f t="shared" si="46"/>
        <v>19548.941025215398</v>
      </c>
      <c r="CP26" s="197">
        <f t="shared" si="47"/>
        <v>-14676.714446093532</v>
      </c>
      <c r="CQ26" s="199">
        <f t="shared" si="48"/>
        <v>-10619.010310098342</v>
      </c>
      <c r="CR26" s="197"/>
      <c r="CT26" s="204">
        <f t="shared" si="69"/>
        <v>15</v>
      </c>
      <c r="CU26" s="225">
        <f>'Energy NPV'!$D79</f>
        <v>10</v>
      </c>
      <c r="CV26" s="197">
        <f>'Energy margins'!$S$12</f>
        <v>43.75</v>
      </c>
      <c r="CW26" s="197">
        <f t="shared" si="49"/>
        <v>437.5</v>
      </c>
      <c r="CX26" s="197">
        <f>'Margins summary'!$U$14</f>
        <v>330</v>
      </c>
      <c r="CY26" s="197">
        <f t="shared" si="50"/>
        <v>767.5</v>
      </c>
      <c r="CZ26" s="197"/>
      <c r="DA26" s="918">
        <f>'Energy NPV'!U79</f>
        <v>316.00314399999996</v>
      </c>
      <c r="DB26" s="197"/>
      <c r="DC26" s="197">
        <f t="shared" si="51"/>
        <v>0</v>
      </c>
      <c r="DD26" s="197">
        <f t="shared" si="8"/>
        <v>437.5</v>
      </c>
      <c r="DE26" s="197">
        <f t="shared" si="9"/>
        <v>767.5</v>
      </c>
      <c r="DF26" s="196">
        <f t="shared" si="52"/>
        <v>289.23904004564594</v>
      </c>
      <c r="DG26" s="197">
        <f t="shared" si="53"/>
        <v>218.16887592014436</v>
      </c>
      <c r="DH26" s="197">
        <f t="shared" si="54"/>
        <v>0</v>
      </c>
      <c r="DI26" s="197">
        <f t="shared" si="55"/>
        <v>289.23904004564594</v>
      </c>
      <c r="DJ26" s="199">
        <f t="shared" si="56"/>
        <v>507.40791596579027</v>
      </c>
      <c r="DK26" s="196">
        <f t="shared" si="70"/>
        <v>4872.2265791218615</v>
      </c>
      <c r="DL26" s="197">
        <f t="shared" si="57"/>
        <v>4057.70413599519</v>
      </c>
      <c r="DM26" s="197">
        <f t="shared" si="58"/>
        <v>0</v>
      </c>
      <c r="DN26" s="197">
        <f t="shared" si="59"/>
        <v>4872.2265791218615</v>
      </c>
      <c r="DO26" s="199">
        <f t="shared" si="60"/>
        <v>8929.9307151170506</v>
      </c>
    </row>
    <row r="27" spans="2:119" x14ac:dyDescent="0.3">
      <c r="B27" s="206">
        <f t="shared" si="61"/>
        <v>16</v>
      </c>
      <c r="C27" s="226">
        <f>'Energy NPV'!$D80</f>
        <v>10</v>
      </c>
      <c r="D27" s="207">
        <f>'Energy margins'!$S$12</f>
        <v>43.75</v>
      </c>
      <c r="E27" s="207">
        <f t="shared" si="10"/>
        <v>437.5</v>
      </c>
      <c r="F27" s="207">
        <f>'Margins summary'!$U$14</f>
        <v>330</v>
      </c>
      <c r="G27" s="207">
        <f t="shared" si="11"/>
        <v>767.5</v>
      </c>
      <c r="H27" s="207"/>
      <c r="I27" s="919">
        <f>'Energy NPV'!U80</f>
        <v>203.00314399999996</v>
      </c>
      <c r="J27" s="207">
        <f>'Energy margins'!$X$67</f>
        <v>192.1</v>
      </c>
      <c r="K27" s="207">
        <f t="shared" si="12"/>
        <v>395.10314399999993</v>
      </c>
      <c r="L27" s="207">
        <f t="shared" si="0"/>
        <v>42.396856000000071</v>
      </c>
      <c r="M27" s="207">
        <f t="shared" si="1"/>
        <v>372.39685600000007</v>
      </c>
      <c r="N27" s="208">
        <f t="shared" si="13"/>
        <v>280.81460198606396</v>
      </c>
      <c r="O27" s="207">
        <f t="shared" si="14"/>
        <v>211.81444264091684</v>
      </c>
      <c r="P27" s="207">
        <f t="shared" si="15"/>
        <v>253.60167343040573</v>
      </c>
      <c r="Q27" s="207">
        <f t="shared" si="16"/>
        <v>27.212928555658259</v>
      </c>
      <c r="R27" s="209">
        <f t="shared" si="17"/>
        <v>239.0273711965751</v>
      </c>
      <c r="S27" s="208">
        <f t="shared" si="62"/>
        <v>5153.0411811079257</v>
      </c>
      <c r="T27" s="207">
        <f t="shared" si="18"/>
        <v>4269.5185786361071</v>
      </c>
      <c r="U27" s="207">
        <f t="shared" si="18"/>
        <v>10028.072186038104</v>
      </c>
      <c r="V27" s="207">
        <f t="shared" si="18"/>
        <v>-4875.031004930177</v>
      </c>
      <c r="W27" s="209">
        <f t="shared" si="18"/>
        <v>-605.51242629406966</v>
      </c>
      <c r="X27" s="197"/>
      <c r="Z27" s="206">
        <f t="shared" si="63"/>
        <v>16</v>
      </c>
      <c r="AA27" s="226">
        <f>'Energy NPV'!$D80</f>
        <v>10</v>
      </c>
      <c r="AB27" s="207">
        <f>'Energy margins'!$S$12</f>
        <v>43.75</v>
      </c>
      <c r="AC27" s="207">
        <f>AA27*AB27</f>
        <v>437.5</v>
      </c>
      <c r="AD27" s="207">
        <f>'Margins summary'!$U$14</f>
        <v>330</v>
      </c>
      <c r="AE27" s="207">
        <f t="shared" si="20"/>
        <v>767.5</v>
      </c>
      <c r="AF27" s="207"/>
      <c r="AG27" s="919">
        <f>'Energy NPV'!U80</f>
        <v>203.00314399999996</v>
      </c>
      <c r="AH27" s="207">
        <f>'Energy margins'!$X$67</f>
        <v>192.1</v>
      </c>
      <c r="AI27" s="207">
        <f t="shared" si="21"/>
        <v>592.65471599999989</v>
      </c>
      <c r="AJ27" s="207">
        <f t="shared" si="2"/>
        <v>-155.15471599999989</v>
      </c>
      <c r="AK27" s="207">
        <f t="shared" si="3"/>
        <v>174.84528400000011</v>
      </c>
      <c r="AL27" s="208">
        <f t="shared" si="22"/>
        <v>280.81460198606396</v>
      </c>
      <c r="AM27" s="207">
        <f t="shared" si="23"/>
        <v>211.81444264091684</v>
      </c>
      <c r="AN27" s="207">
        <f t="shared" si="24"/>
        <v>380.40251014560857</v>
      </c>
      <c r="AO27" s="207">
        <f t="shared" si="25"/>
        <v>-99.587908159544597</v>
      </c>
      <c r="AP27" s="209">
        <f t="shared" si="26"/>
        <v>112.22653448137223</v>
      </c>
      <c r="AQ27" s="208">
        <f t="shared" si="64"/>
        <v>5153.0411811079257</v>
      </c>
      <c r="AR27" s="207">
        <f t="shared" si="27"/>
        <v>4269.5185786361071</v>
      </c>
      <c r="AS27" s="207">
        <f t="shared" si="27"/>
        <v>15042.108279057153</v>
      </c>
      <c r="AT27" s="207">
        <f t="shared" si="27"/>
        <v>-9889.0670979492243</v>
      </c>
      <c r="AU27" s="209">
        <f t="shared" si="27"/>
        <v>-5619.5485193131217</v>
      </c>
      <c r="AV27" s="197"/>
      <c r="AX27" s="206">
        <f t="shared" si="65"/>
        <v>16</v>
      </c>
      <c r="AY27" s="226">
        <f>'Energy NPV'!$D80</f>
        <v>10</v>
      </c>
      <c r="AZ27" s="207">
        <f>'Energy margins'!$S$12</f>
        <v>43.75</v>
      </c>
      <c r="BA27" s="207">
        <f t="shared" si="28"/>
        <v>437.5</v>
      </c>
      <c r="BB27" s="207">
        <f>'Margins summary'!$U$14</f>
        <v>330</v>
      </c>
      <c r="BC27" s="207">
        <f t="shared" si="29"/>
        <v>767.5</v>
      </c>
      <c r="BD27" s="207"/>
      <c r="BE27" s="919">
        <f>'Energy NPV'!U80</f>
        <v>203.00314399999996</v>
      </c>
      <c r="BF27" s="207">
        <f>'Energy margins'!$X$67</f>
        <v>192.1</v>
      </c>
      <c r="BG27" s="207">
        <f t="shared" si="30"/>
        <v>197.55157199999996</v>
      </c>
      <c r="BH27" s="207">
        <f t="shared" si="4"/>
        <v>239.94842800000004</v>
      </c>
      <c r="BI27" s="207">
        <f t="shared" si="5"/>
        <v>569.94842800000004</v>
      </c>
      <c r="BJ27" s="208">
        <f t="shared" si="31"/>
        <v>280.81460198606396</v>
      </c>
      <c r="BK27" s="207">
        <f t="shared" si="32"/>
        <v>211.81444264091684</v>
      </c>
      <c r="BL27" s="207">
        <f t="shared" si="33"/>
        <v>126.80083671520286</v>
      </c>
      <c r="BM27" s="207">
        <f t="shared" si="34"/>
        <v>154.01376527086111</v>
      </c>
      <c r="BN27" s="209">
        <f t="shared" si="35"/>
        <v>365.82820791177795</v>
      </c>
      <c r="BO27" s="208">
        <f t="shared" si="66"/>
        <v>5153.0411811079257</v>
      </c>
      <c r="BP27" s="207">
        <f t="shared" si="36"/>
        <v>4269.5185786361071</v>
      </c>
      <c r="BQ27" s="207">
        <f t="shared" si="36"/>
        <v>5014.0360930190518</v>
      </c>
      <c r="BR27" s="207">
        <f t="shared" si="36"/>
        <v>139.00508808887531</v>
      </c>
      <c r="BS27" s="209">
        <f t="shared" si="36"/>
        <v>4408.523666724981</v>
      </c>
      <c r="BT27" s="197"/>
      <c r="BV27" s="206">
        <f t="shared" si="67"/>
        <v>16</v>
      </c>
      <c r="BW27" s="226">
        <f>'Energy NPV'!$D80</f>
        <v>10</v>
      </c>
      <c r="BX27" s="207">
        <f>'Energy margins'!$S$12</f>
        <v>43.75</v>
      </c>
      <c r="BY27" s="207">
        <f t="shared" si="37"/>
        <v>437.5</v>
      </c>
      <c r="BZ27" s="207">
        <f>'Margins summary'!$U$14</f>
        <v>330</v>
      </c>
      <c r="CA27" s="207">
        <f t="shared" si="38"/>
        <v>767.5</v>
      </c>
      <c r="CB27" s="207"/>
      <c r="CC27" s="919">
        <f>'Energy NPV'!U80</f>
        <v>203.00314399999996</v>
      </c>
      <c r="CD27" s="207">
        <f>'Energy margins'!$X$67</f>
        <v>192.1</v>
      </c>
      <c r="CE27" s="207">
        <f t="shared" si="39"/>
        <v>790.20628799999986</v>
      </c>
      <c r="CF27" s="207">
        <f t="shared" si="6"/>
        <v>-352.70628799999986</v>
      </c>
      <c r="CG27" s="207">
        <f t="shared" si="7"/>
        <v>-22.706287999999859</v>
      </c>
      <c r="CH27" s="208">
        <f t="shared" si="40"/>
        <v>280.81460198606396</v>
      </c>
      <c r="CI27" s="207">
        <f t="shared" si="41"/>
        <v>211.81444264091684</v>
      </c>
      <c r="CJ27" s="207">
        <f t="shared" si="42"/>
        <v>507.20334686081145</v>
      </c>
      <c r="CK27" s="207">
        <f t="shared" si="43"/>
        <v>-226.38874487474746</v>
      </c>
      <c r="CL27" s="209">
        <f t="shared" si="44"/>
        <v>-14.574302233830631</v>
      </c>
      <c r="CM27" s="208">
        <f t="shared" si="68"/>
        <v>5153.0411811079257</v>
      </c>
      <c r="CN27" s="207">
        <f t="shared" si="45"/>
        <v>4269.5185786361071</v>
      </c>
      <c r="CO27" s="207">
        <f t="shared" si="46"/>
        <v>20056.144372076207</v>
      </c>
      <c r="CP27" s="207">
        <f t="shared" si="47"/>
        <v>-14903.103190968281</v>
      </c>
      <c r="CQ27" s="209">
        <f t="shared" si="48"/>
        <v>-10633.584612332172</v>
      </c>
      <c r="CR27" s="197"/>
      <c r="CT27" s="206">
        <f t="shared" si="69"/>
        <v>16</v>
      </c>
      <c r="CU27" s="226">
        <f>'Energy NPV'!$D80</f>
        <v>10</v>
      </c>
      <c r="CV27" s="207">
        <f>'Energy margins'!$S$12</f>
        <v>43.75</v>
      </c>
      <c r="CW27" s="207">
        <f t="shared" si="49"/>
        <v>437.5</v>
      </c>
      <c r="CX27" s="207">
        <f>'Margins summary'!$U$14</f>
        <v>330</v>
      </c>
      <c r="CY27" s="207">
        <f t="shared" si="50"/>
        <v>767.5</v>
      </c>
      <c r="CZ27" s="207"/>
      <c r="DA27" s="919">
        <f>'Energy NPV'!U80</f>
        <v>203.00314399999996</v>
      </c>
      <c r="DB27" s="207">
        <f>'Energy margins'!$X$67</f>
        <v>192.1</v>
      </c>
      <c r="DC27" s="207">
        <f t="shared" si="51"/>
        <v>0</v>
      </c>
      <c r="DD27" s="207">
        <f t="shared" si="8"/>
        <v>437.5</v>
      </c>
      <c r="DE27" s="207">
        <f t="shared" si="9"/>
        <v>767.5</v>
      </c>
      <c r="DF27" s="208">
        <f t="shared" si="52"/>
        <v>280.81460198606396</v>
      </c>
      <c r="DG27" s="207">
        <f t="shared" si="53"/>
        <v>211.81444264091684</v>
      </c>
      <c r="DH27" s="207">
        <f t="shared" si="54"/>
        <v>0</v>
      </c>
      <c r="DI27" s="207">
        <f t="shared" si="55"/>
        <v>280.81460198606396</v>
      </c>
      <c r="DJ27" s="209">
        <f t="shared" si="56"/>
        <v>492.62904462698083</v>
      </c>
      <c r="DK27" s="208">
        <f t="shared" si="70"/>
        <v>5153.0411811079257</v>
      </c>
      <c r="DL27" s="207">
        <f t="shared" si="57"/>
        <v>4269.5185786361071</v>
      </c>
      <c r="DM27" s="207">
        <f t="shared" si="58"/>
        <v>0</v>
      </c>
      <c r="DN27" s="207">
        <f t="shared" si="59"/>
        <v>5153.0411811079257</v>
      </c>
      <c r="DO27" s="209">
        <f t="shared" si="60"/>
        <v>9422.5597597440319</v>
      </c>
    </row>
    <row r="34" spans="2:119" x14ac:dyDescent="0.3">
      <c r="B34" s="228" t="s">
        <v>436</v>
      </c>
      <c r="C34" s="763" t="s">
        <v>404</v>
      </c>
      <c r="D34" s="269" t="s">
        <v>395</v>
      </c>
      <c r="E34" s="906">
        <v>1</v>
      </c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Z34" s="228" t="s">
        <v>436</v>
      </c>
      <c r="AA34" s="211" t="s">
        <v>322</v>
      </c>
      <c r="AB34" s="906">
        <v>1.5</v>
      </c>
      <c r="AC34" s="194"/>
      <c r="AD34" s="193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X34" s="228" t="s">
        <v>436</v>
      </c>
      <c r="AY34" s="211" t="s">
        <v>323</v>
      </c>
      <c r="AZ34" s="906">
        <v>0.5</v>
      </c>
      <c r="BA34" s="194"/>
      <c r="BB34" s="193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V34" s="228" t="s">
        <v>436</v>
      </c>
      <c r="BW34" s="211" t="s">
        <v>324</v>
      </c>
      <c r="BX34" s="906">
        <v>2</v>
      </c>
      <c r="BY34" s="194"/>
      <c r="BZ34" s="193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O34" s="102"/>
      <c r="CP34" s="102"/>
      <c r="CQ34" s="102"/>
      <c r="CR34" s="102"/>
      <c r="CT34" s="228" t="s">
        <v>436</v>
      </c>
      <c r="CU34" s="211" t="s">
        <v>325</v>
      </c>
      <c r="CV34" s="906">
        <v>0</v>
      </c>
      <c r="CW34" s="194"/>
      <c r="CX34" s="193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  <c r="DL34" s="102"/>
      <c r="DM34" s="102"/>
      <c r="DN34" s="102"/>
      <c r="DO34" s="102"/>
    </row>
    <row r="35" spans="2:119" x14ac:dyDescent="0.3">
      <c r="B35" s="203"/>
      <c r="C35" s="148"/>
      <c r="D35" s="148"/>
      <c r="E35" s="1108"/>
      <c r="F35" s="1108"/>
      <c r="G35" s="1108"/>
      <c r="H35" s="148"/>
      <c r="I35" s="931"/>
      <c r="J35" s="1108"/>
      <c r="K35" s="1108"/>
      <c r="L35" s="148"/>
      <c r="M35" s="148"/>
      <c r="N35" s="1109" t="s">
        <v>270</v>
      </c>
      <c r="O35" s="1110"/>
      <c r="P35" s="1110"/>
      <c r="Q35" s="1110"/>
      <c r="R35" s="1111"/>
      <c r="S35" s="1109" t="s">
        <v>271</v>
      </c>
      <c r="T35" s="1110"/>
      <c r="U35" s="1110"/>
      <c r="V35" s="1110"/>
      <c r="W35" s="1111"/>
      <c r="X35" s="1001"/>
      <c r="Z35" s="203"/>
      <c r="AA35" s="148"/>
      <c r="AB35" s="148"/>
      <c r="AC35" s="1108"/>
      <c r="AD35" s="1108"/>
      <c r="AE35" s="1108"/>
      <c r="AF35" s="148"/>
      <c r="AG35" s="931"/>
      <c r="AH35" s="1108"/>
      <c r="AI35" s="1108"/>
      <c r="AJ35" s="148"/>
      <c r="AK35" s="148"/>
      <c r="AL35" s="1109" t="s">
        <v>270</v>
      </c>
      <c r="AM35" s="1110"/>
      <c r="AN35" s="1110"/>
      <c r="AO35" s="1110"/>
      <c r="AP35" s="1111"/>
      <c r="AQ35" s="1109" t="s">
        <v>271</v>
      </c>
      <c r="AR35" s="1110"/>
      <c r="AS35" s="1110"/>
      <c r="AT35" s="1110"/>
      <c r="AU35" s="1111"/>
      <c r="AV35" s="1001"/>
      <c r="AX35" s="203"/>
      <c r="AY35" s="148"/>
      <c r="AZ35" s="148"/>
      <c r="BA35" s="1108"/>
      <c r="BB35" s="1108"/>
      <c r="BC35" s="1108"/>
      <c r="BD35" s="148"/>
      <c r="BE35" s="931"/>
      <c r="BF35" s="1108"/>
      <c r="BG35" s="1108"/>
      <c r="BH35" s="148"/>
      <c r="BI35" s="148"/>
      <c r="BJ35" s="1109" t="s">
        <v>270</v>
      </c>
      <c r="BK35" s="1110"/>
      <c r="BL35" s="1110"/>
      <c r="BM35" s="1110"/>
      <c r="BN35" s="1111"/>
      <c r="BO35" s="1109" t="s">
        <v>271</v>
      </c>
      <c r="BP35" s="1110"/>
      <c r="BQ35" s="1110"/>
      <c r="BR35" s="1110"/>
      <c r="BS35" s="1111"/>
      <c r="BT35" s="1001"/>
      <c r="BV35" s="203"/>
      <c r="BW35" s="148"/>
      <c r="BX35" s="148"/>
      <c r="BY35" s="1108"/>
      <c r="BZ35" s="1108"/>
      <c r="CA35" s="1108"/>
      <c r="CB35" s="148"/>
      <c r="CC35" s="931"/>
      <c r="CD35" s="1108"/>
      <c r="CE35" s="1108"/>
      <c r="CF35" s="148"/>
      <c r="CG35" s="148"/>
      <c r="CH35" s="1109" t="s">
        <v>270</v>
      </c>
      <c r="CI35" s="1110"/>
      <c r="CJ35" s="1110"/>
      <c r="CK35" s="1110"/>
      <c r="CL35" s="1111"/>
      <c r="CM35" s="1109" t="s">
        <v>271</v>
      </c>
      <c r="CN35" s="1110"/>
      <c r="CO35" s="1110"/>
      <c r="CP35" s="1110"/>
      <c r="CQ35" s="1111"/>
      <c r="CR35" s="1001"/>
      <c r="CT35" s="203"/>
      <c r="CU35" s="148"/>
      <c r="CV35" s="148"/>
      <c r="CW35" s="1108"/>
      <c r="CX35" s="1108"/>
      <c r="CY35" s="1108"/>
      <c r="CZ35" s="148"/>
      <c r="DA35" s="931"/>
      <c r="DB35" s="1108"/>
      <c r="DC35" s="1108"/>
      <c r="DD35" s="148"/>
      <c r="DE35" s="148"/>
      <c r="DF35" s="1109" t="s">
        <v>270</v>
      </c>
      <c r="DG35" s="1110"/>
      <c r="DH35" s="1110"/>
      <c r="DI35" s="1110"/>
      <c r="DJ35" s="1111"/>
      <c r="DK35" s="1109" t="s">
        <v>271</v>
      </c>
      <c r="DL35" s="1110"/>
      <c r="DM35" s="1110"/>
      <c r="DN35" s="1110"/>
      <c r="DO35" s="1111"/>
    </row>
    <row r="36" spans="2:119" ht="51" x14ac:dyDescent="0.3">
      <c r="B36" s="204" t="s">
        <v>272</v>
      </c>
      <c r="C36" s="205" t="s">
        <v>289</v>
      </c>
      <c r="D36" s="205" t="s">
        <v>290</v>
      </c>
      <c r="E36" s="171" t="s">
        <v>676</v>
      </c>
      <c r="F36" s="171" t="s">
        <v>672</v>
      </c>
      <c r="G36" s="171" t="s">
        <v>677</v>
      </c>
      <c r="H36" s="205" t="s">
        <v>287</v>
      </c>
      <c r="I36" s="935" t="str">
        <f>'Energy NPV'!U89</f>
        <v>Total Recurring Costs</v>
      </c>
      <c r="J36" s="205" t="s">
        <v>291</v>
      </c>
      <c r="K36" s="171" t="s">
        <v>276</v>
      </c>
      <c r="L36" s="171" t="s">
        <v>678</v>
      </c>
      <c r="M36" s="171" t="s">
        <v>679</v>
      </c>
      <c r="N36" s="195" t="s">
        <v>277</v>
      </c>
      <c r="O36" s="171" t="s">
        <v>680</v>
      </c>
      <c r="P36" s="171" t="s">
        <v>278</v>
      </c>
      <c r="Q36" s="171" t="s">
        <v>681</v>
      </c>
      <c r="R36" s="198" t="s">
        <v>279</v>
      </c>
      <c r="S36" s="195" t="s">
        <v>280</v>
      </c>
      <c r="T36" s="171" t="s">
        <v>682</v>
      </c>
      <c r="U36" s="171" t="s">
        <v>281</v>
      </c>
      <c r="V36" s="171" t="s">
        <v>683</v>
      </c>
      <c r="W36" s="198" t="s">
        <v>282</v>
      </c>
      <c r="X36" s="171"/>
      <c r="Z36" s="204" t="s">
        <v>272</v>
      </c>
      <c r="AA36" s="205" t="s">
        <v>289</v>
      </c>
      <c r="AB36" s="205" t="s">
        <v>290</v>
      </c>
      <c r="AC36" s="171" t="s">
        <v>676</v>
      </c>
      <c r="AD36" s="171" t="s">
        <v>672</v>
      </c>
      <c r="AE36" s="171" t="s">
        <v>677</v>
      </c>
      <c r="AF36" s="205" t="s">
        <v>287</v>
      </c>
      <c r="AG36" s="935" t="str">
        <f>'Energy NPV'!U89</f>
        <v>Total Recurring Costs</v>
      </c>
      <c r="AH36" s="205" t="s">
        <v>291</v>
      </c>
      <c r="AI36" s="171" t="s">
        <v>276</v>
      </c>
      <c r="AJ36" s="171" t="s">
        <v>678</v>
      </c>
      <c r="AK36" s="171" t="s">
        <v>679</v>
      </c>
      <c r="AL36" s="195" t="s">
        <v>277</v>
      </c>
      <c r="AM36" s="171" t="s">
        <v>680</v>
      </c>
      <c r="AN36" s="171" t="s">
        <v>278</v>
      </c>
      <c r="AO36" s="171" t="s">
        <v>681</v>
      </c>
      <c r="AP36" s="198" t="s">
        <v>279</v>
      </c>
      <c r="AQ36" s="195" t="s">
        <v>280</v>
      </c>
      <c r="AR36" s="171" t="s">
        <v>682</v>
      </c>
      <c r="AS36" s="171" t="s">
        <v>281</v>
      </c>
      <c r="AT36" s="171" t="s">
        <v>683</v>
      </c>
      <c r="AU36" s="198" t="s">
        <v>282</v>
      </c>
      <c r="AV36" s="171"/>
      <c r="AX36" s="204" t="s">
        <v>272</v>
      </c>
      <c r="AY36" s="205" t="s">
        <v>289</v>
      </c>
      <c r="AZ36" s="205" t="s">
        <v>290</v>
      </c>
      <c r="BA36" s="171" t="s">
        <v>676</v>
      </c>
      <c r="BB36" s="171" t="s">
        <v>672</v>
      </c>
      <c r="BC36" s="171" t="s">
        <v>677</v>
      </c>
      <c r="BD36" s="205" t="s">
        <v>287</v>
      </c>
      <c r="BE36" s="935" t="str">
        <f>'Energy NPV'!U89</f>
        <v>Total Recurring Costs</v>
      </c>
      <c r="BF36" s="205" t="s">
        <v>291</v>
      </c>
      <c r="BG36" s="171" t="s">
        <v>276</v>
      </c>
      <c r="BH36" s="171" t="s">
        <v>678</v>
      </c>
      <c r="BI36" s="171" t="s">
        <v>679</v>
      </c>
      <c r="BJ36" s="195" t="s">
        <v>277</v>
      </c>
      <c r="BK36" s="171" t="s">
        <v>680</v>
      </c>
      <c r="BL36" s="171" t="s">
        <v>278</v>
      </c>
      <c r="BM36" s="171" t="s">
        <v>681</v>
      </c>
      <c r="BN36" s="198" t="s">
        <v>279</v>
      </c>
      <c r="BO36" s="195" t="s">
        <v>280</v>
      </c>
      <c r="BP36" s="171" t="s">
        <v>682</v>
      </c>
      <c r="BQ36" s="171" t="s">
        <v>281</v>
      </c>
      <c r="BR36" s="171" t="s">
        <v>683</v>
      </c>
      <c r="BS36" s="198" t="s">
        <v>282</v>
      </c>
      <c r="BT36" s="171"/>
      <c r="BV36" s="204" t="s">
        <v>272</v>
      </c>
      <c r="BW36" s="205" t="s">
        <v>289</v>
      </c>
      <c r="BX36" s="205" t="s">
        <v>290</v>
      </c>
      <c r="BY36" s="171" t="s">
        <v>676</v>
      </c>
      <c r="BZ36" s="171" t="s">
        <v>672</v>
      </c>
      <c r="CA36" s="171" t="s">
        <v>677</v>
      </c>
      <c r="CB36" s="205" t="s">
        <v>287</v>
      </c>
      <c r="CC36" s="935" t="str">
        <f>'Energy NPV'!U89</f>
        <v>Total Recurring Costs</v>
      </c>
      <c r="CD36" s="205" t="s">
        <v>291</v>
      </c>
      <c r="CE36" s="171" t="s">
        <v>276</v>
      </c>
      <c r="CF36" s="171" t="s">
        <v>678</v>
      </c>
      <c r="CG36" s="171" t="s">
        <v>679</v>
      </c>
      <c r="CH36" s="195" t="s">
        <v>277</v>
      </c>
      <c r="CI36" s="171" t="s">
        <v>680</v>
      </c>
      <c r="CJ36" s="171" t="s">
        <v>278</v>
      </c>
      <c r="CK36" s="171" t="s">
        <v>681</v>
      </c>
      <c r="CL36" s="198" t="s">
        <v>279</v>
      </c>
      <c r="CM36" s="195" t="s">
        <v>280</v>
      </c>
      <c r="CN36" s="171" t="s">
        <v>682</v>
      </c>
      <c r="CO36" s="171" t="s">
        <v>281</v>
      </c>
      <c r="CP36" s="171" t="s">
        <v>683</v>
      </c>
      <c r="CQ36" s="198" t="s">
        <v>282</v>
      </c>
      <c r="CR36" s="171"/>
      <c r="CT36" s="204" t="s">
        <v>272</v>
      </c>
      <c r="CU36" s="205" t="s">
        <v>289</v>
      </c>
      <c r="CV36" s="205" t="s">
        <v>290</v>
      </c>
      <c r="CW36" s="171" t="s">
        <v>676</v>
      </c>
      <c r="CX36" s="171" t="s">
        <v>672</v>
      </c>
      <c r="CY36" s="171" t="s">
        <v>677</v>
      </c>
      <c r="CZ36" s="205" t="s">
        <v>287</v>
      </c>
      <c r="DA36" s="935" t="str">
        <f>'Energy NPV'!U89</f>
        <v>Total Recurring Costs</v>
      </c>
      <c r="DB36" s="205" t="s">
        <v>291</v>
      </c>
      <c r="DC36" s="171" t="s">
        <v>276</v>
      </c>
      <c r="DD36" s="171" t="s">
        <v>678</v>
      </c>
      <c r="DE36" s="171" t="s">
        <v>679</v>
      </c>
      <c r="DF36" s="195" t="s">
        <v>277</v>
      </c>
      <c r="DG36" s="171" t="s">
        <v>680</v>
      </c>
      <c r="DH36" s="171" t="s">
        <v>278</v>
      </c>
      <c r="DI36" s="171" t="s">
        <v>681</v>
      </c>
      <c r="DJ36" s="198" t="s">
        <v>279</v>
      </c>
      <c r="DK36" s="195" t="s">
        <v>280</v>
      </c>
      <c r="DL36" s="171" t="s">
        <v>682</v>
      </c>
      <c r="DM36" s="171" t="s">
        <v>281</v>
      </c>
      <c r="DN36" s="171" t="s">
        <v>683</v>
      </c>
      <c r="DO36" s="198" t="s">
        <v>282</v>
      </c>
    </row>
    <row r="37" spans="2:119" x14ac:dyDescent="0.3">
      <c r="B37" s="173"/>
      <c r="C37" s="226" t="s">
        <v>332</v>
      </c>
      <c r="D37" s="226" t="s">
        <v>569</v>
      </c>
      <c r="E37" s="201" t="s">
        <v>567</v>
      </c>
      <c r="F37" s="201" t="s">
        <v>567</v>
      </c>
      <c r="G37" s="201" t="s">
        <v>567</v>
      </c>
      <c r="H37" s="201" t="s">
        <v>567</v>
      </c>
      <c r="I37" s="969" t="str">
        <f>'Energy NPV'!U90</f>
        <v>(€ ha-1)</v>
      </c>
      <c r="J37" s="201" t="s">
        <v>567</v>
      </c>
      <c r="K37" s="201" t="s">
        <v>567</v>
      </c>
      <c r="L37" s="201" t="s">
        <v>567</v>
      </c>
      <c r="M37" s="202" t="s">
        <v>567</v>
      </c>
      <c r="N37" s="201" t="s">
        <v>567</v>
      </c>
      <c r="O37" s="201" t="s">
        <v>567</v>
      </c>
      <c r="P37" s="201" t="s">
        <v>567</v>
      </c>
      <c r="Q37" s="201" t="s">
        <v>567</v>
      </c>
      <c r="R37" s="202" t="s">
        <v>567</v>
      </c>
      <c r="S37" s="201" t="s">
        <v>567</v>
      </c>
      <c r="T37" s="201" t="s">
        <v>567</v>
      </c>
      <c r="U37" s="201" t="s">
        <v>567</v>
      </c>
      <c r="V37" s="201" t="s">
        <v>567</v>
      </c>
      <c r="W37" s="202" t="s">
        <v>567</v>
      </c>
      <c r="X37" s="1002"/>
      <c r="Z37" s="173"/>
      <c r="AA37" s="226" t="s">
        <v>332</v>
      </c>
      <c r="AB37" s="226" t="s">
        <v>569</v>
      </c>
      <c r="AC37" s="201" t="s">
        <v>567</v>
      </c>
      <c r="AD37" s="201" t="s">
        <v>567</v>
      </c>
      <c r="AE37" s="201" t="s">
        <v>567</v>
      </c>
      <c r="AF37" s="201" t="s">
        <v>567</v>
      </c>
      <c r="AG37" s="969" t="str">
        <f>'Energy NPV'!U90</f>
        <v>(€ ha-1)</v>
      </c>
      <c r="AH37" s="201" t="s">
        <v>567</v>
      </c>
      <c r="AI37" s="201" t="s">
        <v>567</v>
      </c>
      <c r="AJ37" s="201" t="s">
        <v>567</v>
      </c>
      <c r="AK37" s="202" t="s">
        <v>567</v>
      </c>
      <c r="AL37" s="201" t="s">
        <v>567</v>
      </c>
      <c r="AM37" s="201" t="s">
        <v>567</v>
      </c>
      <c r="AN37" s="201" t="s">
        <v>567</v>
      </c>
      <c r="AO37" s="201" t="s">
        <v>567</v>
      </c>
      <c r="AP37" s="202" t="s">
        <v>567</v>
      </c>
      <c r="AQ37" s="201" t="s">
        <v>567</v>
      </c>
      <c r="AR37" s="201" t="s">
        <v>567</v>
      </c>
      <c r="AS37" s="201" t="s">
        <v>567</v>
      </c>
      <c r="AT37" s="201" t="s">
        <v>567</v>
      </c>
      <c r="AU37" s="202" t="s">
        <v>567</v>
      </c>
      <c r="AV37" s="1002"/>
      <c r="AX37" s="173"/>
      <c r="AY37" s="226" t="s">
        <v>332</v>
      </c>
      <c r="AZ37" s="226" t="s">
        <v>569</v>
      </c>
      <c r="BA37" s="201" t="s">
        <v>567</v>
      </c>
      <c r="BB37" s="201" t="s">
        <v>567</v>
      </c>
      <c r="BC37" s="201" t="s">
        <v>567</v>
      </c>
      <c r="BD37" s="201" t="s">
        <v>567</v>
      </c>
      <c r="BE37" s="969" t="str">
        <f>'Energy NPV'!U90</f>
        <v>(€ ha-1)</v>
      </c>
      <c r="BF37" s="201" t="s">
        <v>567</v>
      </c>
      <c r="BG37" s="201" t="s">
        <v>567</v>
      </c>
      <c r="BH37" s="201" t="s">
        <v>567</v>
      </c>
      <c r="BI37" s="202" t="s">
        <v>567</v>
      </c>
      <c r="BJ37" s="201" t="s">
        <v>567</v>
      </c>
      <c r="BK37" s="201" t="s">
        <v>567</v>
      </c>
      <c r="BL37" s="201" t="s">
        <v>567</v>
      </c>
      <c r="BM37" s="201" t="s">
        <v>567</v>
      </c>
      <c r="BN37" s="202" t="s">
        <v>567</v>
      </c>
      <c r="BO37" s="201" t="s">
        <v>567</v>
      </c>
      <c r="BP37" s="201" t="s">
        <v>567</v>
      </c>
      <c r="BQ37" s="201" t="s">
        <v>567</v>
      </c>
      <c r="BR37" s="201" t="s">
        <v>567</v>
      </c>
      <c r="BS37" s="202" t="s">
        <v>567</v>
      </c>
      <c r="BT37" s="1002"/>
      <c r="BV37" s="173"/>
      <c r="BW37" s="226" t="s">
        <v>332</v>
      </c>
      <c r="BX37" s="226" t="s">
        <v>569</v>
      </c>
      <c r="BY37" s="201" t="s">
        <v>567</v>
      </c>
      <c r="BZ37" s="201" t="s">
        <v>567</v>
      </c>
      <c r="CA37" s="201" t="s">
        <v>567</v>
      </c>
      <c r="CB37" s="201" t="s">
        <v>567</v>
      </c>
      <c r="CC37" s="969" t="str">
        <f>'Energy NPV'!U90</f>
        <v>(€ ha-1)</v>
      </c>
      <c r="CD37" s="201" t="s">
        <v>567</v>
      </c>
      <c r="CE37" s="201" t="s">
        <v>567</v>
      </c>
      <c r="CF37" s="201" t="s">
        <v>567</v>
      </c>
      <c r="CG37" s="202" t="s">
        <v>567</v>
      </c>
      <c r="CH37" s="201" t="s">
        <v>567</v>
      </c>
      <c r="CI37" s="201" t="s">
        <v>567</v>
      </c>
      <c r="CJ37" s="201" t="s">
        <v>567</v>
      </c>
      <c r="CK37" s="201" t="s">
        <v>567</v>
      </c>
      <c r="CL37" s="202" t="s">
        <v>567</v>
      </c>
      <c r="CM37" s="201" t="s">
        <v>567</v>
      </c>
      <c r="CN37" s="201" t="s">
        <v>567</v>
      </c>
      <c r="CO37" s="201" t="s">
        <v>567</v>
      </c>
      <c r="CP37" s="201" t="s">
        <v>567</v>
      </c>
      <c r="CQ37" s="202" t="s">
        <v>567</v>
      </c>
      <c r="CR37" s="1002"/>
      <c r="CT37" s="173"/>
      <c r="CU37" s="226" t="s">
        <v>332</v>
      </c>
      <c r="CV37" s="226" t="s">
        <v>569</v>
      </c>
      <c r="CW37" s="201" t="s">
        <v>567</v>
      </c>
      <c r="CX37" s="201" t="s">
        <v>567</v>
      </c>
      <c r="CY37" s="201" t="s">
        <v>567</v>
      </c>
      <c r="CZ37" s="201" t="s">
        <v>567</v>
      </c>
      <c r="DA37" s="969" t="str">
        <f>'Energy NPV'!U90</f>
        <v>(€ ha-1)</v>
      </c>
      <c r="DB37" s="201" t="s">
        <v>567</v>
      </c>
      <c r="DC37" s="201" t="s">
        <v>567</v>
      </c>
      <c r="DD37" s="201" t="s">
        <v>567</v>
      </c>
      <c r="DE37" s="202" t="s">
        <v>567</v>
      </c>
      <c r="DF37" s="201" t="s">
        <v>567</v>
      </c>
      <c r="DG37" s="201" t="s">
        <v>567</v>
      </c>
      <c r="DH37" s="201" t="s">
        <v>567</v>
      </c>
      <c r="DI37" s="201" t="s">
        <v>567</v>
      </c>
      <c r="DJ37" s="202" t="s">
        <v>567</v>
      </c>
      <c r="DK37" s="201" t="s">
        <v>567</v>
      </c>
      <c r="DL37" s="201" t="s">
        <v>567</v>
      </c>
      <c r="DM37" s="201" t="s">
        <v>567</v>
      </c>
      <c r="DN37" s="201" t="s">
        <v>567</v>
      </c>
      <c r="DO37" s="202" t="s">
        <v>567</v>
      </c>
    </row>
    <row r="38" spans="2:119" x14ac:dyDescent="0.3">
      <c r="B38" s="204">
        <v>1</v>
      </c>
      <c r="C38" s="197">
        <f>'Energy NPV'!$D91</f>
        <v>0</v>
      </c>
      <c r="D38" s="197">
        <f>'Energy margins'!$Z$12</f>
        <v>43.75</v>
      </c>
      <c r="E38" s="197">
        <f>C38*D38</f>
        <v>0</v>
      </c>
      <c r="F38" s="197">
        <f>'Margins summary'!$W$14</f>
        <v>330</v>
      </c>
      <c r="G38" s="197">
        <f>E38+F38</f>
        <v>330</v>
      </c>
      <c r="H38" s="197">
        <f>'Margins summary'!$V$20</f>
        <v>2769.6868439999998</v>
      </c>
      <c r="I38" s="918">
        <f>'Energy NPV'!U91</f>
        <v>0</v>
      </c>
      <c r="J38" s="197"/>
      <c r="K38" s="197">
        <f>(H38+I38+J38)*$E$34</f>
        <v>2769.6868439999998</v>
      </c>
      <c r="L38" s="197">
        <f t="shared" ref="L38:L53" si="71">E38-K38</f>
        <v>-2769.6868439999998</v>
      </c>
      <c r="M38" s="197">
        <f t="shared" ref="M38:M53" si="72">G38-K38</f>
        <v>-2439.6868439999998</v>
      </c>
      <c r="N38" s="1033">
        <f>E38/(1+$B$4)^(B38-1)</f>
        <v>0</v>
      </c>
      <c r="O38" s="213">
        <f>F38/(1+$B$4)^(B38-1)</f>
        <v>330</v>
      </c>
      <c r="P38" s="213">
        <f>K38/(1+$B$4)^(B38-1)</f>
        <v>2769.6868439999998</v>
      </c>
      <c r="Q38" s="213">
        <f>L38/(1+$B$4)^(B38-1)</f>
        <v>-2769.6868439999998</v>
      </c>
      <c r="R38" s="929">
        <f>M38/(1+$B$4)^(B38-1)</f>
        <v>-2439.6868439999998</v>
      </c>
      <c r="S38" s="196">
        <f>N38</f>
        <v>0</v>
      </c>
      <c r="T38" s="197">
        <f>O38</f>
        <v>330</v>
      </c>
      <c r="U38" s="197">
        <f>P38</f>
        <v>2769.6868439999998</v>
      </c>
      <c r="V38" s="197">
        <f>Q38</f>
        <v>-2769.6868439999998</v>
      </c>
      <c r="W38" s="199">
        <f>R38</f>
        <v>-2439.6868439999998</v>
      </c>
      <c r="X38" s="197"/>
      <c r="Z38" s="204">
        <v>1</v>
      </c>
      <c r="AA38" s="197">
        <f>'Energy NPV'!$D91</f>
        <v>0</v>
      </c>
      <c r="AB38" s="197">
        <f>'Energy margins'!$Z$12</f>
        <v>43.75</v>
      </c>
      <c r="AC38" s="197">
        <f>AA38*AB38</f>
        <v>0</v>
      </c>
      <c r="AD38" s="197">
        <f>'Margins summary'!$W$14</f>
        <v>330</v>
      </c>
      <c r="AE38" s="197">
        <f>AC38+AD38</f>
        <v>330</v>
      </c>
      <c r="AF38" s="197">
        <f>'Margins summary'!$V$20</f>
        <v>2769.6868439999998</v>
      </c>
      <c r="AG38" s="918">
        <f>'Energy NPV'!U91</f>
        <v>0</v>
      </c>
      <c r="AH38" s="197"/>
      <c r="AI38" s="197">
        <f>(AF38+AG38+AH38)*$AB$34</f>
        <v>4154.5302659999998</v>
      </c>
      <c r="AJ38" s="197">
        <f t="shared" ref="AJ38:AJ53" si="73">AC38-AI38</f>
        <v>-4154.5302659999998</v>
      </c>
      <c r="AK38" s="197">
        <f t="shared" ref="AK38:AK53" si="74">AE38-AI38</f>
        <v>-3824.5302659999998</v>
      </c>
      <c r="AL38" s="1033">
        <f>AC38/(1+$B$4)^(Z38-1)</f>
        <v>0</v>
      </c>
      <c r="AM38" s="213">
        <f>AD38/(1+$B$4)^(Z38-1)</f>
        <v>330</v>
      </c>
      <c r="AN38" s="213">
        <f>AI38/(1+$B$4)^(Z38-1)</f>
        <v>4154.5302659999998</v>
      </c>
      <c r="AO38" s="213">
        <f>AJ38/(1+$B$4)^(Z38-1)</f>
        <v>-4154.5302659999998</v>
      </c>
      <c r="AP38" s="929">
        <f>AK38/(1+$B$4)^(Z38-1)</f>
        <v>-3824.5302659999998</v>
      </c>
      <c r="AQ38" s="196">
        <f>AL38</f>
        <v>0</v>
      </c>
      <c r="AR38" s="197">
        <f>AM38</f>
        <v>330</v>
      </c>
      <c r="AS38" s="197">
        <f>AN38</f>
        <v>4154.5302659999998</v>
      </c>
      <c r="AT38" s="197">
        <f>AO38</f>
        <v>-4154.5302659999998</v>
      </c>
      <c r="AU38" s="199">
        <f>AP38</f>
        <v>-3824.5302659999998</v>
      </c>
      <c r="AV38" s="197"/>
      <c r="AX38" s="204">
        <v>1</v>
      </c>
      <c r="AY38" s="197">
        <f>'Energy NPV'!$D91</f>
        <v>0</v>
      </c>
      <c r="AZ38" s="197">
        <f>'Energy margins'!$Z$12</f>
        <v>43.75</v>
      </c>
      <c r="BA38" s="197">
        <f>AY38*AZ38</f>
        <v>0</v>
      </c>
      <c r="BB38" s="197">
        <f>'Margins summary'!$W$14</f>
        <v>330</v>
      </c>
      <c r="BC38" s="197">
        <f>BA38+BB38</f>
        <v>330</v>
      </c>
      <c r="BD38" s="197">
        <f>'Margins summary'!$V$20</f>
        <v>2769.6868439999998</v>
      </c>
      <c r="BE38" s="918">
        <f>'Energy NPV'!U91</f>
        <v>0</v>
      </c>
      <c r="BF38" s="197"/>
      <c r="BG38" s="197">
        <f>(BD38+BE38+BF38)*$AZ$34</f>
        <v>1384.8434219999999</v>
      </c>
      <c r="BH38" s="197">
        <f t="shared" ref="BH38:BH53" si="75">BA38-BG38</f>
        <v>-1384.8434219999999</v>
      </c>
      <c r="BI38" s="197">
        <f t="shared" ref="BI38:BI53" si="76">BC38-BG38</f>
        <v>-1054.8434219999999</v>
      </c>
      <c r="BJ38" s="1033">
        <f>BA38/(1+$B$4)^(AX38-1)</f>
        <v>0</v>
      </c>
      <c r="BK38" s="213">
        <f>BB38/(1+$B$4)^(AX38-1)</f>
        <v>330</v>
      </c>
      <c r="BL38" s="213">
        <f>BG38/(1+$B$4)^(AX38-1)</f>
        <v>1384.8434219999999</v>
      </c>
      <c r="BM38" s="213">
        <f>BH38/(1+$B$4)^(AX38-1)</f>
        <v>-1384.8434219999999</v>
      </c>
      <c r="BN38" s="929">
        <f>BI38/(1+$B$4)^(AX38-1)</f>
        <v>-1054.8434219999999</v>
      </c>
      <c r="BO38" s="196">
        <f>BJ38</f>
        <v>0</v>
      </c>
      <c r="BP38" s="197">
        <f>BK38</f>
        <v>330</v>
      </c>
      <c r="BQ38" s="197">
        <f>BL38</f>
        <v>1384.8434219999999</v>
      </c>
      <c r="BR38" s="197">
        <f>BM38</f>
        <v>-1384.8434219999999</v>
      </c>
      <c r="BS38" s="199">
        <f>BN38</f>
        <v>-1054.8434219999999</v>
      </c>
      <c r="BT38" s="197"/>
      <c r="BV38" s="204">
        <v>1</v>
      </c>
      <c r="BW38" s="197">
        <f>'Energy NPV'!$D91</f>
        <v>0</v>
      </c>
      <c r="BX38" s="197">
        <f>'Energy margins'!$Z$12</f>
        <v>43.75</v>
      </c>
      <c r="BY38" s="197">
        <f>BW38*BX38</f>
        <v>0</v>
      </c>
      <c r="BZ38" s="197">
        <f>'Margins summary'!$W$14</f>
        <v>330</v>
      </c>
      <c r="CA38" s="197">
        <f>BY38+BZ38</f>
        <v>330</v>
      </c>
      <c r="CB38" s="197">
        <f>'Margins summary'!$V$20</f>
        <v>2769.6868439999998</v>
      </c>
      <c r="CC38" s="918">
        <f>'Energy NPV'!U91</f>
        <v>0</v>
      </c>
      <c r="CD38" s="197"/>
      <c r="CE38" s="197">
        <f>(CB38+CC38+CD38)*$BX$34</f>
        <v>5539.3736879999997</v>
      </c>
      <c r="CF38" s="197">
        <f t="shared" ref="CF38:CF53" si="77">BY38-CE38</f>
        <v>-5539.3736879999997</v>
      </c>
      <c r="CG38" s="197">
        <f t="shared" ref="CG38:CG53" si="78">CA38-CE38</f>
        <v>-5209.3736879999997</v>
      </c>
      <c r="CH38" s="1033">
        <f>BY38/(1+$B$4)^(BV38-1)</f>
        <v>0</v>
      </c>
      <c r="CI38" s="213">
        <f>BZ38/(1+$B$4)^(BV38-1)</f>
        <v>330</v>
      </c>
      <c r="CJ38" s="213">
        <f>CE38/(1+$B$4)^(BV38-1)</f>
        <v>5539.3736879999997</v>
      </c>
      <c r="CK38" s="213">
        <f>CF38/(1+$B$4)^(BV38-1)</f>
        <v>-5539.3736879999997</v>
      </c>
      <c r="CL38" s="929">
        <f>CG38/(1+$B$4)^(BV38-1)</f>
        <v>-5209.3736879999997</v>
      </c>
      <c r="CM38" s="196">
        <f>CH38</f>
        <v>0</v>
      </c>
      <c r="CN38" s="197">
        <f>CI38</f>
        <v>330</v>
      </c>
      <c r="CO38" s="197">
        <f>CJ38</f>
        <v>5539.3736879999997</v>
      </c>
      <c r="CP38" s="197">
        <f>CK38</f>
        <v>-5539.3736879999997</v>
      </c>
      <c r="CQ38" s="199">
        <f>CL38</f>
        <v>-5209.3736879999997</v>
      </c>
      <c r="CR38" s="197"/>
      <c r="CT38" s="204">
        <v>1</v>
      </c>
      <c r="CU38" s="197">
        <f>'Energy NPV'!$D91</f>
        <v>0</v>
      </c>
      <c r="CV38" s="197">
        <f>'Energy margins'!$Z$12</f>
        <v>43.75</v>
      </c>
      <c r="CW38" s="197">
        <f>CU38*CV38</f>
        <v>0</v>
      </c>
      <c r="CX38" s="197">
        <f>'Margins summary'!$W$14</f>
        <v>330</v>
      </c>
      <c r="CY38" s="197">
        <f>CW38+CX38</f>
        <v>330</v>
      </c>
      <c r="CZ38" s="197">
        <f>'Margins summary'!$V$20</f>
        <v>2769.6868439999998</v>
      </c>
      <c r="DA38" s="918">
        <f>'Energy NPV'!U91</f>
        <v>0</v>
      </c>
      <c r="DB38" s="197"/>
      <c r="DC38" s="197">
        <f>(CZ38+DA38+DB38)*$CV$34</f>
        <v>0</v>
      </c>
      <c r="DD38" s="197">
        <f t="shared" ref="DD38:DD53" si="79">CW38-DC38</f>
        <v>0</v>
      </c>
      <c r="DE38" s="197">
        <f t="shared" ref="DE38:DE53" si="80">CY38-DC38</f>
        <v>330</v>
      </c>
      <c r="DF38" s="1033">
        <f>CW38/(1+$B$4)^(CT38-1)</f>
        <v>0</v>
      </c>
      <c r="DG38" s="213">
        <f>CX38/(1+$B$4)^(CT38-1)</f>
        <v>330</v>
      </c>
      <c r="DH38" s="213">
        <f>DC38/(1+$B$4)^(CT38-1)</f>
        <v>0</v>
      </c>
      <c r="DI38" s="213">
        <f>DD38/(1+$B$4)^(CT38-1)</f>
        <v>0</v>
      </c>
      <c r="DJ38" s="929">
        <f>DE38/(1+$B$4)^(CT38-1)</f>
        <v>330</v>
      </c>
      <c r="DK38" s="196">
        <f>DF38</f>
        <v>0</v>
      </c>
      <c r="DL38" s="197">
        <f>DG38</f>
        <v>330</v>
      </c>
      <c r="DM38" s="197">
        <f>DH38</f>
        <v>0</v>
      </c>
      <c r="DN38" s="197">
        <f>DI38</f>
        <v>0</v>
      </c>
      <c r="DO38" s="199">
        <f>DJ38</f>
        <v>330</v>
      </c>
    </row>
    <row r="39" spans="2:119" x14ac:dyDescent="0.3">
      <c r="B39" s="204">
        <v>2</v>
      </c>
      <c r="C39" s="197">
        <f>'Energy NPV'!$D92</f>
        <v>9.1411042944785272</v>
      </c>
      <c r="D39" s="197">
        <f>'Energy margins'!$Z$12</f>
        <v>43.75</v>
      </c>
      <c r="E39" s="197">
        <f>C39*D39</f>
        <v>399.92331288343559</v>
      </c>
      <c r="F39" s="197">
        <f>'Margins summary'!$W$14</f>
        <v>330</v>
      </c>
      <c r="G39" s="197">
        <f t="shared" ref="G39:G53" si="81">E39+F39</f>
        <v>729.92331288343553</v>
      </c>
      <c r="H39" s="197"/>
      <c r="I39" s="918">
        <f>'Energy NPV'!U92</f>
        <v>600.46934399999986</v>
      </c>
      <c r="J39" s="197"/>
      <c r="K39" s="197">
        <f t="shared" ref="K39:K53" si="82">(H39+I39+J39)*$E$34</f>
        <v>600.46934399999986</v>
      </c>
      <c r="L39" s="197">
        <f t="shared" si="71"/>
        <v>-200.54603111656428</v>
      </c>
      <c r="M39" s="197">
        <f t="shared" si="72"/>
        <v>129.45396888343566</v>
      </c>
      <c r="N39" s="196">
        <f t="shared" ref="N39:N52" si="83">E39/(1+$B$4)^(B39-1)</f>
        <v>388.27506105187922</v>
      </c>
      <c r="O39" s="197">
        <f t="shared" ref="O39:O52" si="84">F39/(1+$B$4)^(B39-1)</f>
        <v>320.38834951456312</v>
      </c>
      <c r="P39" s="197">
        <f t="shared" ref="P39:P52" si="85">K39/(1+$B$4)^(B39-1)</f>
        <v>582.97994563106784</v>
      </c>
      <c r="Q39" s="197">
        <f t="shared" ref="Q39:Q52" si="86">L39/(1+$B$4)^(B39-1)</f>
        <v>-194.70488457918862</v>
      </c>
      <c r="R39" s="199">
        <f t="shared" ref="R39:R52" si="87">M39/(1+$B$4)^(B39-1)</f>
        <v>125.68346493537443</v>
      </c>
      <c r="S39" s="196">
        <f>S38+N39</f>
        <v>388.27506105187922</v>
      </c>
      <c r="T39" s="197">
        <f t="shared" ref="T39:W53" si="88">T38+O39</f>
        <v>650.38834951456306</v>
      </c>
      <c r="U39" s="197">
        <f t="shared" si="88"/>
        <v>3352.6667896310678</v>
      </c>
      <c r="V39" s="197">
        <f t="shared" si="88"/>
        <v>-2964.3917285791886</v>
      </c>
      <c r="W39" s="199">
        <f t="shared" si="88"/>
        <v>-2314.0033790646253</v>
      </c>
      <c r="X39" s="197"/>
      <c r="Z39" s="204">
        <v>2</v>
      </c>
      <c r="AA39" s="197">
        <f>'Energy NPV'!$D92</f>
        <v>9.1411042944785272</v>
      </c>
      <c r="AB39" s="197">
        <f>'Energy margins'!$Z$12</f>
        <v>43.75</v>
      </c>
      <c r="AC39" s="197">
        <f>AA39*AB39</f>
        <v>399.92331288343559</v>
      </c>
      <c r="AD39" s="197">
        <f>'Margins summary'!$W$14</f>
        <v>330</v>
      </c>
      <c r="AE39" s="197">
        <f t="shared" ref="AE39:AE53" si="89">AC39+AD39</f>
        <v>729.92331288343553</v>
      </c>
      <c r="AF39" s="197"/>
      <c r="AG39" s="918">
        <f>'Energy NPV'!U92</f>
        <v>600.46934399999986</v>
      </c>
      <c r="AH39" s="197"/>
      <c r="AI39" s="197">
        <f t="shared" ref="AI39:AI53" si="90">(AF39+AG39+AH39)*$AB$34</f>
        <v>900.7040159999998</v>
      </c>
      <c r="AJ39" s="197">
        <f t="shared" si="73"/>
        <v>-500.78070311656421</v>
      </c>
      <c r="AK39" s="197">
        <f t="shared" si="74"/>
        <v>-170.78070311656427</v>
      </c>
      <c r="AL39" s="196">
        <f t="shared" ref="AL39:AL52" si="91">AC39/(1+$B$4)^(Z39-1)</f>
        <v>388.27506105187922</v>
      </c>
      <c r="AM39" s="197">
        <f t="shared" ref="AM39:AM52" si="92">AD39/(1+$B$4)^(Z39-1)</f>
        <v>320.38834951456312</v>
      </c>
      <c r="AN39" s="197">
        <f t="shared" ref="AN39:AN52" si="93">AI39/(1+$B$4)^(Z39-1)</f>
        <v>874.4699184466017</v>
      </c>
      <c r="AO39" s="197">
        <f t="shared" ref="AO39:AO52" si="94">AJ39/(1+$B$4)^(Z39-1)</f>
        <v>-486.19485739472253</v>
      </c>
      <c r="AP39" s="199">
        <f t="shared" ref="AP39:AP52" si="95">AK39/(1+$B$4)^(Z39-1)</f>
        <v>-165.80650788015947</v>
      </c>
      <c r="AQ39" s="196">
        <f>AQ38+AL39</f>
        <v>388.27506105187922</v>
      </c>
      <c r="AR39" s="197">
        <f t="shared" ref="AR39:AU53" si="96">AR38+AM39</f>
        <v>650.38834951456306</v>
      </c>
      <c r="AS39" s="197">
        <f t="shared" si="96"/>
        <v>5029.0001844466015</v>
      </c>
      <c r="AT39" s="197">
        <f t="shared" si="96"/>
        <v>-4640.7251233947227</v>
      </c>
      <c r="AU39" s="199">
        <f t="shared" si="96"/>
        <v>-3990.3367738801594</v>
      </c>
      <c r="AV39" s="197"/>
      <c r="AX39" s="204">
        <v>2</v>
      </c>
      <c r="AY39" s="197">
        <f>'Energy NPV'!$D92</f>
        <v>9.1411042944785272</v>
      </c>
      <c r="AZ39" s="197">
        <f>'Energy margins'!$Z$12</f>
        <v>43.75</v>
      </c>
      <c r="BA39" s="197">
        <f>AY39*AZ39</f>
        <v>399.92331288343559</v>
      </c>
      <c r="BB39" s="197">
        <f>'Margins summary'!$W$14</f>
        <v>330</v>
      </c>
      <c r="BC39" s="197">
        <f t="shared" ref="BC39:BC53" si="97">BA39+BB39</f>
        <v>729.92331288343553</v>
      </c>
      <c r="BD39" s="197"/>
      <c r="BE39" s="918">
        <f>'Energy NPV'!U92</f>
        <v>600.46934399999986</v>
      </c>
      <c r="BF39" s="197"/>
      <c r="BG39" s="197">
        <f t="shared" ref="BG39:BG53" si="98">(BD39+BE39+BF39)*$AZ$34</f>
        <v>300.23467199999993</v>
      </c>
      <c r="BH39" s="197">
        <f t="shared" si="75"/>
        <v>99.688640883435653</v>
      </c>
      <c r="BI39" s="197">
        <f t="shared" si="76"/>
        <v>429.6886408834356</v>
      </c>
      <c r="BJ39" s="196">
        <f t="shared" ref="BJ39:BJ52" si="99">BA39/(1+$B$4)^(AX39-1)</f>
        <v>388.27506105187922</v>
      </c>
      <c r="BK39" s="197">
        <f t="shared" ref="BK39:BK52" si="100">BB39/(1+$B$4)^(AX39-1)</f>
        <v>320.38834951456312</v>
      </c>
      <c r="BL39" s="197">
        <f t="shared" ref="BL39:BL52" si="101">BG39/(1+$B$4)^(AX39-1)</f>
        <v>291.48997281553392</v>
      </c>
      <c r="BM39" s="197">
        <f t="shared" ref="BM39:BM52" si="102">BH39/(1+$B$4)^(AX39-1)</f>
        <v>96.785088236345288</v>
      </c>
      <c r="BN39" s="199">
        <f t="shared" ref="BN39:BN52" si="103">BI39/(1+$B$4)^(AX39-1)</f>
        <v>417.17343775090836</v>
      </c>
      <c r="BO39" s="196">
        <f>BO38+BJ39</f>
        <v>388.27506105187922</v>
      </c>
      <c r="BP39" s="197">
        <f t="shared" ref="BP39:BP53" si="104">BP38+BK39</f>
        <v>650.38834951456306</v>
      </c>
      <c r="BQ39" s="197">
        <f t="shared" ref="BQ39:BQ53" si="105">BQ38+BL39</f>
        <v>1676.3333948155339</v>
      </c>
      <c r="BR39" s="197">
        <f t="shared" ref="BR39:BR53" si="106">BR38+BM39</f>
        <v>-1288.0583337636547</v>
      </c>
      <c r="BS39" s="199">
        <f t="shared" ref="BS39:BS53" si="107">BS38+BN39</f>
        <v>-637.66998424909161</v>
      </c>
      <c r="BT39" s="197"/>
      <c r="BV39" s="204">
        <v>2</v>
      </c>
      <c r="BW39" s="197">
        <f>'Energy NPV'!$D92</f>
        <v>9.1411042944785272</v>
      </c>
      <c r="BX39" s="197">
        <f>'Energy margins'!$Z$12</f>
        <v>43.75</v>
      </c>
      <c r="BY39" s="197">
        <f>BW39*BX39</f>
        <v>399.92331288343559</v>
      </c>
      <c r="BZ39" s="197">
        <f>'Margins summary'!$W$14</f>
        <v>330</v>
      </c>
      <c r="CA39" s="197">
        <f t="shared" ref="CA39:CA53" si="108">BY39+BZ39</f>
        <v>729.92331288343553</v>
      </c>
      <c r="CB39" s="197"/>
      <c r="CC39" s="918">
        <f>'Energy NPV'!U92</f>
        <v>600.46934399999986</v>
      </c>
      <c r="CD39" s="197"/>
      <c r="CE39" s="197">
        <f t="shared" ref="CE39:CE53" si="109">(CB39+CC39+CD39)*$BX$34</f>
        <v>1200.9386879999997</v>
      </c>
      <c r="CF39" s="197">
        <f t="shared" si="77"/>
        <v>-801.0153751165642</v>
      </c>
      <c r="CG39" s="197">
        <f t="shared" si="78"/>
        <v>-471.0153751165642</v>
      </c>
      <c r="CH39" s="196">
        <f t="shared" ref="CH39:CH52" si="110">BY39/(1+$B$4)^(BV39-1)</f>
        <v>388.27506105187922</v>
      </c>
      <c r="CI39" s="197">
        <f t="shared" ref="CI39:CI52" si="111">BZ39/(1+$B$4)^(BV39-1)</f>
        <v>320.38834951456312</v>
      </c>
      <c r="CJ39" s="197">
        <f t="shared" ref="CJ39:CJ52" si="112">CE39/(1+$B$4)^(BV39-1)</f>
        <v>1165.9598912621357</v>
      </c>
      <c r="CK39" s="197">
        <f t="shared" ref="CK39:CK52" si="113">CF39/(1+$B$4)^(BV39-1)</f>
        <v>-777.68483021025645</v>
      </c>
      <c r="CL39" s="199">
        <f t="shared" ref="CL39:CL52" si="114">CG39/(1+$B$4)^(BV39-1)</f>
        <v>-457.29648069569339</v>
      </c>
      <c r="CM39" s="196">
        <f>CM38+CH39</f>
        <v>388.27506105187922</v>
      </c>
      <c r="CN39" s="197">
        <f t="shared" ref="CN39:CN53" si="115">CN38+CI39</f>
        <v>650.38834951456306</v>
      </c>
      <c r="CO39" s="197">
        <f t="shared" ref="CO39:CO53" si="116">CO38+CJ39</f>
        <v>6705.3335792621356</v>
      </c>
      <c r="CP39" s="197">
        <f t="shared" ref="CP39:CP53" si="117">CP38+CK39</f>
        <v>-6317.0585182102559</v>
      </c>
      <c r="CQ39" s="199">
        <f t="shared" ref="CQ39:CQ53" si="118">CQ38+CL39</f>
        <v>-5666.6701686956931</v>
      </c>
      <c r="CR39" s="197"/>
      <c r="CT39" s="204">
        <v>2</v>
      </c>
      <c r="CU39" s="197">
        <f>'Energy NPV'!$D92</f>
        <v>9.1411042944785272</v>
      </c>
      <c r="CV39" s="197">
        <f>'Energy margins'!$Z$12</f>
        <v>43.75</v>
      </c>
      <c r="CW39" s="197">
        <f>CU39*CV39</f>
        <v>399.92331288343559</v>
      </c>
      <c r="CX39" s="197">
        <f>'Margins summary'!$W$14</f>
        <v>330</v>
      </c>
      <c r="CY39" s="197">
        <f t="shared" ref="CY39:CY53" si="119">CW39+CX39</f>
        <v>729.92331288343553</v>
      </c>
      <c r="CZ39" s="197"/>
      <c r="DA39" s="918">
        <f>'Energy NPV'!U92</f>
        <v>600.46934399999986</v>
      </c>
      <c r="DB39" s="197"/>
      <c r="DC39" s="197">
        <f t="shared" ref="DC39:DC53" si="120">(CZ39+DA39+DB39)*$CV$34</f>
        <v>0</v>
      </c>
      <c r="DD39" s="197">
        <f t="shared" si="79"/>
        <v>399.92331288343559</v>
      </c>
      <c r="DE39" s="197">
        <f t="shared" si="80"/>
        <v>729.92331288343553</v>
      </c>
      <c r="DF39" s="196">
        <f t="shared" ref="DF39:DF52" si="121">CW39/(1+$B$4)^(CT39-1)</f>
        <v>388.27506105187922</v>
      </c>
      <c r="DG39" s="197">
        <f t="shared" ref="DG39:DG52" si="122">CX39/(1+$B$4)^(CT39-1)</f>
        <v>320.38834951456312</v>
      </c>
      <c r="DH39" s="197">
        <f t="shared" ref="DH39:DH52" si="123">DC39/(1+$B$4)^(CT39-1)</f>
        <v>0</v>
      </c>
      <c r="DI39" s="197">
        <f t="shared" ref="DI39:DI52" si="124">DD39/(1+$B$4)^(CT39-1)</f>
        <v>388.27506105187922</v>
      </c>
      <c r="DJ39" s="199">
        <f t="shared" ref="DJ39:DJ52" si="125">DE39/(1+$B$4)^(CT39-1)</f>
        <v>708.66341056644228</v>
      </c>
      <c r="DK39" s="196">
        <f>DK38+DF39</f>
        <v>388.27506105187922</v>
      </c>
      <c r="DL39" s="197">
        <f t="shared" ref="DL39:DL53" si="126">DL38+DG39</f>
        <v>650.38834951456306</v>
      </c>
      <c r="DM39" s="197">
        <f t="shared" ref="DM39:DM53" si="127">DM38+DH39</f>
        <v>0</v>
      </c>
      <c r="DN39" s="197">
        <f t="shared" ref="DN39:DN53" si="128">DN38+DI39</f>
        <v>388.27506105187922</v>
      </c>
      <c r="DO39" s="199">
        <f t="shared" ref="DO39:DO53" si="129">DO38+DJ39</f>
        <v>1038.6634105664423</v>
      </c>
    </row>
    <row r="40" spans="2:119" x14ac:dyDescent="0.3">
      <c r="B40" s="204">
        <f t="shared" ref="B40:B53" si="130">B39+1</f>
        <v>3</v>
      </c>
      <c r="C40" s="197">
        <f>'Energy NPV'!$D93</f>
        <v>13.52760736196319</v>
      </c>
      <c r="D40" s="197">
        <f>'Energy margins'!$Z$12</f>
        <v>43.75</v>
      </c>
      <c r="E40" s="197">
        <f t="shared" ref="E40:E53" si="131">C40*D40</f>
        <v>591.83282208588957</v>
      </c>
      <c r="F40" s="197">
        <f>'Margins summary'!$W$14</f>
        <v>330</v>
      </c>
      <c r="G40" s="197">
        <f t="shared" si="81"/>
        <v>921.83282208588957</v>
      </c>
      <c r="H40" s="197"/>
      <c r="I40" s="918">
        <f>'Energy NPV'!U93</f>
        <v>600.46934399999986</v>
      </c>
      <c r="J40" s="197"/>
      <c r="K40" s="197">
        <f t="shared" si="82"/>
        <v>600.46934399999986</v>
      </c>
      <c r="L40" s="197">
        <f t="shared" si="71"/>
        <v>-8.6365219141102898</v>
      </c>
      <c r="M40" s="197">
        <f t="shared" si="72"/>
        <v>321.36347808588971</v>
      </c>
      <c r="N40" s="196">
        <f t="shared" si="83"/>
        <v>557.85919698924465</v>
      </c>
      <c r="O40" s="197">
        <f t="shared" si="84"/>
        <v>311.05665001413894</v>
      </c>
      <c r="P40" s="197">
        <f t="shared" si="85"/>
        <v>565.99994721462895</v>
      </c>
      <c r="Q40" s="197">
        <f t="shared" si="86"/>
        <v>-8.140750225384382</v>
      </c>
      <c r="R40" s="199">
        <f t="shared" si="87"/>
        <v>302.91589978875459</v>
      </c>
      <c r="S40" s="196">
        <f t="shared" ref="S40:S53" si="132">S39+N40</f>
        <v>946.13425804112387</v>
      </c>
      <c r="T40" s="197">
        <f t="shared" si="88"/>
        <v>961.44499952870206</v>
      </c>
      <c r="U40" s="197">
        <f t="shared" si="88"/>
        <v>3918.6667368456965</v>
      </c>
      <c r="V40" s="197">
        <f t="shared" si="88"/>
        <v>-2972.5324788045727</v>
      </c>
      <c r="W40" s="199">
        <f t="shared" si="88"/>
        <v>-2011.0874792758707</v>
      </c>
      <c r="X40" s="197"/>
      <c r="Z40" s="204">
        <f t="shared" ref="Z40:Z53" si="133">Z39+1</f>
        <v>3</v>
      </c>
      <c r="AA40" s="197">
        <f>'Energy NPV'!$D93</f>
        <v>13.52760736196319</v>
      </c>
      <c r="AB40" s="197">
        <f>'Energy margins'!$Z$12</f>
        <v>43.75</v>
      </c>
      <c r="AC40" s="197">
        <f t="shared" ref="AC40:AC53" si="134">AA40*AB40</f>
        <v>591.83282208588957</v>
      </c>
      <c r="AD40" s="197">
        <f>'Margins summary'!$W$14</f>
        <v>330</v>
      </c>
      <c r="AE40" s="197">
        <f t="shared" si="89"/>
        <v>921.83282208588957</v>
      </c>
      <c r="AF40" s="197"/>
      <c r="AG40" s="918">
        <f>'Energy NPV'!U93</f>
        <v>600.46934399999986</v>
      </c>
      <c r="AH40" s="197"/>
      <c r="AI40" s="197">
        <f t="shared" si="90"/>
        <v>900.7040159999998</v>
      </c>
      <c r="AJ40" s="197">
        <f t="shared" si="73"/>
        <v>-308.87119391411022</v>
      </c>
      <c r="AK40" s="197">
        <f t="shared" si="74"/>
        <v>21.128806085889778</v>
      </c>
      <c r="AL40" s="196">
        <f t="shared" si="91"/>
        <v>557.85919698924465</v>
      </c>
      <c r="AM40" s="197">
        <f t="shared" si="92"/>
        <v>311.05665001413894</v>
      </c>
      <c r="AN40" s="197">
        <f t="shared" si="93"/>
        <v>848.99992082194353</v>
      </c>
      <c r="AO40" s="197">
        <f t="shared" si="94"/>
        <v>-291.14072383269888</v>
      </c>
      <c r="AP40" s="199">
        <f t="shared" si="95"/>
        <v>19.915926181440078</v>
      </c>
      <c r="AQ40" s="196">
        <f t="shared" ref="AQ40:AQ53" si="135">AQ39+AL40</f>
        <v>946.13425804112387</v>
      </c>
      <c r="AR40" s="197">
        <f t="shared" si="96"/>
        <v>961.44499952870206</v>
      </c>
      <c r="AS40" s="197">
        <f t="shared" si="96"/>
        <v>5878.0001052685448</v>
      </c>
      <c r="AT40" s="197">
        <f t="shared" si="96"/>
        <v>-4931.8658472274219</v>
      </c>
      <c r="AU40" s="199">
        <f t="shared" si="96"/>
        <v>-3970.4208476987192</v>
      </c>
      <c r="AV40" s="197"/>
      <c r="AX40" s="204">
        <f t="shared" ref="AX40:AX53" si="136">AX39+1</f>
        <v>3</v>
      </c>
      <c r="AY40" s="197">
        <f>'Energy NPV'!$D93</f>
        <v>13.52760736196319</v>
      </c>
      <c r="AZ40" s="197">
        <f>'Energy margins'!$Z$12</f>
        <v>43.75</v>
      </c>
      <c r="BA40" s="197">
        <f t="shared" ref="BA40:BA53" si="137">AY40*AZ40</f>
        <v>591.83282208588957</v>
      </c>
      <c r="BB40" s="197">
        <f>'Margins summary'!$W$14</f>
        <v>330</v>
      </c>
      <c r="BC40" s="197">
        <f t="shared" si="97"/>
        <v>921.83282208588957</v>
      </c>
      <c r="BD40" s="197"/>
      <c r="BE40" s="918">
        <f>'Energy NPV'!U93</f>
        <v>600.46934399999986</v>
      </c>
      <c r="BF40" s="197"/>
      <c r="BG40" s="197">
        <f t="shared" si="98"/>
        <v>300.23467199999993</v>
      </c>
      <c r="BH40" s="197">
        <f t="shared" si="75"/>
        <v>291.59815008588964</v>
      </c>
      <c r="BI40" s="197">
        <f t="shared" si="76"/>
        <v>621.59815008588964</v>
      </c>
      <c r="BJ40" s="196">
        <f t="shared" si="99"/>
        <v>557.85919698924465</v>
      </c>
      <c r="BK40" s="197">
        <f t="shared" si="100"/>
        <v>311.05665001413894</v>
      </c>
      <c r="BL40" s="197">
        <f t="shared" si="101"/>
        <v>282.99997360731447</v>
      </c>
      <c r="BM40" s="197">
        <f t="shared" si="102"/>
        <v>274.85922338193012</v>
      </c>
      <c r="BN40" s="199">
        <f t="shared" si="103"/>
        <v>585.91587339606906</v>
      </c>
      <c r="BO40" s="196">
        <f t="shared" ref="BO40:BO53" si="138">BO39+BJ40</f>
        <v>946.13425804112387</v>
      </c>
      <c r="BP40" s="197">
        <f t="shared" si="104"/>
        <v>961.44499952870206</v>
      </c>
      <c r="BQ40" s="197">
        <f t="shared" si="105"/>
        <v>1959.3333684228483</v>
      </c>
      <c r="BR40" s="197">
        <f t="shared" si="106"/>
        <v>-1013.1991103817245</v>
      </c>
      <c r="BS40" s="199">
        <f t="shared" si="107"/>
        <v>-51.754110853022553</v>
      </c>
      <c r="BT40" s="197"/>
      <c r="BV40" s="204">
        <f t="shared" ref="BV40:BV53" si="139">BV39+1</f>
        <v>3</v>
      </c>
      <c r="BW40" s="197">
        <f>'Energy NPV'!$D93</f>
        <v>13.52760736196319</v>
      </c>
      <c r="BX40" s="197">
        <f>'Energy margins'!$Z$12</f>
        <v>43.75</v>
      </c>
      <c r="BY40" s="197">
        <f t="shared" ref="BY40:BY53" si="140">BW40*BX40</f>
        <v>591.83282208588957</v>
      </c>
      <c r="BZ40" s="197">
        <f>'Margins summary'!$W$14</f>
        <v>330</v>
      </c>
      <c r="CA40" s="197">
        <f t="shared" si="108"/>
        <v>921.83282208588957</v>
      </c>
      <c r="CB40" s="197"/>
      <c r="CC40" s="918">
        <f>'Energy NPV'!U93</f>
        <v>600.46934399999986</v>
      </c>
      <c r="CD40" s="197"/>
      <c r="CE40" s="197">
        <f t="shared" si="109"/>
        <v>1200.9386879999997</v>
      </c>
      <c r="CF40" s="197">
        <f t="shared" si="77"/>
        <v>-609.10586591411015</v>
      </c>
      <c r="CG40" s="197">
        <f t="shared" si="78"/>
        <v>-279.10586591411015</v>
      </c>
      <c r="CH40" s="196">
        <f t="shared" si="110"/>
        <v>557.85919698924465</v>
      </c>
      <c r="CI40" s="197">
        <f t="shared" si="111"/>
        <v>311.05665001413894</v>
      </c>
      <c r="CJ40" s="197">
        <f t="shared" si="112"/>
        <v>1131.9998944292579</v>
      </c>
      <c r="CK40" s="197">
        <f t="shared" si="113"/>
        <v>-574.14069744001335</v>
      </c>
      <c r="CL40" s="199">
        <f t="shared" si="114"/>
        <v>-263.08404742587442</v>
      </c>
      <c r="CM40" s="196">
        <f t="shared" ref="CM40:CM53" si="141">CM39+CH40</f>
        <v>946.13425804112387</v>
      </c>
      <c r="CN40" s="197">
        <f t="shared" si="115"/>
        <v>961.44499952870206</v>
      </c>
      <c r="CO40" s="197">
        <f t="shared" si="116"/>
        <v>7837.333473691393</v>
      </c>
      <c r="CP40" s="197">
        <f t="shared" si="117"/>
        <v>-6891.1992156502693</v>
      </c>
      <c r="CQ40" s="199">
        <f t="shared" si="118"/>
        <v>-5929.7542161215679</v>
      </c>
      <c r="CR40" s="197"/>
      <c r="CT40" s="204">
        <f t="shared" ref="CT40:CT53" si="142">CT39+1</f>
        <v>3</v>
      </c>
      <c r="CU40" s="197">
        <f>'Energy NPV'!$D93</f>
        <v>13.52760736196319</v>
      </c>
      <c r="CV40" s="197">
        <f>'Energy margins'!$Z$12</f>
        <v>43.75</v>
      </c>
      <c r="CW40" s="197">
        <f t="shared" ref="CW40:CW53" si="143">CU40*CV40</f>
        <v>591.83282208588957</v>
      </c>
      <c r="CX40" s="197">
        <f>'Margins summary'!$W$14</f>
        <v>330</v>
      </c>
      <c r="CY40" s="197">
        <f t="shared" si="119"/>
        <v>921.83282208588957</v>
      </c>
      <c r="CZ40" s="197"/>
      <c r="DA40" s="918">
        <f>'Energy NPV'!U93</f>
        <v>600.46934399999986</v>
      </c>
      <c r="DB40" s="197"/>
      <c r="DC40" s="197">
        <f t="shared" si="120"/>
        <v>0</v>
      </c>
      <c r="DD40" s="197">
        <f t="shared" si="79"/>
        <v>591.83282208588957</v>
      </c>
      <c r="DE40" s="197">
        <f t="shared" si="80"/>
        <v>921.83282208588957</v>
      </c>
      <c r="DF40" s="196">
        <f t="shared" si="121"/>
        <v>557.85919698924465</v>
      </c>
      <c r="DG40" s="197">
        <f t="shared" si="122"/>
        <v>311.05665001413894</v>
      </c>
      <c r="DH40" s="197">
        <f t="shared" si="123"/>
        <v>0</v>
      </c>
      <c r="DI40" s="197">
        <f t="shared" si="124"/>
        <v>557.85919698924465</v>
      </c>
      <c r="DJ40" s="199">
        <f t="shared" si="125"/>
        <v>868.91584700338353</v>
      </c>
      <c r="DK40" s="196">
        <f t="shared" ref="DK40:DK53" si="144">DK39+DF40</f>
        <v>946.13425804112387</v>
      </c>
      <c r="DL40" s="197">
        <f t="shared" si="126"/>
        <v>961.44499952870206</v>
      </c>
      <c r="DM40" s="197">
        <f t="shared" si="127"/>
        <v>0</v>
      </c>
      <c r="DN40" s="197">
        <f t="shared" si="128"/>
        <v>946.13425804112387</v>
      </c>
      <c r="DO40" s="199">
        <f t="shared" si="129"/>
        <v>1907.5792575698258</v>
      </c>
    </row>
    <row r="41" spans="2:119" x14ac:dyDescent="0.3">
      <c r="B41" s="204">
        <f t="shared" si="130"/>
        <v>4</v>
      </c>
      <c r="C41" s="197">
        <f>'Energy NPV'!$D94</f>
        <v>14.478527607361965</v>
      </c>
      <c r="D41" s="197">
        <f>'Energy margins'!$Z$12</f>
        <v>43.75</v>
      </c>
      <c r="E41" s="197">
        <f t="shared" si="131"/>
        <v>633.43558282208596</v>
      </c>
      <c r="F41" s="197">
        <f>'Margins summary'!$W$14</f>
        <v>330</v>
      </c>
      <c r="G41" s="197">
        <f t="shared" si="81"/>
        <v>963.43558282208596</v>
      </c>
      <c r="H41" s="197"/>
      <c r="I41" s="918">
        <f>'Energy NPV'!U94</f>
        <v>418.53934399999991</v>
      </c>
      <c r="J41" s="197"/>
      <c r="K41" s="197">
        <f t="shared" si="82"/>
        <v>418.53934399999991</v>
      </c>
      <c r="L41" s="197">
        <f t="shared" si="71"/>
        <v>214.89623882208605</v>
      </c>
      <c r="M41" s="197">
        <f t="shared" si="72"/>
        <v>544.89623882208605</v>
      </c>
      <c r="N41" s="196">
        <f t="shared" si="83"/>
        <v>579.68329035713953</v>
      </c>
      <c r="O41" s="197">
        <f t="shared" si="84"/>
        <v>301.99674758654265</v>
      </c>
      <c r="P41" s="197">
        <f t="shared" si="85"/>
        <v>383.02278977274278</v>
      </c>
      <c r="Q41" s="197">
        <f t="shared" si="86"/>
        <v>196.66050058439669</v>
      </c>
      <c r="R41" s="199">
        <f t="shared" si="87"/>
        <v>498.65724817093934</v>
      </c>
      <c r="S41" s="196">
        <f t="shared" si="132"/>
        <v>1525.8175483982634</v>
      </c>
      <c r="T41" s="197">
        <f t="shared" si="88"/>
        <v>1263.4417471152447</v>
      </c>
      <c r="U41" s="197">
        <f t="shared" si="88"/>
        <v>4301.6895266184392</v>
      </c>
      <c r="V41" s="197">
        <f t="shared" si="88"/>
        <v>-2775.8719782201761</v>
      </c>
      <c r="W41" s="199">
        <f t="shared" si="88"/>
        <v>-1512.4302311049314</v>
      </c>
      <c r="X41" s="197"/>
      <c r="Z41" s="204">
        <f t="shared" si="133"/>
        <v>4</v>
      </c>
      <c r="AA41" s="197">
        <f>'Energy NPV'!$D94</f>
        <v>14.478527607361965</v>
      </c>
      <c r="AB41" s="197">
        <f>'Energy margins'!$Z$12</f>
        <v>43.75</v>
      </c>
      <c r="AC41" s="197">
        <f t="shared" si="134"/>
        <v>633.43558282208596</v>
      </c>
      <c r="AD41" s="197">
        <f>'Margins summary'!$W$14</f>
        <v>330</v>
      </c>
      <c r="AE41" s="197">
        <f t="shared" si="89"/>
        <v>963.43558282208596</v>
      </c>
      <c r="AF41" s="197"/>
      <c r="AG41" s="918">
        <f>'Energy NPV'!U94</f>
        <v>418.53934399999991</v>
      </c>
      <c r="AH41" s="197"/>
      <c r="AI41" s="197">
        <f t="shared" si="90"/>
        <v>627.80901599999993</v>
      </c>
      <c r="AJ41" s="197">
        <f t="shared" si="73"/>
        <v>5.6265668220860334</v>
      </c>
      <c r="AK41" s="197">
        <f t="shared" si="74"/>
        <v>335.62656682208603</v>
      </c>
      <c r="AL41" s="196">
        <f t="shared" si="91"/>
        <v>579.68329035713953</v>
      </c>
      <c r="AM41" s="197">
        <f t="shared" si="92"/>
        <v>301.99674758654265</v>
      </c>
      <c r="AN41" s="197">
        <f t="shared" si="93"/>
        <v>574.5341846591142</v>
      </c>
      <c r="AO41" s="197">
        <f t="shared" si="94"/>
        <v>5.1491056980252461</v>
      </c>
      <c r="AP41" s="199">
        <f t="shared" si="95"/>
        <v>307.14585328456792</v>
      </c>
      <c r="AQ41" s="196">
        <f t="shared" si="135"/>
        <v>1525.8175483982634</v>
      </c>
      <c r="AR41" s="197">
        <f t="shared" si="96"/>
        <v>1263.4417471152447</v>
      </c>
      <c r="AS41" s="197">
        <f t="shared" si="96"/>
        <v>6452.5342899276593</v>
      </c>
      <c r="AT41" s="197">
        <f t="shared" si="96"/>
        <v>-4926.716741529397</v>
      </c>
      <c r="AU41" s="199">
        <f t="shared" si="96"/>
        <v>-3663.2749944141515</v>
      </c>
      <c r="AV41" s="197"/>
      <c r="AX41" s="204">
        <f t="shared" si="136"/>
        <v>4</v>
      </c>
      <c r="AY41" s="197">
        <f>'Energy NPV'!$D94</f>
        <v>14.478527607361965</v>
      </c>
      <c r="AZ41" s="197">
        <f>'Energy margins'!$Z$12</f>
        <v>43.75</v>
      </c>
      <c r="BA41" s="197">
        <f t="shared" si="137"/>
        <v>633.43558282208596</v>
      </c>
      <c r="BB41" s="197">
        <f>'Margins summary'!$W$14</f>
        <v>330</v>
      </c>
      <c r="BC41" s="197">
        <f t="shared" si="97"/>
        <v>963.43558282208596</v>
      </c>
      <c r="BD41" s="197"/>
      <c r="BE41" s="918">
        <f>'Energy NPV'!U94</f>
        <v>418.53934399999991</v>
      </c>
      <c r="BF41" s="197"/>
      <c r="BG41" s="197">
        <f t="shared" si="98"/>
        <v>209.26967199999996</v>
      </c>
      <c r="BH41" s="197">
        <f t="shared" si="75"/>
        <v>424.165910822086</v>
      </c>
      <c r="BI41" s="197">
        <f t="shared" si="76"/>
        <v>754.16591082208606</v>
      </c>
      <c r="BJ41" s="196">
        <f t="shared" si="99"/>
        <v>579.68329035713953</v>
      </c>
      <c r="BK41" s="197">
        <f t="shared" si="100"/>
        <v>301.99674758654265</v>
      </c>
      <c r="BL41" s="197">
        <f t="shared" si="101"/>
        <v>191.51139488637139</v>
      </c>
      <c r="BM41" s="197">
        <f t="shared" si="102"/>
        <v>388.17189547076811</v>
      </c>
      <c r="BN41" s="199">
        <f t="shared" si="103"/>
        <v>690.16864305731076</v>
      </c>
      <c r="BO41" s="196">
        <f t="shared" si="138"/>
        <v>1525.8175483982634</v>
      </c>
      <c r="BP41" s="197">
        <f t="shared" si="104"/>
        <v>1263.4417471152447</v>
      </c>
      <c r="BQ41" s="197">
        <f t="shared" si="105"/>
        <v>2150.8447633092196</v>
      </c>
      <c r="BR41" s="197">
        <f t="shared" si="106"/>
        <v>-625.02721491095645</v>
      </c>
      <c r="BS41" s="199">
        <f t="shared" si="107"/>
        <v>638.41453220428821</v>
      </c>
      <c r="BT41" s="197"/>
      <c r="BV41" s="204">
        <f t="shared" si="139"/>
        <v>4</v>
      </c>
      <c r="BW41" s="197">
        <f>'Energy NPV'!$D94</f>
        <v>14.478527607361965</v>
      </c>
      <c r="BX41" s="197">
        <f>'Energy margins'!$Z$12</f>
        <v>43.75</v>
      </c>
      <c r="BY41" s="197">
        <f t="shared" si="140"/>
        <v>633.43558282208596</v>
      </c>
      <c r="BZ41" s="197">
        <f>'Margins summary'!$W$14</f>
        <v>330</v>
      </c>
      <c r="CA41" s="197">
        <f t="shared" si="108"/>
        <v>963.43558282208596</v>
      </c>
      <c r="CB41" s="197"/>
      <c r="CC41" s="918">
        <f>'Energy NPV'!U94</f>
        <v>418.53934399999991</v>
      </c>
      <c r="CD41" s="197"/>
      <c r="CE41" s="197">
        <f t="shared" si="109"/>
        <v>837.07868799999983</v>
      </c>
      <c r="CF41" s="197">
        <f t="shared" si="77"/>
        <v>-203.64310517791387</v>
      </c>
      <c r="CG41" s="197">
        <f t="shared" si="78"/>
        <v>126.35689482208613</v>
      </c>
      <c r="CH41" s="196">
        <f t="shared" si="110"/>
        <v>579.68329035713953</v>
      </c>
      <c r="CI41" s="197">
        <f t="shared" si="111"/>
        <v>301.99674758654265</v>
      </c>
      <c r="CJ41" s="197">
        <f t="shared" si="112"/>
        <v>766.04557954548557</v>
      </c>
      <c r="CK41" s="197">
        <f t="shared" si="113"/>
        <v>-186.3622891883461</v>
      </c>
      <c r="CL41" s="199">
        <f t="shared" si="114"/>
        <v>115.63445839819656</v>
      </c>
      <c r="CM41" s="196">
        <f t="shared" si="141"/>
        <v>1525.8175483982634</v>
      </c>
      <c r="CN41" s="197">
        <f t="shared" si="115"/>
        <v>1263.4417471152447</v>
      </c>
      <c r="CO41" s="197">
        <f t="shared" si="116"/>
        <v>8603.3790532368785</v>
      </c>
      <c r="CP41" s="197">
        <f t="shared" si="117"/>
        <v>-7077.5615048386153</v>
      </c>
      <c r="CQ41" s="199">
        <f t="shared" si="118"/>
        <v>-5814.1197577233715</v>
      </c>
      <c r="CR41" s="197"/>
      <c r="CT41" s="204">
        <f t="shared" si="142"/>
        <v>4</v>
      </c>
      <c r="CU41" s="197">
        <f>'Energy NPV'!$D94</f>
        <v>14.478527607361965</v>
      </c>
      <c r="CV41" s="197">
        <f>'Energy margins'!$Z$12</f>
        <v>43.75</v>
      </c>
      <c r="CW41" s="197">
        <f t="shared" si="143"/>
        <v>633.43558282208596</v>
      </c>
      <c r="CX41" s="197">
        <f>'Margins summary'!$W$14</f>
        <v>330</v>
      </c>
      <c r="CY41" s="197">
        <f t="shared" si="119"/>
        <v>963.43558282208596</v>
      </c>
      <c r="CZ41" s="197"/>
      <c r="DA41" s="918">
        <f>'Energy NPV'!U94</f>
        <v>418.53934399999991</v>
      </c>
      <c r="DB41" s="197"/>
      <c r="DC41" s="197">
        <f t="shared" si="120"/>
        <v>0</v>
      </c>
      <c r="DD41" s="197">
        <f t="shared" si="79"/>
        <v>633.43558282208596</v>
      </c>
      <c r="DE41" s="197">
        <f t="shared" si="80"/>
        <v>963.43558282208596</v>
      </c>
      <c r="DF41" s="196">
        <f t="shared" si="121"/>
        <v>579.68329035713953</v>
      </c>
      <c r="DG41" s="197">
        <f t="shared" si="122"/>
        <v>301.99674758654265</v>
      </c>
      <c r="DH41" s="197">
        <f t="shared" si="123"/>
        <v>0</v>
      </c>
      <c r="DI41" s="197">
        <f t="shared" si="124"/>
        <v>579.68329035713953</v>
      </c>
      <c r="DJ41" s="199">
        <f t="shared" si="125"/>
        <v>881.68003794368212</v>
      </c>
      <c r="DK41" s="196">
        <f t="shared" si="144"/>
        <v>1525.8175483982634</v>
      </c>
      <c r="DL41" s="197">
        <f t="shared" si="126"/>
        <v>1263.4417471152447</v>
      </c>
      <c r="DM41" s="197">
        <f t="shared" si="127"/>
        <v>0</v>
      </c>
      <c r="DN41" s="197">
        <f t="shared" si="128"/>
        <v>1525.8175483982634</v>
      </c>
      <c r="DO41" s="199">
        <f t="shared" si="129"/>
        <v>2789.2592955135078</v>
      </c>
    </row>
    <row r="42" spans="2:119" x14ac:dyDescent="0.3">
      <c r="B42" s="204">
        <f t="shared" si="130"/>
        <v>5</v>
      </c>
      <c r="C42" s="197">
        <f>'Energy NPV'!$D95</f>
        <v>15</v>
      </c>
      <c r="D42" s="197">
        <f>'Energy margins'!$Z$12</f>
        <v>43.75</v>
      </c>
      <c r="E42" s="197">
        <f t="shared" si="131"/>
        <v>656.25</v>
      </c>
      <c r="F42" s="197">
        <f>'Margins summary'!$W$14</f>
        <v>330</v>
      </c>
      <c r="G42" s="197">
        <f t="shared" si="81"/>
        <v>986.25</v>
      </c>
      <c r="H42" s="197"/>
      <c r="I42" s="918">
        <f>'Energy NPV'!U95</f>
        <v>418.53934399999991</v>
      </c>
      <c r="J42" s="197"/>
      <c r="K42" s="197">
        <f t="shared" si="82"/>
        <v>418.53934399999991</v>
      </c>
      <c r="L42" s="197">
        <f t="shared" si="71"/>
        <v>237.71065600000009</v>
      </c>
      <c r="M42" s="197">
        <f t="shared" si="72"/>
        <v>567.71065600000009</v>
      </c>
      <c r="N42" s="196">
        <f t="shared" si="83"/>
        <v>583.06962519467083</v>
      </c>
      <c r="O42" s="197">
        <f t="shared" si="84"/>
        <v>293.20072581217738</v>
      </c>
      <c r="P42" s="197">
        <f t="shared" si="85"/>
        <v>371.86678618712898</v>
      </c>
      <c r="Q42" s="197">
        <f t="shared" si="86"/>
        <v>211.20283900754194</v>
      </c>
      <c r="R42" s="199">
        <f t="shared" si="87"/>
        <v>504.40356481971929</v>
      </c>
      <c r="S42" s="196">
        <f t="shared" si="132"/>
        <v>2108.8871735929342</v>
      </c>
      <c r="T42" s="197">
        <f t="shared" si="88"/>
        <v>1556.642472927422</v>
      </c>
      <c r="U42" s="197">
        <f t="shared" si="88"/>
        <v>4673.5563128055683</v>
      </c>
      <c r="V42" s="197">
        <f t="shared" si="88"/>
        <v>-2564.669139212634</v>
      </c>
      <c r="W42" s="199">
        <f t="shared" si="88"/>
        <v>-1008.0266662852121</v>
      </c>
      <c r="X42" s="197"/>
      <c r="Z42" s="204">
        <f t="shared" si="133"/>
        <v>5</v>
      </c>
      <c r="AA42" s="197">
        <f>'Energy NPV'!$D95</f>
        <v>15</v>
      </c>
      <c r="AB42" s="197">
        <f>'Energy margins'!$Z$12</f>
        <v>43.75</v>
      </c>
      <c r="AC42" s="197">
        <f t="shared" si="134"/>
        <v>656.25</v>
      </c>
      <c r="AD42" s="197">
        <f>'Margins summary'!$W$14</f>
        <v>330</v>
      </c>
      <c r="AE42" s="197">
        <f t="shared" si="89"/>
        <v>986.25</v>
      </c>
      <c r="AF42" s="197"/>
      <c r="AG42" s="918">
        <f>'Energy NPV'!U95</f>
        <v>418.53934399999991</v>
      </c>
      <c r="AH42" s="197"/>
      <c r="AI42" s="197">
        <f t="shared" si="90"/>
        <v>627.80901599999993</v>
      </c>
      <c r="AJ42" s="197">
        <f t="shared" si="73"/>
        <v>28.440984000000071</v>
      </c>
      <c r="AK42" s="197">
        <f t="shared" si="74"/>
        <v>358.44098400000007</v>
      </c>
      <c r="AL42" s="196">
        <f t="shared" si="91"/>
        <v>583.06962519467083</v>
      </c>
      <c r="AM42" s="197">
        <f t="shared" si="92"/>
        <v>293.20072581217738</v>
      </c>
      <c r="AN42" s="197">
        <f t="shared" si="93"/>
        <v>557.80017928069344</v>
      </c>
      <c r="AO42" s="197">
        <f t="shared" si="94"/>
        <v>25.269445913977407</v>
      </c>
      <c r="AP42" s="199">
        <f t="shared" si="95"/>
        <v>318.47017172615477</v>
      </c>
      <c r="AQ42" s="196">
        <f t="shared" si="135"/>
        <v>2108.8871735929342</v>
      </c>
      <c r="AR42" s="197">
        <f t="shared" si="96"/>
        <v>1556.642472927422</v>
      </c>
      <c r="AS42" s="197">
        <f t="shared" si="96"/>
        <v>7010.3344692083529</v>
      </c>
      <c r="AT42" s="197">
        <f t="shared" si="96"/>
        <v>-4901.4472956154195</v>
      </c>
      <c r="AU42" s="199">
        <f t="shared" si="96"/>
        <v>-3344.8048226879969</v>
      </c>
      <c r="AV42" s="197"/>
      <c r="AX42" s="204">
        <f t="shared" si="136"/>
        <v>5</v>
      </c>
      <c r="AY42" s="197">
        <f>'Energy NPV'!$D95</f>
        <v>15</v>
      </c>
      <c r="AZ42" s="197">
        <f>'Energy margins'!$Z$12</f>
        <v>43.75</v>
      </c>
      <c r="BA42" s="197">
        <f t="shared" si="137"/>
        <v>656.25</v>
      </c>
      <c r="BB42" s="197">
        <f>'Margins summary'!$W$14</f>
        <v>330</v>
      </c>
      <c r="BC42" s="197">
        <f t="shared" si="97"/>
        <v>986.25</v>
      </c>
      <c r="BD42" s="197"/>
      <c r="BE42" s="918">
        <f>'Energy NPV'!U95</f>
        <v>418.53934399999991</v>
      </c>
      <c r="BF42" s="197"/>
      <c r="BG42" s="197">
        <f t="shared" si="98"/>
        <v>209.26967199999996</v>
      </c>
      <c r="BH42" s="197">
        <f t="shared" si="75"/>
        <v>446.98032800000004</v>
      </c>
      <c r="BI42" s="197">
        <f t="shared" si="76"/>
        <v>776.9803280000001</v>
      </c>
      <c r="BJ42" s="196">
        <f t="shared" si="99"/>
        <v>583.06962519467083</v>
      </c>
      <c r="BK42" s="197">
        <f t="shared" si="100"/>
        <v>293.20072581217738</v>
      </c>
      <c r="BL42" s="197">
        <f t="shared" si="101"/>
        <v>185.93339309356449</v>
      </c>
      <c r="BM42" s="197">
        <f t="shared" si="102"/>
        <v>397.13623210110643</v>
      </c>
      <c r="BN42" s="199">
        <f t="shared" si="103"/>
        <v>690.33695791328387</v>
      </c>
      <c r="BO42" s="196">
        <f t="shared" si="138"/>
        <v>2108.8871735929342</v>
      </c>
      <c r="BP42" s="197">
        <f t="shared" si="104"/>
        <v>1556.642472927422</v>
      </c>
      <c r="BQ42" s="197">
        <f t="shared" si="105"/>
        <v>2336.7781564027841</v>
      </c>
      <c r="BR42" s="197">
        <f t="shared" si="106"/>
        <v>-227.89098280985002</v>
      </c>
      <c r="BS42" s="199">
        <f t="shared" si="107"/>
        <v>1328.7514901175721</v>
      </c>
      <c r="BT42" s="197"/>
      <c r="BV42" s="204">
        <f t="shared" si="139"/>
        <v>5</v>
      </c>
      <c r="BW42" s="197">
        <f>'Energy NPV'!$D95</f>
        <v>15</v>
      </c>
      <c r="BX42" s="197">
        <f>'Energy margins'!$Z$12</f>
        <v>43.75</v>
      </c>
      <c r="BY42" s="197">
        <f t="shared" si="140"/>
        <v>656.25</v>
      </c>
      <c r="BZ42" s="197">
        <f>'Margins summary'!$W$14</f>
        <v>330</v>
      </c>
      <c r="CA42" s="197">
        <f t="shared" si="108"/>
        <v>986.25</v>
      </c>
      <c r="CB42" s="197"/>
      <c r="CC42" s="918">
        <f>'Energy NPV'!U95</f>
        <v>418.53934399999991</v>
      </c>
      <c r="CD42" s="197"/>
      <c r="CE42" s="197">
        <f t="shared" si="109"/>
        <v>837.07868799999983</v>
      </c>
      <c r="CF42" s="197">
        <f t="shared" si="77"/>
        <v>-180.82868799999983</v>
      </c>
      <c r="CG42" s="197">
        <f t="shared" si="78"/>
        <v>149.17131200000017</v>
      </c>
      <c r="CH42" s="196">
        <f t="shared" si="110"/>
        <v>583.06962519467083</v>
      </c>
      <c r="CI42" s="197">
        <f t="shared" si="111"/>
        <v>293.20072581217738</v>
      </c>
      <c r="CJ42" s="197">
        <f t="shared" si="112"/>
        <v>743.73357237425796</v>
      </c>
      <c r="CK42" s="197">
        <f t="shared" si="113"/>
        <v>-160.66394717958701</v>
      </c>
      <c r="CL42" s="199">
        <f t="shared" si="114"/>
        <v>132.53677863259034</v>
      </c>
      <c r="CM42" s="196">
        <f t="shared" si="141"/>
        <v>2108.8871735929342</v>
      </c>
      <c r="CN42" s="197">
        <f t="shared" si="115"/>
        <v>1556.642472927422</v>
      </c>
      <c r="CO42" s="197">
        <f t="shared" si="116"/>
        <v>9347.1126256111365</v>
      </c>
      <c r="CP42" s="197">
        <f t="shared" si="117"/>
        <v>-7238.2254520182023</v>
      </c>
      <c r="CQ42" s="199">
        <f t="shared" si="118"/>
        <v>-5681.582979090781</v>
      </c>
      <c r="CR42" s="197"/>
      <c r="CT42" s="204">
        <f t="shared" si="142"/>
        <v>5</v>
      </c>
      <c r="CU42" s="197">
        <f>'Energy NPV'!$D95</f>
        <v>15</v>
      </c>
      <c r="CV42" s="197">
        <f>'Energy margins'!$Z$12</f>
        <v>43.75</v>
      </c>
      <c r="CW42" s="197">
        <f t="shared" si="143"/>
        <v>656.25</v>
      </c>
      <c r="CX42" s="197">
        <f>'Margins summary'!$W$14</f>
        <v>330</v>
      </c>
      <c r="CY42" s="197">
        <f t="shared" si="119"/>
        <v>986.25</v>
      </c>
      <c r="CZ42" s="197"/>
      <c r="DA42" s="918">
        <f>'Energy NPV'!U95</f>
        <v>418.53934399999991</v>
      </c>
      <c r="DB42" s="197"/>
      <c r="DC42" s="197">
        <f t="shared" si="120"/>
        <v>0</v>
      </c>
      <c r="DD42" s="197">
        <f t="shared" si="79"/>
        <v>656.25</v>
      </c>
      <c r="DE42" s="197">
        <f t="shared" si="80"/>
        <v>986.25</v>
      </c>
      <c r="DF42" s="196">
        <f t="shared" si="121"/>
        <v>583.06962519467083</v>
      </c>
      <c r="DG42" s="197">
        <f t="shared" si="122"/>
        <v>293.20072581217738</v>
      </c>
      <c r="DH42" s="197">
        <f t="shared" si="123"/>
        <v>0</v>
      </c>
      <c r="DI42" s="197">
        <f t="shared" si="124"/>
        <v>583.06962519467083</v>
      </c>
      <c r="DJ42" s="199">
        <f t="shared" si="125"/>
        <v>876.27035100684827</v>
      </c>
      <c r="DK42" s="196">
        <f t="shared" si="144"/>
        <v>2108.8871735929342</v>
      </c>
      <c r="DL42" s="197">
        <f t="shared" si="126"/>
        <v>1556.642472927422</v>
      </c>
      <c r="DM42" s="197">
        <f t="shared" si="127"/>
        <v>0</v>
      </c>
      <c r="DN42" s="197">
        <f t="shared" si="128"/>
        <v>2108.8871735929342</v>
      </c>
      <c r="DO42" s="199">
        <f t="shared" si="129"/>
        <v>3665.529646520356</v>
      </c>
    </row>
    <row r="43" spans="2:119" x14ac:dyDescent="0.3">
      <c r="B43" s="204">
        <f t="shared" si="130"/>
        <v>6</v>
      </c>
      <c r="C43" s="197">
        <f>'Energy NPV'!$D96</f>
        <v>15</v>
      </c>
      <c r="D43" s="197">
        <f>'Energy margins'!$Z$12</f>
        <v>43.75</v>
      </c>
      <c r="E43" s="197">
        <f t="shared" si="131"/>
        <v>656.25</v>
      </c>
      <c r="F43" s="197">
        <f>'Margins summary'!$W$14</f>
        <v>330</v>
      </c>
      <c r="G43" s="197">
        <f t="shared" si="81"/>
        <v>986.25</v>
      </c>
      <c r="H43" s="197"/>
      <c r="I43" s="918">
        <f>'Energy NPV'!U96</f>
        <v>418.53934399999991</v>
      </c>
      <c r="J43" s="197"/>
      <c r="K43" s="197">
        <f t="shared" si="82"/>
        <v>418.53934399999991</v>
      </c>
      <c r="L43" s="197">
        <f t="shared" si="71"/>
        <v>237.71065600000009</v>
      </c>
      <c r="M43" s="197">
        <f t="shared" si="72"/>
        <v>567.71065600000009</v>
      </c>
      <c r="N43" s="196">
        <f t="shared" si="83"/>
        <v>566.08701475210773</v>
      </c>
      <c r="O43" s="197">
        <f t="shared" si="84"/>
        <v>284.66089884677416</v>
      </c>
      <c r="P43" s="197">
        <f t="shared" si="85"/>
        <v>361.03571474478542</v>
      </c>
      <c r="Q43" s="197">
        <f t="shared" si="86"/>
        <v>205.05130000732228</v>
      </c>
      <c r="R43" s="199">
        <f t="shared" si="87"/>
        <v>489.71219885409641</v>
      </c>
      <c r="S43" s="196">
        <f t="shared" si="132"/>
        <v>2674.974188345042</v>
      </c>
      <c r="T43" s="197">
        <f t="shared" si="88"/>
        <v>1841.3033717741962</v>
      </c>
      <c r="U43" s="197">
        <f t="shared" si="88"/>
        <v>5034.592027550354</v>
      </c>
      <c r="V43" s="197">
        <f t="shared" si="88"/>
        <v>-2359.6178392053116</v>
      </c>
      <c r="W43" s="199">
        <f t="shared" si="88"/>
        <v>-518.31446743111565</v>
      </c>
      <c r="X43" s="197"/>
      <c r="Z43" s="204">
        <f t="shared" si="133"/>
        <v>6</v>
      </c>
      <c r="AA43" s="197">
        <f>'Energy NPV'!$D96</f>
        <v>15</v>
      </c>
      <c r="AB43" s="197">
        <f>'Energy margins'!$Z$12</f>
        <v>43.75</v>
      </c>
      <c r="AC43" s="197">
        <f t="shared" si="134"/>
        <v>656.25</v>
      </c>
      <c r="AD43" s="197">
        <f>'Margins summary'!$W$14</f>
        <v>330</v>
      </c>
      <c r="AE43" s="197">
        <f t="shared" si="89"/>
        <v>986.25</v>
      </c>
      <c r="AF43" s="197"/>
      <c r="AG43" s="918">
        <f>'Energy NPV'!U96</f>
        <v>418.53934399999991</v>
      </c>
      <c r="AH43" s="197"/>
      <c r="AI43" s="197">
        <f t="shared" si="90"/>
        <v>627.80901599999993</v>
      </c>
      <c r="AJ43" s="197">
        <f t="shared" si="73"/>
        <v>28.440984000000071</v>
      </c>
      <c r="AK43" s="197">
        <f t="shared" si="74"/>
        <v>358.44098400000007</v>
      </c>
      <c r="AL43" s="196">
        <f t="shared" si="91"/>
        <v>566.08701475210773</v>
      </c>
      <c r="AM43" s="197">
        <f t="shared" si="92"/>
        <v>284.66089884677416</v>
      </c>
      <c r="AN43" s="197">
        <f t="shared" si="93"/>
        <v>541.55357211717819</v>
      </c>
      <c r="AO43" s="197">
        <f t="shared" si="94"/>
        <v>24.533442634929521</v>
      </c>
      <c r="AP43" s="199">
        <f t="shared" si="95"/>
        <v>309.1943414817037</v>
      </c>
      <c r="AQ43" s="196">
        <f t="shared" si="135"/>
        <v>2674.974188345042</v>
      </c>
      <c r="AR43" s="197">
        <f t="shared" si="96"/>
        <v>1841.3033717741962</v>
      </c>
      <c r="AS43" s="197">
        <f t="shared" si="96"/>
        <v>7551.888041325531</v>
      </c>
      <c r="AT43" s="197">
        <f t="shared" si="96"/>
        <v>-4876.9138529804904</v>
      </c>
      <c r="AU43" s="199">
        <f t="shared" si="96"/>
        <v>-3035.6104812062931</v>
      </c>
      <c r="AV43" s="197"/>
      <c r="AX43" s="204">
        <f t="shared" si="136"/>
        <v>6</v>
      </c>
      <c r="AY43" s="197">
        <f>'Energy NPV'!$D96</f>
        <v>15</v>
      </c>
      <c r="AZ43" s="197">
        <f>'Energy margins'!$Z$12</f>
        <v>43.75</v>
      </c>
      <c r="BA43" s="197">
        <f t="shared" si="137"/>
        <v>656.25</v>
      </c>
      <c r="BB43" s="197">
        <f>'Margins summary'!$W$14</f>
        <v>330</v>
      </c>
      <c r="BC43" s="197">
        <f t="shared" si="97"/>
        <v>986.25</v>
      </c>
      <c r="BD43" s="197"/>
      <c r="BE43" s="918">
        <f>'Energy NPV'!U96</f>
        <v>418.53934399999991</v>
      </c>
      <c r="BF43" s="197"/>
      <c r="BG43" s="197">
        <f t="shared" si="98"/>
        <v>209.26967199999996</v>
      </c>
      <c r="BH43" s="197">
        <f t="shared" si="75"/>
        <v>446.98032800000004</v>
      </c>
      <c r="BI43" s="197">
        <f t="shared" si="76"/>
        <v>776.9803280000001</v>
      </c>
      <c r="BJ43" s="196">
        <f t="shared" si="99"/>
        <v>566.08701475210773</v>
      </c>
      <c r="BK43" s="197">
        <f t="shared" si="100"/>
        <v>284.66089884677416</v>
      </c>
      <c r="BL43" s="197">
        <f t="shared" si="101"/>
        <v>180.51785737239271</v>
      </c>
      <c r="BM43" s="197">
        <f t="shared" si="102"/>
        <v>385.56915737971497</v>
      </c>
      <c r="BN43" s="199">
        <f t="shared" si="103"/>
        <v>670.23005622648918</v>
      </c>
      <c r="BO43" s="196">
        <f t="shared" si="138"/>
        <v>2674.974188345042</v>
      </c>
      <c r="BP43" s="197">
        <f t="shared" si="104"/>
        <v>1841.3033717741962</v>
      </c>
      <c r="BQ43" s="197">
        <f t="shared" si="105"/>
        <v>2517.296013775177</v>
      </c>
      <c r="BR43" s="197">
        <f t="shared" si="106"/>
        <v>157.67817456986495</v>
      </c>
      <c r="BS43" s="199">
        <f t="shared" si="107"/>
        <v>1998.9815463440614</v>
      </c>
      <c r="BT43" s="197"/>
      <c r="BV43" s="204">
        <f t="shared" si="139"/>
        <v>6</v>
      </c>
      <c r="BW43" s="197">
        <f>'Energy NPV'!$D96</f>
        <v>15</v>
      </c>
      <c r="BX43" s="197">
        <f>'Energy margins'!$Z$12</f>
        <v>43.75</v>
      </c>
      <c r="BY43" s="197">
        <f t="shared" si="140"/>
        <v>656.25</v>
      </c>
      <c r="BZ43" s="197">
        <f>'Margins summary'!$W$14</f>
        <v>330</v>
      </c>
      <c r="CA43" s="197">
        <f t="shared" si="108"/>
        <v>986.25</v>
      </c>
      <c r="CB43" s="197"/>
      <c r="CC43" s="918">
        <f>'Energy NPV'!U96</f>
        <v>418.53934399999991</v>
      </c>
      <c r="CD43" s="197"/>
      <c r="CE43" s="197">
        <f t="shared" si="109"/>
        <v>837.07868799999983</v>
      </c>
      <c r="CF43" s="197">
        <f t="shared" si="77"/>
        <v>-180.82868799999983</v>
      </c>
      <c r="CG43" s="197">
        <f t="shared" si="78"/>
        <v>149.17131200000017</v>
      </c>
      <c r="CH43" s="196">
        <f t="shared" si="110"/>
        <v>566.08701475210773</v>
      </c>
      <c r="CI43" s="197">
        <f t="shared" si="111"/>
        <v>284.66089884677416</v>
      </c>
      <c r="CJ43" s="197">
        <f t="shared" si="112"/>
        <v>722.07142948957085</v>
      </c>
      <c r="CK43" s="197">
        <f t="shared" si="113"/>
        <v>-155.98441473746314</v>
      </c>
      <c r="CL43" s="199">
        <f t="shared" si="114"/>
        <v>128.67648410931102</v>
      </c>
      <c r="CM43" s="196">
        <f t="shared" si="141"/>
        <v>2674.974188345042</v>
      </c>
      <c r="CN43" s="197">
        <f t="shared" si="115"/>
        <v>1841.3033717741962</v>
      </c>
      <c r="CO43" s="197">
        <f t="shared" si="116"/>
        <v>10069.184055100708</v>
      </c>
      <c r="CP43" s="197">
        <f t="shared" si="117"/>
        <v>-7394.2098667556656</v>
      </c>
      <c r="CQ43" s="199">
        <f t="shared" si="118"/>
        <v>-5552.9064949814701</v>
      </c>
      <c r="CR43" s="197"/>
      <c r="CT43" s="204">
        <f t="shared" si="142"/>
        <v>6</v>
      </c>
      <c r="CU43" s="197">
        <f>'Energy NPV'!$D96</f>
        <v>15</v>
      </c>
      <c r="CV43" s="197">
        <f>'Energy margins'!$Z$12</f>
        <v>43.75</v>
      </c>
      <c r="CW43" s="197">
        <f t="shared" si="143"/>
        <v>656.25</v>
      </c>
      <c r="CX43" s="197">
        <f>'Margins summary'!$W$14</f>
        <v>330</v>
      </c>
      <c r="CY43" s="197">
        <f t="shared" si="119"/>
        <v>986.25</v>
      </c>
      <c r="CZ43" s="197"/>
      <c r="DA43" s="918">
        <f>'Energy NPV'!U96</f>
        <v>418.53934399999991</v>
      </c>
      <c r="DB43" s="197"/>
      <c r="DC43" s="197">
        <f t="shared" si="120"/>
        <v>0</v>
      </c>
      <c r="DD43" s="197">
        <f t="shared" si="79"/>
        <v>656.25</v>
      </c>
      <c r="DE43" s="197">
        <f t="shared" si="80"/>
        <v>986.25</v>
      </c>
      <c r="DF43" s="196">
        <f t="shared" si="121"/>
        <v>566.08701475210773</v>
      </c>
      <c r="DG43" s="197">
        <f t="shared" si="122"/>
        <v>284.66089884677416</v>
      </c>
      <c r="DH43" s="197">
        <f t="shared" si="123"/>
        <v>0</v>
      </c>
      <c r="DI43" s="197">
        <f t="shared" si="124"/>
        <v>566.08701475210773</v>
      </c>
      <c r="DJ43" s="199">
        <f t="shared" si="125"/>
        <v>850.74791359888184</v>
      </c>
      <c r="DK43" s="196">
        <f t="shared" si="144"/>
        <v>2674.974188345042</v>
      </c>
      <c r="DL43" s="197">
        <f t="shared" si="126"/>
        <v>1841.3033717741962</v>
      </c>
      <c r="DM43" s="197">
        <f t="shared" si="127"/>
        <v>0</v>
      </c>
      <c r="DN43" s="197">
        <f t="shared" si="128"/>
        <v>2674.974188345042</v>
      </c>
      <c r="DO43" s="199">
        <f t="shared" si="129"/>
        <v>4516.2775601192379</v>
      </c>
    </row>
    <row r="44" spans="2:119" x14ac:dyDescent="0.3">
      <c r="B44" s="204">
        <f t="shared" si="130"/>
        <v>7</v>
      </c>
      <c r="C44" s="197">
        <f>'Energy NPV'!$D97</f>
        <v>15</v>
      </c>
      <c r="D44" s="197">
        <f>'Energy margins'!$Z$12</f>
        <v>43.75</v>
      </c>
      <c r="E44" s="197">
        <f t="shared" si="131"/>
        <v>656.25</v>
      </c>
      <c r="F44" s="197">
        <f>'Margins summary'!$W$14</f>
        <v>330</v>
      </c>
      <c r="G44" s="197">
        <f t="shared" si="81"/>
        <v>986.25</v>
      </c>
      <c r="H44" s="197"/>
      <c r="I44" s="918">
        <f>'Energy NPV'!U97</f>
        <v>418.53934399999991</v>
      </c>
      <c r="J44" s="197"/>
      <c r="K44" s="197">
        <f t="shared" si="82"/>
        <v>418.53934399999991</v>
      </c>
      <c r="L44" s="197">
        <f t="shared" si="71"/>
        <v>237.71065600000009</v>
      </c>
      <c r="M44" s="197">
        <f t="shared" si="72"/>
        <v>567.71065600000009</v>
      </c>
      <c r="N44" s="196">
        <f t="shared" si="83"/>
        <v>549.59904344864822</v>
      </c>
      <c r="O44" s="197">
        <f t="shared" si="84"/>
        <v>276.36980470560593</v>
      </c>
      <c r="P44" s="197">
        <f t="shared" si="85"/>
        <v>350.52011140270429</v>
      </c>
      <c r="Q44" s="197">
        <f t="shared" si="86"/>
        <v>199.07893204594396</v>
      </c>
      <c r="R44" s="199">
        <f t="shared" si="87"/>
        <v>475.44873675154992</v>
      </c>
      <c r="S44" s="196">
        <f t="shared" si="132"/>
        <v>3224.57323179369</v>
      </c>
      <c r="T44" s="197">
        <f t="shared" si="88"/>
        <v>2117.6731764798024</v>
      </c>
      <c r="U44" s="197">
        <f t="shared" si="88"/>
        <v>5385.1121389530581</v>
      </c>
      <c r="V44" s="197">
        <f t="shared" si="88"/>
        <v>-2160.5389071593677</v>
      </c>
      <c r="W44" s="199">
        <f t="shared" si="88"/>
        <v>-42.865730679565729</v>
      </c>
      <c r="X44" s="197"/>
      <c r="Z44" s="204">
        <f t="shared" si="133"/>
        <v>7</v>
      </c>
      <c r="AA44" s="197">
        <f>'Energy NPV'!$D97</f>
        <v>15</v>
      </c>
      <c r="AB44" s="197">
        <f>'Energy margins'!$Z$12</f>
        <v>43.75</v>
      </c>
      <c r="AC44" s="197">
        <f t="shared" si="134"/>
        <v>656.25</v>
      </c>
      <c r="AD44" s="197">
        <f>'Margins summary'!$W$14</f>
        <v>330</v>
      </c>
      <c r="AE44" s="197">
        <f t="shared" si="89"/>
        <v>986.25</v>
      </c>
      <c r="AF44" s="197"/>
      <c r="AG44" s="918">
        <f>'Energy NPV'!U97</f>
        <v>418.53934399999991</v>
      </c>
      <c r="AH44" s="197"/>
      <c r="AI44" s="197">
        <f t="shared" si="90"/>
        <v>627.80901599999993</v>
      </c>
      <c r="AJ44" s="197">
        <f t="shared" si="73"/>
        <v>28.440984000000071</v>
      </c>
      <c r="AK44" s="197">
        <f t="shared" si="74"/>
        <v>358.44098400000007</v>
      </c>
      <c r="AL44" s="196">
        <f t="shared" si="91"/>
        <v>549.59904344864822</v>
      </c>
      <c r="AM44" s="197">
        <f t="shared" si="92"/>
        <v>276.36980470560593</v>
      </c>
      <c r="AN44" s="197">
        <f t="shared" si="93"/>
        <v>525.78016710405643</v>
      </c>
      <c r="AO44" s="197">
        <f t="shared" si="94"/>
        <v>23.818876344591768</v>
      </c>
      <c r="AP44" s="199">
        <f t="shared" si="95"/>
        <v>300.18868105019772</v>
      </c>
      <c r="AQ44" s="196">
        <f t="shared" si="135"/>
        <v>3224.57323179369</v>
      </c>
      <c r="AR44" s="197">
        <f t="shared" si="96"/>
        <v>2117.6731764798024</v>
      </c>
      <c r="AS44" s="197">
        <f t="shared" si="96"/>
        <v>8077.6682084295871</v>
      </c>
      <c r="AT44" s="197">
        <f t="shared" si="96"/>
        <v>-4853.094976635899</v>
      </c>
      <c r="AU44" s="199">
        <f t="shared" si="96"/>
        <v>-2735.4218001560953</v>
      </c>
      <c r="AV44" s="197"/>
      <c r="AX44" s="204">
        <f t="shared" si="136"/>
        <v>7</v>
      </c>
      <c r="AY44" s="197">
        <f>'Energy NPV'!$D97</f>
        <v>15</v>
      </c>
      <c r="AZ44" s="197">
        <f>'Energy margins'!$Z$12</f>
        <v>43.75</v>
      </c>
      <c r="BA44" s="197">
        <f t="shared" si="137"/>
        <v>656.25</v>
      </c>
      <c r="BB44" s="197">
        <f>'Margins summary'!$W$14</f>
        <v>330</v>
      </c>
      <c r="BC44" s="197">
        <f t="shared" si="97"/>
        <v>986.25</v>
      </c>
      <c r="BD44" s="197"/>
      <c r="BE44" s="918">
        <f>'Energy NPV'!U97</f>
        <v>418.53934399999991</v>
      </c>
      <c r="BF44" s="197"/>
      <c r="BG44" s="197">
        <f t="shared" si="98"/>
        <v>209.26967199999996</v>
      </c>
      <c r="BH44" s="197">
        <f t="shared" si="75"/>
        <v>446.98032800000004</v>
      </c>
      <c r="BI44" s="197">
        <f t="shared" si="76"/>
        <v>776.9803280000001</v>
      </c>
      <c r="BJ44" s="196">
        <f t="shared" si="99"/>
        <v>549.59904344864822</v>
      </c>
      <c r="BK44" s="197">
        <f t="shared" si="100"/>
        <v>276.36980470560593</v>
      </c>
      <c r="BL44" s="197">
        <f t="shared" si="101"/>
        <v>175.26005570135214</v>
      </c>
      <c r="BM44" s="197">
        <f t="shared" si="102"/>
        <v>374.33898774729607</v>
      </c>
      <c r="BN44" s="199">
        <f t="shared" si="103"/>
        <v>650.70879245290212</v>
      </c>
      <c r="BO44" s="196">
        <f t="shared" si="138"/>
        <v>3224.57323179369</v>
      </c>
      <c r="BP44" s="197">
        <f t="shared" si="104"/>
        <v>2117.6731764798024</v>
      </c>
      <c r="BQ44" s="197">
        <f t="shared" si="105"/>
        <v>2692.556069476529</v>
      </c>
      <c r="BR44" s="197">
        <f t="shared" si="106"/>
        <v>532.01716231716102</v>
      </c>
      <c r="BS44" s="199">
        <f t="shared" si="107"/>
        <v>2649.6903387969633</v>
      </c>
      <c r="BT44" s="197"/>
      <c r="BV44" s="204">
        <f t="shared" si="139"/>
        <v>7</v>
      </c>
      <c r="BW44" s="197">
        <f>'Energy NPV'!$D97</f>
        <v>15</v>
      </c>
      <c r="BX44" s="197">
        <f>'Energy margins'!$Z$12</f>
        <v>43.75</v>
      </c>
      <c r="BY44" s="197">
        <f t="shared" si="140"/>
        <v>656.25</v>
      </c>
      <c r="BZ44" s="197">
        <f>'Margins summary'!$W$14</f>
        <v>330</v>
      </c>
      <c r="CA44" s="197">
        <f t="shared" si="108"/>
        <v>986.25</v>
      </c>
      <c r="CB44" s="197"/>
      <c r="CC44" s="918">
        <f>'Energy NPV'!U97</f>
        <v>418.53934399999991</v>
      </c>
      <c r="CD44" s="197"/>
      <c r="CE44" s="197">
        <f t="shared" si="109"/>
        <v>837.07868799999983</v>
      </c>
      <c r="CF44" s="197">
        <f t="shared" si="77"/>
        <v>-180.82868799999983</v>
      </c>
      <c r="CG44" s="197">
        <f t="shared" si="78"/>
        <v>149.17131200000017</v>
      </c>
      <c r="CH44" s="196">
        <f t="shared" si="110"/>
        <v>549.59904344864822</v>
      </c>
      <c r="CI44" s="197">
        <f t="shared" si="111"/>
        <v>276.36980470560593</v>
      </c>
      <c r="CJ44" s="197">
        <f t="shared" si="112"/>
        <v>701.04022280540858</v>
      </c>
      <c r="CK44" s="197">
        <f t="shared" si="113"/>
        <v>-151.44117935676033</v>
      </c>
      <c r="CL44" s="199">
        <f t="shared" si="114"/>
        <v>124.92862534884564</v>
      </c>
      <c r="CM44" s="196">
        <f t="shared" si="141"/>
        <v>3224.57323179369</v>
      </c>
      <c r="CN44" s="197">
        <f t="shared" si="115"/>
        <v>2117.6731764798024</v>
      </c>
      <c r="CO44" s="197">
        <f t="shared" si="116"/>
        <v>10770.224277906116</v>
      </c>
      <c r="CP44" s="197">
        <f t="shared" si="117"/>
        <v>-7545.6510461124262</v>
      </c>
      <c r="CQ44" s="199">
        <f t="shared" si="118"/>
        <v>-5427.9778696326248</v>
      </c>
      <c r="CR44" s="197"/>
      <c r="CT44" s="204">
        <f t="shared" si="142"/>
        <v>7</v>
      </c>
      <c r="CU44" s="197">
        <f>'Energy NPV'!$D97</f>
        <v>15</v>
      </c>
      <c r="CV44" s="197">
        <f>'Energy margins'!$Z$12</f>
        <v>43.75</v>
      </c>
      <c r="CW44" s="197">
        <f t="shared" si="143"/>
        <v>656.25</v>
      </c>
      <c r="CX44" s="197">
        <f>'Margins summary'!$W$14</f>
        <v>330</v>
      </c>
      <c r="CY44" s="197">
        <f t="shared" si="119"/>
        <v>986.25</v>
      </c>
      <c r="CZ44" s="197"/>
      <c r="DA44" s="918">
        <f>'Energy NPV'!U97</f>
        <v>418.53934399999991</v>
      </c>
      <c r="DB44" s="197"/>
      <c r="DC44" s="197">
        <f t="shared" si="120"/>
        <v>0</v>
      </c>
      <c r="DD44" s="197">
        <f t="shared" si="79"/>
        <v>656.25</v>
      </c>
      <c r="DE44" s="197">
        <f t="shared" si="80"/>
        <v>986.25</v>
      </c>
      <c r="DF44" s="196">
        <f t="shared" si="121"/>
        <v>549.59904344864822</v>
      </c>
      <c r="DG44" s="197">
        <f t="shared" si="122"/>
        <v>276.36980470560593</v>
      </c>
      <c r="DH44" s="197">
        <f t="shared" si="123"/>
        <v>0</v>
      </c>
      <c r="DI44" s="197">
        <f t="shared" si="124"/>
        <v>549.59904344864822</v>
      </c>
      <c r="DJ44" s="199">
        <f t="shared" si="125"/>
        <v>825.96884815425415</v>
      </c>
      <c r="DK44" s="196">
        <f t="shared" si="144"/>
        <v>3224.57323179369</v>
      </c>
      <c r="DL44" s="197">
        <f t="shared" si="126"/>
        <v>2117.6731764798024</v>
      </c>
      <c r="DM44" s="197">
        <f t="shared" si="127"/>
        <v>0</v>
      </c>
      <c r="DN44" s="197">
        <f t="shared" si="128"/>
        <v>3224.57323179369</v>
      </c>
      <c r="DO44" s="199">
        <f t="shared" si="129"/>
        <v>5342.2464082734923</v>
      </c>
    </row>
    <row r="45" spans="2:119" x14ac:dyDescent="0.3">
      <c r="B45" s="204">
        <f t="shared" si="130"/>
        <v>8</v>
      </c>
      <c r="C45" s="197">
        <f>'Energy NPV'!$D98</f>
        <v>15</v>
      </c>
      <c r="D45" s="197">
        <f>'Energy margins'!$Z$12</f>
        <v>43.75</v>
      </c>
      <c r="E45" s="197">
        <f t="shared" si="131"/>
        <v>656.25</v>
      </c>
      <c r="F45" s="197">
        <f>'Margins summary'!$W$14</f>
        <v>330</v>
      </c>
      <c r="G45" s="197">
        <f t="shared" si="81"/>
        <v>986.25</v>
      </c>
      <c r="H45" s="197"/>
      <c r="I45" s="918">
        <f>'Energy NPV'!U98</f>
        <v>418.53934399999991</v>
      </c>
      <c r="J45" s="197"/>
      <c r="K45" s="197">
        <f t="shared" si="82"/>
        <v>418.53934399999991</v>
      </c>
      <c r="L45" s="197">
        <f t="shared" si="71"/>
        <v>237.71065600000009</v>
      </c>
      <c r="M45" s="197">
        <f t="shared" si="72"/>
        <v>567.71065600000009</v>
      </c>
      <c r="N45" s="196">
        <f t="shared" si="83"/>
        <v>533.5913043190759</v>
      </c>
      <c r="O45" s="197">
        <f t="shared" si="84"/>
        <v>268.32019874330672</v>
      </c>
      <c r="P45" s="197">
        <f t="shared" si="85"/>
        <v>340.31078776961579</v>
      </c>
      <c r="Q45" s="197">
        <f t="shared" si="86"/>
        <v>193.28051654946015</v>
      </c>
      <c r="R45" s="199">
        <f t="shared" si="87"/>
        <v>461.60071529276689</v>
      </c>
      <c r="S45" s="196">
        <f t="shared" si="132"/>
        <v>3758.1645361127657</v>
      </c>
      <c r="T45" s="197">
        <f t="shared" si="88"/>
        <v>2385.9933752231091</v>
      </c>
      <c r="U45" s="197">
        <f t="shared" si="88"/>
        <v>5725.4229267226738</v>
      </c>
      <c r="V45" s="197">
        <f t="shared" si="88"/>
        <v>-1967.2583906099076</v>
      </c>
      <c r="W45" s="199">
        <f t="shared" si="88"/>
        <v>418.73498461320116</v>
      </c>
      <c r="X45" s="197"/>
      <c r="Z45" s="204">
        <f t="shared" si="133"/>
        <v>8</v>
      </c>
      <c r="AA45" s="197">
        <f>'Energy NPV'!$D98</f>
        <v>15</v>
      </c>
      <c r="AB45" s="197">
        <f>'Energy margins'!$Z$12</f>
        <v>43.75</v>
      </c>
      <c r="AC45" s="197">
        <f t="shared" si="134"/>
        <v>656.25</v>
      </c>
      <c r="AD45" s="197">
        <f>'Margins summary'!$W$14</f>
        <v>330</v>
      </c>
      <c r="AE45" s="197">
        <f t="shared" si="89"/>
        <v>986.25</v>
      </c>
      <c r="AF45" s="197"/>
      <c r="AG45" s="918">
        <f>'Energy NPV'!U98</f>
        <v>418.53934399999991</v>
      </c>
      <c r="AH45" s="197"/>
      <c r="AI45" s="197">
        <f t="shared" si="90"/>
        <v>627.80901599999993</v>
      </c>
      <c r="AJ45" s="197">
        <f t="shared" si="73"/>
        <v>28.440984000000071</v>
      </c>
      <c r="AK45" s="197">
        <f t="shared" si="74"/>
        <v>358.44098400000007</v>
      </c>
      <c r="AL45" s="196">
        <f t="shared" si="91"/>
        <v>533.5913043190759</v>
      </c>
      <c r="AM45" s="197">
        <f t="shared" si="92"/>
        <v>268.32019874330672</v>
      </c>
      <c r="AN45" s="197">
        <f t="shared" si="93"/>
        <v>510.46618165442368</v>
      </c>
      <c r="AO45" s="197">
        <f t="shared" si="94"/>
        <v>23.125122664652199</v>
      </c>
      <c r="AP45" s="199">
        <f t="shared" si="95"/>
        <v>291.44532140795894</v>
      </c>
      <c r="AQ45" s="196">
        <f t="shared" si="135"/>
        <v>3758.1645361127657</v>
      </c>
      <c r="AR45" s="197">
        <f t="shared" si="96"/>
        <v>2385.9933752231091</v>
      </c>
      <c r="AS45" s="197">
        <f t="shared" si="96"/>
        <v>8588.1343900840111</v>
      </c>
      <c r="AT45" s="197">
        <f t="shared" si="96"/>
        <v>-4829.9698539712472</v>
      </c>
      <c r="AU45" s="199">
        <f t="shared" si="96"/>
        <v>-2443.9764787481363</v>
      </c>
      <c r="AV45" s="197"/>
      <c r="AX45" s="204">
        <f t="shared" si="136"/>
        <v>8</v>
      </c>
      <c r="AY45" s="197">
        <f>'Energy NPV'!$D98</f>
        <v>15</v>
      </c>
      <c r="AZ45" s="197">
        <f>'Energy margins'!$Z$12</f>
        <v>43.75</v>
      </c>
      <c r="BA45" s="197">
        <f t="shared" si="137"/>
        <v>656.25</v>
      </c>
      <c r="BB45" s="197">
        <f>'Margins summary'!$W$14</f>
        <v>330</v>
      </c>
      <c r="BC45" s="197">
        <f t="shared" si="97"/>
        <v>986.25</v>
      </c>
      <c r="BD45" s="197"/>
      <c r="BE45" s="918">
        <f>'Energy NPV'!U98</f>
        <v>418.53934399999991</v>
      </c>
      <c r="BF45" s="197"/>
      <c r="BG45" s="197">
        <f t="shared" si="98"/>
        <v>209.26967199999996</v>
      </c>
      <c r="BH45" s="197">
        <f t="shared" si="75"/>
        <v>446.98032800000004</v>
      </c>
      <c r="BI45" s="197">
        <f t="shared" si="76"/>
        <v>776.9803280000001</v>
      </c>
      <c r="BJ45" s="196">
        <f t="shared" si="99"/>
        <v>533.5913043190759</v>
      </c>
      <c r="BK45" s="197">
        <f t="shared" si="100"/>
        <v>268.32019874330672</v>
      </c>
      <c r="BL45" s="197">
        <f t="shared" si="101"/>
        <v>170.15539388480789</v>
      </c>
      <c r="BM45" s="197">
        <f t="shared" si="102"/>
        <v>363.43591043426801</v>
      </c>
      <c r="BN45" s="199">
        <f t="shared" si="103"/>
        <v>631.75610917757479</v>
      </c>
      <c r="BO45" s="196">
        <f t="shared" si="138"/>
        <v>3758.1645361127657</v>
      </c>
      <c r="BP45" s="197">
        <f t="shared" si="104"/>
        <v>2385.9933752231091</v>
      </c>
      <c r="BQ45" s="197">
        <f t="shared" si="105"/>
        <v>2862.7114633613369</v>
      </c>
      <c r="BR45" s="197">
        <f t="shared" si="106"/>
        <v>895.45307275142909</v>
      </c>
      <c r="BS45" s="199">
        <f t="shared" si="107"/>
        <v>3281.4464479745379</v>
      </c>
      <c r="BT45" s="197"/>
      <c r="BV45" s="204">
        <f t="shared" si="139"/>
        <v>8</v>
      </c>
      <c r="BW45" s="197">
        <f>'Energy NPV'!$D98</f>
        <v>15</v>
      </c>
      <c r="BX45" s="197">
        <f>'Energy margins'!$Z$12</f>
        <v>43.75</v>
      </c>
      <c r="BY45" s="197">
        <f t="shared" si="140"/>
        <v>656.25</v>
      </c>
      <c r="BZ45" s="197">
        <f>'Margins summary'!$W$14</f>
        <v>330</v>
      </c>
      <c r="CA45" s="197">
        <f t="shared" si="108"/>
        <v>986.25</v>
      </c>
      <c r="CB45" s="197"/>
      <c r="CC45" s="918">
        <f>'Energy NPV'!U98</f>
        <v>418.53934399999991</v>
      </c>
      <c r="CD45" s="197"/>
      <c r="CE45" s="197">
        <f t="shared" si="109"/>
        <v>837.07868799999983</v>
      </c>
      <c r="CF45" s="197">
        <f t="shared" si="77"/>
        <v>-180.82868799999983</v>
      </c>
      <c r="CG45" s="197">
        <f t="shared" si="78"/>
        <v>149.17131200000017</v>
      </c>
      <c r="CH45" s="196">
        <f t="shared" si="110"/>
        <v>533.5913043190759</v>
      </c>
      <c r="CI45" s="197">
        <f t="shared" si="111"/>
        <v>268.32019874330672</v>
      </c>
      <c r="CJ45" s="197">
        <f t="shared" si="112"/>
        <v>680.62157553923157</v>
      </c>
      <c r="CK45" s="197">
        <f t="shared" si="113"/>
        <v>-147.03027122015564</v>
      </c>
      <c r="CL45" s="199">
        <f t="shared" si="114"/>
        <v>121.28992752315111</v>
      </c>
      <c r="CM45" s="196">
        <f t="shared" si="141"/>
        <v>3758.1645361127657</v>
      </c>
      <c r="CN45" s="197">
        <f t="shared" si="115"/>
        <v>2385.9933752231091</v>
      </c>
      <c r="CO45" s="197">
        <f t="shared" si="116"/>
        <v>11450.845853445348</v>
      </c>
      <c r="CP45" s="197">
        <f t="shared" si="117"/>
        <v>-7692.6813173325818</v>
      </c>
      <c r="CQ45" s="199">
        <f t="shared" si="118"/>
        <v>-5306.6879421094736</v>
      </c>
      <c r="CR45" s="197"/>
      <c r="CT45" s="204">
        <f t="shared" si="142"/>
        <v>8</v>
      </c>
      <c r="CU45" s="197">
        <f>'Energy NPV'!$D98</f>
        <v>15</v>
      </c>
      <c r="CV45" s="197">
        <f>'Energy margins'!$Z$12</f>
        <v>43.75</v>
      </c>
      <c r="CW45" s="197">
        <f t="shared" si="143"/>
        <v>656.25</v>
      </c>
      <c r="CX45" s="197">
        <f>'Margins summary'!$W$14</f>
        <v>330</v>
      </c>
      <c r="CY45" s="197">
        <f t="shared" si="119"/>
        <v>986.25</v>
      </c>
      <c r="CZ45" s="197"/>
      <c r="DA45" s="918">
        <f>'Energy NPV'!U98</f>
        <v>418.53934399999991</v>
      </c>
      <c r="DB45" s="197"/>
      <c r="DC45" s="197">
        <f t="shared" si="120"/>
        <v>0</v>
      </c>
      <c r="DD45" s="197">
        <f t="shared" si="79"/>
        <v>656.25</v>
      </c>
      <c r="DE45" s="197">
        <f t="shared" si="80"/>
        <v>986.25</v>
      </c>
      <c r="DF45" s="196">
        <f t="shared" si="121"/>
        <v>533.5913043190759</v>
      </c>
      <c r="DG45" s="197">
        <f t="shared" si="122"/>
        <v>268.32019874330672</v>
      </c>
      <c r="DH45" s="197">
        <f t="shared" si="123"/>
        <v>0</v>
      </c>
      <c r="DI45" s="197">
        <f t="shared" si="124"/>
        <v>533.5913043190759</v>
      </c>
      <c r="DJ45" s="199">
        <f t="shared" si="125"/>
        <v>801.91150306238262</v>
      </c>
      <c r="DK45" s="196">
        <f t="shared" si="144"/>
        <v>3758.1645361127657</v>
      </c>
      <c r="DL45" s="197">
        <f t="shared" si="126"/>
        <v>2385.9933752231091</v>
      </c>
      <c r="DM45" s="197">
        <f t="shared" si="127"/>
        <v>0</v>
      </c>
      <c r="DN45" s="197">
        <f t="shared" si="128"/>
        <v>3758.1645361127657</v>
      </c>
      <c r="DO45" s="199">
        <f t="shared" si="129"/>
        <v>6144.1579113358748</v>
      </c>
    </row>
    <row r="46" spans="2:119" x14ac:dyDescent="0.3">
      <c r="B46" s="204">
        <f t="shared" si="130"/>
        <v>9</v>
      </c>
      <c r="C46" s="197">
        <f>'Energy NPV'!$D99</f>
        <v>15</v>
      </c>
      <c r="D46" s="197">
        <f>'Energy margins'!$Z$12</f>
        <v>43.75</v>
      </c>
      <c r="E46" s="197">
        <f t="shared" si="131"/>
        <v>656.25</v>
      </c>
      <c r="F46" s="197">
        <f>'Margins summary'!$W$14</f>
        <v>330</v>
      </c>
      <c r="G46" s="197">
        <f t="shared" si="81"/>
        <v>986.25</v>
      </c>
      <c r="H46" s="197"/>
      <c r="I46" s="918">
        <f>'Energy NPV'!U99</f>
        <v>418.53934399999991</v>
      </c>
      <c r="J46" s="197"/>
      <c r="K46" s="197">
        <f t="shared" si="82"/>
        <v>418.53934399999991</v>
      </c>
      <c r="L46" s="197">
        <f t="shared" si="71"/>
        <v>237.71065600000009</v>
      </c>
      <c r="M46" s="197">
        <f t="shared" si="72"/>
        <v>567.71065600000009</v>
      </c>
      <c r="N46" s="196">
        <f t="shared" si="83"/>
        <v>518.04981001852036</v>
      </c>
      <c r="O46" s="197">
        <f t="shared" si="84"/>
        <v>260.50504732359883</v>
      </c>
      <c r="P46" s="197">
        <f t="shared" si="85"/>
        <v>330.39882307729692</v>
      </c>
      <c r="Q46" s="197">
        <f t="shared" si="86"/>
        <v>187.65098694122347</v>
      </c>
      <c r="R46" s="199">
        <f t="shared" si="87"/>
        <v>448.15603426482227</v>
      </c>
      <c r="S46" s="196">
        <f t="shared" si="132"/>
        <v>4276.2143461312862</v>
      </c>
      <c r="T46" s="197">
        <f t="shared" si="88"/>
        <v>2646.4984225467078</v>
      </c>
      <c r="U46" s="197">
        <f t="shared" si="88"/>
        <v>6055.8217497999703</v>
      </c>
      <c r="V46" s="197">
        <f t="shared" si="88"/>
        <v>-1779.6074036686841</v>
      </c>
      <c r="W46" s="199">
        <f t="shared" si="88"/>
        <v>866.89101887802349</v>
      </c>
      <c r="X46" s="197"/>
      <c r="Z46" s="204">
        <f t="shared" si="133"/>
        <v>9</v>
      </c>
      <c r="AA46" s="197">
        <f>'Energy NPV'!$D99</f>
        <v>15</v>
      </c>
      <c r="AB46" s="197">
        <f>'Energy margins'!$Z$12</f>
        <v>43.75</v>
      </c>
      <c r="AC46" s="197">
        <f t="shared" si="134"/>
        <v>656.25</v>
      </c>
      <c r="AD46" s="197">
        <f>'Margins summary'!$W$14</f>
        <v>330</v>
      </c>
      <c r="AE46" s="197">
        <f t="shared" si="89"/>
        <v>986.25</v>
      </c>
      <c r="AF46" s="197"/>
      <c r="AG46" s="918">
        <f>'Energy NPV'!U99</f>
        <v>418.53934399999991</v>
      </c>
      <c r="AH46" s="197"/>
      <c r="AI46" s="197">
        <f t="shared" si="90"/>
        <v>627.80901599999993</v>
      </c>
      <c r="AJ46" s="197">
        <f t="shared" si="73"/>
        <v>28.440984000000071</v>
      </c>
      <c r="AK46" s="197">
        <f t="shared" si="74"/>
        <v>358.44098400000007</v>
      </c>
      <c r="AL46" s="196">
        <f t="shared" si="91"/>
        <v>518.04981001852036</v>
      </c>
      <c r="AM46" s="197">
        <f t="shared" si="92"/>
        <v>260.50504732359883</v>
      </c>
      <c r="AN46" s="197">
        <f t="shared" si="93"/>
        <v>495.59823461594539</v>
      </c>
      <c r="AO46" s="197">
        <f t="shared" si="94"/>
        <v>22.451575402574953</v>
      </c>
      <c r="AP46" s="199">
        <f t="shared" si="95"/>
        <v>282.95662272617375</v>
      </c>
      <c r="AQ46" s="196">
        <f t="shared" si="135"/>
        <v>4276.2143461312862</v>
      </c>
      <c r="AR46" s="197">
        <f t="shared" si="96"/>
        <v>2646.4984225467078</v>
      </c>
      <c r="AS46" s="197">
        <f t="shared" si="96"/>
        <v>9083.7326246999564</v>
      </c>
      <c r="AT46" s="197">
        <f t="shared" si="96"/>
        <v>-4807.518278568672</v>
      </c>
      <c r="AU46" s="199">
        <f t="shared" si="96"/>
        <v>-2161.0198560219624</v>
      </c>
      <c r="AV46" s="197"/>
      <c r="AX46" s="204">
        <f t="shared" si="136"/>
        <v>9</v>
      </c>
      <c r="AY46" s="197">
        <f>'Energy NPV'!$D99</f>
        <v>15</v>
      </c>
      <c r="AZ46" s="197">
        <f>'Energy margins'!$Z$12</f>
        <v>43.75</v>
      </c>
      <c r="BA46" s="197">
        <f t="shared" si="137"/>
        <v>656.25</v>
      </c>
      <c r="BB46" s="197">
        <f>'Margins summary'!$W$14</f>
        <v>330</v>
      </c>
      <c r="BC46" s="197">
        <f t="shared" si="97"/>
        <v>986.25</v>
      </c>
      <c r="BD46" s="197"/>
      <c r="BE46" s="918">
        <f>'Energy NPV'!U99</f>
        <v>418.53934399999991</v>
      </c>
      <c r="BF46" s="197"/>
      <c r="BG46" s="197">
        <f t="shared" si="98"/>
        <v>209.26967199999996</v>
      </c>
      <c r="BH46" s="197">
        <f t="shared" si="75"/>
        <v>446.98032800000004</v>
      </c>
      <c r="BI46" s="197">
        <f t="shared" si="76"/>
        <v>776.9803280000001</v>
      </c>
      <c r="BJ46" s="196">
        <f t="shared" si="99"/>
        <v>518.04981001852036</v>
      </c>
      <c r="BK46" s="197">
        <f t="shared" si="100"/>
        <v>260.50504732359883</v>
      </c>
      <c r="BL46" s="197">
        <f t="shared" si="101"/>
        <v>165.19941153864846</v>
      </c>
      <c r="BM46" s="197">
        <f t="shared" si="102"/>
        <v>352.8503984798719</v>
      </c>
      <c r="BN46" s="199">
        <f t="shared" si="103"/>
        <v>613.35544580347073</v>
      </c>
      <c r="BO46" s="196">
        <f t="shared" si="138"/>
        <v>4276.2143461312862</v>
      </c>
      <c r="BP46" s="197">
        <f t="shared" si="104"/>
        <v>2646.4984225467078</v>
      </c>
      <c r="BQ46" s="197">
        <f t="shared" si="105"/>
        <v>3027.9108748999852</v>
      </c>
      <c r="BR46" s="197">
        <f t="shared" si="106"/>
        <v>1248.303471231301</v>
      </c>
      <c r="BS46" s="199">
        <f t="shared" si="107"/>
        <v>3894.8018937780089</v>
      </c>
      <c r="BT46" s="197"/>
      <c r="BV46" s="204">
        <f t="shared" si="139"/>
        <v>9</v>
      </c>
      <c r="BW46" s="197">
        <f>'Energy NPV'!$D99</f>
        <v>15</v>
      </c>
      <c r="BX46" s="197">
        <f>'Energy margins'!$Z$12</f>
        <v>43.75</v>
      </c>
      <c r="BY46" s="197">
        <f t="shared" si="140"/>
        <v>656.25</v>
      </c>
      <c r="BZ46" s="197">
        <f>'Margins summary'!$W$14</f>
        <v>330</v>
      </c>
      <c r="CA46" s="197">
        <f t="shared" si="108"/>
        <v>986.25</v>
      </c>
      <c r="CB46" s="197"/>
      <c r="CC46" s="918">
        <f>'Energy NPV'!U99</f>
        <v>418.53934399999991</v>
      </c>
      <c r="CD46" s="197"/>
      <c r="CE46" s="197">
        <f t="shared" si="109"/>
        <v>837.07868799999983</v>
      </c>
      <c r="CF46" s="197">
        <f t="shared" si="77"/>
        <v>-180.82868799999983</v>
      </c>
      <c r="CG46" s="197">
        <f t="shared" si="78"/>
        <v>149.17131200000017</v>
      </c>
      <c r="CH46" s="196">
        <f t="shared" si="110"/>
        <v>518.04981001852036</v>
      </c>
      <c r="CI46" s="197">
        <f t="shared" si="111"/>
        <v>260.50504732359883</v>
      </c>
      <c r="CJ46" s="197">
        <f t="shared" si="112"/>
        <v>660.79764615459385</v>
      </c>
      <c r="CK46" s="197">
        <f t="shared" si="113"/>
        <v>-142.74783613607346</v>
      </c>
      <c r="CL46" s="199">
        <f t="shared" si="114"/>
        <v>117.75721118752536</v>
      </c>
      <c r="CM46" s="196">
        <f t="shared" si="141"/>
        <v>4276.2143461312862</v>
      </c>
      <c r="CN46" s="197">
        <f t="shared" si="115"/>
        <v>2646.4984225467078</v>
      </c>
      <c r="CO46" s="197">
        <f t="shared" si="116"/>
        <v>12111.643499599941</v>
      </c>
      <c r="CP46" s="197">
        <f t="shared" si="117"/>
        <v>-7835.4291534686554</v>
      </c>
      <c r="CQ46" s="199">
        <f t="shared" si="118"/>
        <v>-5188.9307309219485</v>
      </c>
      <c r="CR46" s="197"/>
      <c r="CT46" s="204">
        <f t="shared" si="142"/>
        <v>9</v>
      </c>
      <c r="CU46" s="197">
        <f>'Energy NPV'!$D99</f>
        <v>15</v>
      </c>
      <c r="CV46" s="197">
        <f>'Energy margins'!$Z$12</f>
        <v>43.75</v>
      </c>
      <c r="CW46" s="197">
        <f t="shared" si="143"/>
        <v>656.25</v>
      </c>
      <c r="CX46" s="197">
        <f>'Margins summary'!$W$14</f>
        <v>330</v>
      </c>
      <c r="CY46" s="197">
        <f t="shared" si="119"/>
        <v>986.25</v>
      </c>
      <c r="CZ46" s="197"/>
      <c r="DA46" s="918">
        <f>'Energy NPV'!U99</f>
        <v>418.53934399999991</v>
      </c>
      <c r="DB46" s="197"/>
      <c r="DC46" s="197">
        <f t="shared" si="120"/>
        <v>0</v>
      </c>
      <c r="DD46" s="197">
        <f t="shared" si="79"/>
        <v>656.25</v>
      </c>
      <c r="DE46" s="197">
        <f t="shared" si="80"/>
        <v>986.25</v>
      </c>
      <c r="DF46" s="196">
        <f t="shared" si="121"/>
        <v>518.04981001852036</v>
      </c>
      <c r="DG46" s="197">
        <f t="shared" si="122"/>
        <v>260.50504732359883</v>
      </c>
      <c r="DH46" s="197">
        <f t="shared" si="123"/>
        <v>0</v>
      </c>
      <c r="DI46" s="197">
        <f t="shared" si="124"/>
        <v>518.04981001852036</v>
      </c>
      <c r="DJ46" s="199">
        <f t="shared" si="125"/>
        <v>778.55485734211913</v>
      </c>
      <c r="DK46" s="196">
        <f t="shared" si="144"/>
        <v>4276.2143461312862</v>
      </c>
      <c r="DL46" s="197">
        <f t="shared" si="126"/>
        <v>2646.4984225467078</v>
      </c>
      <c r="DM46" s="197">
        <f t="shared" si="127"/>
        <v>0</v>
      </c>
      <c r="DN46" s="197">
        <f t="shared" si="128"/>
        <v>4276.2143461312862</v>
      </c>
      <c r="DO46" s="199">
        <f t="shared" si="129"/>
        <v>6922.7127686779941</v>
      </c>
    </row>
    <row r="47" spans="2:119" x14ac:dyDescent="0.3">
      <c r="B47" s="204">
        <f t="shared" si="130"/>
        <v>10</v>
      </c>
      <c r="C47" s="197">
        <f>'Energy NPV'!$D100</f>
        <v>15</v>
      </c>
      <c r="D47" s="197">
        <f>'Energy margins'!$Z$12</f>
        <v>43.75</v>
      </c>
      <c r="E47" s="197">
        <f t="shared" si="131"/>
        <v>656.25</v>
      </c>
      <c r="F47" s="197">
        <f>'Margins summary'!$W$14</f>
        <v>330</v>
      </c>
      <c r="G47" s="197">
        <f t="shared" si="81"/>
        <v>986.25</v>
      </c>
      <c r="H47" s="197"/>
      <c r="I47" s="918">
        <f>'Energy NPV'!U100</f>
        <v>418.53934399999991</v>
      </c>
      <c r="J47" s="197"/>
      <c r="K47" s="197">
        <f t="shared" si="82"/>
        <v>418.53934399999991</v>
      </c>
      <c r="L47" s="197">
        <f t="shared" si="71"/>
        <v>237.71065600000009</v>
      </c>
      <c r="M47" s="197">
        <f t="shared" si="72"/>
        <v>567.71065600000009</v>
      </c>
      <c r="N47" s="196">
        <f t="shared" si="83"/>
        <v>502.9609806005052</v>
      </c>
      <c r="O47" s="197">
        <f t="shared" si="84"/>
        <v>252.91752167339689</v>
      </c>
      <c r="P47" s="197">
        <f t="shared" si="85"/>
        <v>320.77555638572511</v>
      </c>
      <c r="Q47" s="197">
        <f t="shared" si="86"/>
        <v>182.18542421478006</v>
      </c>
      <c r="R47" s="199">
        <f t="shared" si="87"/>
        <v>435.10294588817692</v>
      </c>
      <c r="S47" s="196">
        <f t="shared" si="132"/>
        <v>4779.1753267317918</v>
      </c>
      <c r="T47" s="197">
        <f t="shared" si="88"/>
        <v>2899.4159442201048</v>
      </c>
      <c r="U47" s="197">
        <f t="shared" si="88"/>
        <v>6376.5973061856957</v>
      </c>
      <c r="V47" s="197">
        <f t="shared" si="88"/>
        <v>-1597.421979453904</v>
      </c>
      <c r="W47" s="199">
        <f t="shared" si="88"/>
        <v>1301.9939647662004</v>
      </c>
      <c r="X47" s="197"/>
      <c r="Z47" s="204">
        <f t="shared" si="133"/>
        <v>10</v>
      </c>
      <c r="AA47" s="197">
        <f>'Energy NPV'!$D100</f>
        <v>15</v>
      </c>
      <c r="AB47" s="197">
        <f>'Energy margins'!$Z$12</f>
        <v>43.75</v>
      </c>
      <c r="AC47" s="197">
        <f t="shared" si="134"/>
        <v>656.25</v>
      </c>
      <c r="AD47" s="197">
        <f>'Margins summary'!$W$14</f>
        <v>330</v>
      </c>
      <c r="AE47" s="197">
        <f t="shared" si="89"/>
        <v>986.25</v>
      </c>
      <c r="AF47" s="197"/>
      <c r="AG47" s="918">
        <f>'Energy NPV'!U100</f>
        <v>418.53934399999991</v>
      </c>
      <c r="AH47" s="197"/>
      <c r="AI47" s="197">
        <f t="shared" si="90"/>
        <v>627.80901599999993</v>
      </c>
      <c r="AJ47" s="197">
        <f t="shared" si="73"/>
        <v>28.440984000000071</v>
      </c>
      <c r="AK47" s="197">
        <f t="shared" si="74"/>
        <v>358.44098400000007</v>
      </c>
      <c r="AL47" s="196">
        <f t="shared" si="91"/>
        <v>502.9609806005052</v>
      </c>
      <c r="AM47" s="197">
        <f t="shared" si="92"/>
        <v>252.91752167339689</v>
      </c>
      <c r="AN47" s="197">
        <f t="shared" si="93"/>
        <v>481.16333457858775</v>
      </c>
      <c r="AO47" s="197">
        <f t="shared" si="94"/>
        <v>21.79764602191743</v>
      </c>
      <c r="AP47" s="199">
        <f t="shared" si="95"/>
        <v>274.71516769531434</v>
      </c>
      <c r="AQ47" s="196">
        <f t="shared" si="135"/>
        <v>4779.1753267317918</v>
      </c>
      <c r="AR47" s="197">
        <f t="shared" si="96"/>
        <v>2899.4159442201048</v>
      </c>
      <c r="AS47" s="197">
        <f t="shared" si="96"/>
        <v>9564.895959278545</v>
      </c>
      <c r="AT47" s="197">
        <f t="shared" si="96"/>
        <v>-4785.720632546755</v>
      </c>
      <c r="AU47" s="199">
        <f t="shared" si="96"/>
        <v>-1886.3046883266479</v>
      </c>
      <c r="AV47" s="197"/>
      <c r="AX47" s="204">
        <f t="shared" si="136"/>
        <v>10</v>
      </c>
      <c r="AY47" s="197">
        <f>'Energy NPV'!$D100</f>
        <v>15</v>
      </c>
      <c r="AZ47" s="197">
        <f>'Energy margins'!$Z$12</f>
        <v>43.75</v>
      </c>
      <c r="BA47" s="197">
        <f t="shared" si="137"/>
        <v>656.25</v>
      </c>
      <c r="BB47" s="197">
        <f>'Margins summary'!$W$14</f>
        <v>330</v>
      </c>
      <c r="BC47" s="197">
        <f t="shared" si="97"/>
        <v>986.25</v>
      </c>
      <c r="BD47" s="197"/>
      <c r="BE47" s="918">
        <f>'Energy NPV'!U100</f>
        <v>418.53934399999991</v>
      </c>
      <c r="BF47" s="197"/>
      <c r="BG47" s="197">
        <f t="shared" si="98"/>
        <v>209.26967199999996</v>
      </c>
      <c r="BH47" s="197">
        <f t="shared" si="75"/>
        <v>446.98032800000004</v>
      </c>
      <c r="BI47" s="197">
        <f t="shared" si="76"/>
        <v>776.9803280000001</v>
      </c>
      <c r="BJ47" s="196">
        <f t="shared" si="99"/>
        <v>502.9609806005052</v>
      </c>
      <c r="BK47" s="197">
        <f t="shared" si="100"/>
        <v>252.91752167339689</v>
      </c>
      <c r="BL47" s="197">
        <f t="shared" si="101"/>
        <v>160.38777819286256</v>
      </c>
      <c r="BM47" s="197">
        <f t="shared" si="102"/>
        <v>342.57320240764261</v>
      </c>
      <c r="BN47" s="199">
        <f t="shared" si="103"/>
        <v>595.4907240810395</v>
      </c>
      <c r="BO47" s="196">
        <f t="shared" si="138"/>
        <v>4779.1753267317918</v>
      </c>
      <c r="BP47" s="197">
        <f t="shared" si="104"/>
        <v>2899.4159442201048</v>
      </c>
      <c r="BQ47" s="197">
        <f t="shared" si="105"/>
        <v>3188.2986530928479</v>
      </c>
      <c r="BR47" s="197">
        <f t="shared" si="106"/>
        <v>1590.8766736389437</v>
      </c>
      <c r="BS47" s="199">
        <f t="shared" si="107"/>
        <v>4490.2926178590487</v>
      </c>
      <c r="BT47" s="197"/>
      <c r="BV47" s="204">
        <f t="shared" si="139"/>
        <v>10</v>
      </c>
      <c r="BW47" s="197">
        <f>'Energy NPV'!$D100</f>
        <v>15</v>
      </c>
      <c r="BX47" s="197">
        <f>'Energy margins'!$Z$12</f>
        <v>43.75</v>
      </c>
      <c r="BY47" s="197">
        <f t="shared" si="140"/>
        <v>656.25</v>
      </c>
      <c r="BZ47" s="197">
        <f>'Margins summary'!$W$14</f>
        <v>330</v>
      </c>
      <c r="CA47" s="197">
        <f t="shared" si="108"/>
        <v>986.25</v>
      </c>
      <c r="CB47" s="197"/>
      <c r="CC47" s="918">
        <f>'Energy NPV'!U100</f>
        <v>418.53934399999991</v>
      </c>
      <c r="CD47" s="197"/>
      <c r="CE47" s="197">
        <f t="shared" si="109"/>
        <v>837.07868799999983</v>
      </c>
      <c r="CF47" s="197">
        <f t="shared" si="77"/>
        <v>-180.82868799999983</v>
      </c>
      <c r="CG47" s="197">
        <f t="shared" si="78"/>
        <v>149.17131200000017</v>
      </c>
      <c r="CH47" s="196">
        <f t="shared" si="110"/>
        <v>502.9609806005052</v>
      </c>
      <c r="CI47" s="197">
        <f t="shared" si="111"/>
        <v>252.91752167339689</v>
      </c>
      <c r="CJ47" s="197">
        <f t="shared" si="112"/>
        <v>641.55111277145022</v>
      </c>
      <c r="CK47" s="197">
        <f t="shared" si="113"/>
        <v>-138.59013217094508</v>
      </c>
      <c r="CL47" s="199">
        <f t="shared" si="114"/>
        <v>114.32738950245179</v>
      </c>
      <c r="CM47" s="196">
        <f t="shared" si="141"/>
        <v>4779.1753267317918</v>
      </c>
      <c r="CN47" s="197">
        <f t="shared" si="115"/>
        <v>2899.4159442201048</v>
      </c>
      <c r="CO47" s="197">
        <f t="shared" si="116"/>
        <v>12753.194612371391</v>
      </c>
      <c r="CP47" s="197">
        <f t="shared" si="117"/>
        <v>-7974.0192856396006</v>
      </c>
      <c r="CQ47" s="199">
        <f t="shared" si="118"/>
        <v>-5074.6033414194962</v>
      </c>
      <c r="CR47" s="197"/>
      <c r="CT47" s="204">
        <f t="shared" si="142"/>
        <v>10</v>
      </c>
      <c r="CU47" s="197">
        <f>'Energy NPV'!$D100</f>
        <v>15</v>
      </c>
      <c r="CV47" s="197">
        <f>'Energy margins'!$Z$12</f>
        <v>43.75</v>
      </c>
      <c r="CW47" s="197">
        <f t="shared" si="143"/>
        <v>656.25</v>
      </c>
      <c r="CX47" s="197">
        <f>'Margins summary'!$W$14</f>
        <v>330</v>
      </c>
      <c r="CY47" s="197">
        <f t="shared" si="119"/>
        <v>986.25</v>
      </c>
      <c r="CZ47" s="197"/>
      <c r="DA47" s="918">
        <f>'Energy NPV'!U100</f>
        <v>418.53934399999991</v>
      </c>
      <c r="DB47" s="197"/>
      <c r="DC47" s="197">
        <f t="shared" si="120"/>
        <v>0</v>
      </c>
      <c r="DD47" s="197">
        <f t="shared" si="79"/>
        <v>656.25</v>
      </c>
      <c r="DE47" s="197">
        <f t="shared" si="80"/>
        <v>986.25</v>
      </c>
      <c r="DF47" s="196">
        <f t="shared" si="121"/>
        <v>502.9609806005052</v>
      </c>
      <c r="DG47" s="197">
        <f t="shared" si="122"/>
        <v>252.91752167339689</v>
      </c>
      <c r="DH47" s="197">
        <f t="shared" si="123"/>
        <v>0</v>
      </c>
      <c r="DI47" s="197">
        <f t="shared" si="124"/>
        <v>502.9609806005052</v>
      </c>
      <c r="DJ47" s="199">
        <f t="shared" si="125"/>
        <v>755.87850227390209</v>
      </c>
      <c r="DK47" s="196">
        <f t="shared" si="144"/>
        <v>4779.1753267317918</v>
      </c>
      <c r="DL47" s="197">
        <f t="shared" si="126"/>
        <v>2899.4159442201048</v>
      </c>
      <c r="DM47" s="197">
        <f t="shared" si="127"/>
        <v>0</v>
      </c>
      <c r="DN47" s="197">
        <f t="shared" si="128"/>
        <v>4779.1753267317918</v>
      </c>
      <c r="DO47" s="199">
        <f t="shared" si="129"/>
        <v>7678.5912709518961</v>
      </c>
    </row>
    <row r="48" spans="2:119" x14ac:dyDescent="0.3">
      <c r="B48" s="204">
        <f t="shared" si="130"/>
        <v>11</v>
      </c>
      <c r="C48" s="197">
        <f>'Energy NPV'!$D101</f>
        <v>15</v>
      </c>
      <c r="D48" s="197">
        <f>'Energy margins'!$Z$12</f>
        <v>43.75</v>
      </c>
      <c r="E48" s="197">
        <f t="shared" si="131"/>
        <v>656.25</v>
      </c>
      <c r="F48" s="197">
        <f>'Margins summary'!$W$14</f>
        <v>330</v>
      </c>
      <c r="G48" s="197">
        <f t="shared" si="81"/>
        <v>986.25</v>
      </c>
      <c r="H48" s="197"/>
      <c r="I48" s="918">
        <f>'Energy NPV'!U101</f>
        <v>418.53934399999991</v>
      </c>
      <c r="J48" s="197"/>
      <c r="K48" s="197">
        <f t="shared" si="82"/>
        <v>418.53934399999991</v>
      </c>
      <c r="L48" s="197">
        <f t="shared" si="71"/>
        <v>237.71065600000009</v>
      </c>
      <c r="M48" s="197">
        <f t="shared" si="72"/>
        <v>567.71065600000009</v>
      </c>
      <c r="N48" s="196">
        <f t="shared" si="83"/>
        <v>488.31163165097593</v>
      </c>
      <c r="O48" s="197">
        <f t="shared" si="84"/>
        <v>245.55099191591933</v>
      </c>
      <c r="P48" s="197">
        <f t="shared" si="85"/>
        <v>311.43257901526715</v>
      </c>
      <c r="Q48" s="197">
        <f t="shared" si="86"/>
        <v>176.87905263570877</v>
      </c>
      <c r="R48" s="199">
        <f t="shared" si="87"/>
        <v>422.4300445516281</v>
      </c>
      <c r="S48" s="196">
        <f t="shared" si="132"/>
        <v>5267.4869583827676</v>
      </c>
      <c r="T48" s="197">
        <f t="shared" si="88"/>
        <v>3144.9669361360243</v>
      </c>
      <c r="U48" s="197">
        <f t="shared" si="88"/>
        <v>6688.0298852009628</v>
      </c>
      <c r="V48" s="197">
        <f t="shared" si="88"/>
        <v>-1420.5429268181952</v>
      </c>
      <c r="W48" s="199">
        <f t="shared" si="88"/>
        <v>1724.4240093178284</v>
      </c>
      <c r="X48" s="197"/>
      <c r="Z48" s="204">
        <f t="shared" si="133"/>
        <v>11</v>
      </c>
      <c r="AA48" s="197">
        <f>'Energy NPV'!$D101</f>
        <v>15</v>
      </c>
      <c r="AB48" s="197">
        <f>'Energy margins'!$Z$12</f>
        <v>43.75</v>
      </c>
      <c r="AC48" s="197">
        <f t="shared" si="134"/>
        <v>656.25</v>
      </c>
      <c r="AD48" s="197">
        <f>'Margins summary'!$W$14</f>
        <v>330</v>
      </c>
      <c r="AE48" s="197">
        <f t="shared" si="89"/>
        <v>986.25</v>
      </c>
      <c r="AF48" s="197"/>
      <c r="AG48" s="918">
        <f>'Energy NPV'!U101</f>
        <v>418.53934399999991</v>
      </c>
      <c r="AH48" s="197"/>
      <c r="AI48" s="197">
        <f t="shared" si="90"/>
        <v>627.80901599999993</v>
      </c>
      <c r="AJ48" s="197">
        <f t="shared" si="73"/>
        <v>28.440984000000071</v>
      </c>
      <c r="AK48" s="197">
        <f t="shared" si="74"/>
        <v>358.44098400000007</v>
      </c>
      <c r="AL48" s="196">
        <f t="shared" si="91"/>
        <v>488.31163165097593</v>
      </c>
      <c r="AM48" s="197">
        <f t="shared" si="92"/>
        <v>245.55099191591933</v>
      </c>
      <c r="AN48" s="197">
        <f t="shared" si="93"/>
        <v>467.14886852290073</v>
      </c>
      <c r="AO48" s="197">
        <f t="shared" si="94"/>
        <v>21.162763128075177</v>
      </c>
      <c r="AP48" s="199">
        <f t="shared" si="95"/>
        <v>266.71375504399447</v>
      </c>
      <c r="AQ48" s="196">
        <f t="shared" si="135"/>
        <v>5267.4869583827676</v>
      </c>
      <c r="AR48" s="197">
        <f t="shared" si="96"/>
        <v>3144.9669361360243</v>
      </c>
      <c r="AS48" s="197">
        <f t="shared" si="96"/>
        <v>10032.044827801446</v>
      </c>
      <c r="AT48" s="197">
        <f t="shared" si="96"/>
        <v>-4764.5578694186797</v>
      </c>
      <c r="AU48" s="199">
        <f t="shared" si="96"/>
        <v>-1619.5909332826534</v>
      </c>
      <c r="AV48" s="197"/>
      <c r="AX48" s="204">
        <f t="shared" si="136"/>
        <v>11</v>
      </c>
      <c r="AY48" s="197">
        <f>'Energy NPV'!$D101</f>
        <v>15</v>
      </c>
      <c r="AZ48" s="197">
        <f>'Energy margins'!$Z$12</f>
        <v>43.75</v>
      </c>
      <c r="BA48" s="197">
        <f t="shared" si="137"/>
        <v>656.25</v>
      </c>
      <c r="BB48" s="197">
        <f>'Margins summary'!$W$14</f>
        <v>330</v>
      </c>
      <c r="BC48" s="197">
        <f t="shared" si="97"/>
        <v>986.25</v>
      </c>
      <c r="BD48" s="197"/>
      <c r="BE48" s="918">
        <f>'Energy NPV'!U101</f>
        <v>418.53934399999991</v>
      </c>
      <c r="BF48" s="197"/>
      <c r="BG48" s="197">
        <f t="shared" si="98"/>
        <v>209.26967199999996</v>
      </c>
      <c r="BH48" s="197">
        <f t="shared" si="75"/>
        <v>446.98032800000004</v>
      </c>
      <c r="BI48" s="197">
        <f t="shared" si="76"/>
        <v>776.9803280000001</v>
      </c>
      <c r="BJ48" s="196">
        <f t="shared" si="99"/>
        <v>488.31163165097593</v>
      </c>
      <c r="BK48" s="197">
        <f t="shared" si="100"/>
        <v>245.55099191591933</v>
      </c>
      <c r="BL48" s="197">
        <f t="shared" si="101"/>
        <v>155.71628950763358</v>
      </c>
      <c r="BM48" s="197">
        <f t="shared" si="102"/>
        <v>332.59534214334235</v>
      </c>
      <c r="BN48" s="199">
        <f t="shared" si="103"/>
        <v>578.14633405926168</v>
      </c>
      <c r="BO48" s="196">
        <f t="shared" si="138"/>
        <v>5267.4869583827676</v>
      </c>
      <c r="BP48" s="197">
        <f t="shared" si="104"/>
        <v>3144.9669361360243</v>
      </c>
      <c r="BQ48" s="197">
        <f t="shared" si="105"/>
        <v>3344.0149426004814</v>
      </c>
      <c r="BR48" s="197">
        <f t="shared" si="106"/>
        <v>1923.472015782286</v>
      </c>
      <c r="BS48" s="199">
        <f t="shared" si="107"/>
        <v>5068.4389519183105</v>
      </c>
      <c r="BT48" s="197"/>
      <c r="BV48" s="204">
        <f t="shared" si="139"/>
        <v>11</v>
      </c>
      <c r="BW48" s="197">
        <f>'Energy NPV'!$D101</f>
        <v>15</v>
      </c>
      <c r="BX48" s="197">
        <f>'Energy margins'!$Z$12</f>
        <v>43.75</v>
      </c>
      <c r="BY48" s="197">
        <f t="shared" si="140"/>
        <v>656.25</v>
      </c>
      <c r="BZ48" s="197">
        <f>'Margins summary'!$W$14</f>
        <v>330</v>
      </c>
      <c r="CA48" s="197">
        <f t="shared" si="108"/>
        <v>986.25</v>
      </c>
      <c r="CB48" s="197"/>
      <c r="CC48" s="918">
        <f>'Energy NPV'!U101</f>
        <v>418.53934399999991</v>
      </c>
      <c r="CD48" s="197"/>
      <c r="CE48" s="197">
        <f t="shared" si="109"/>
        <v>837.07868799999983</v>
      </c>
      <c r="CF48" s="197">
        <f t="shared" si="77"/>
        <v>-180.82868799999983</v>
      </c>
      <c r="CG48" s="197">
        <f t="shared" si="78"/>
        <v>149.17131200000017</v>
      </c>
      <c r="CH48" s="196">
        <f t="shared" si="110"/>
        <v>488.31163165097593</v>
      </c>
      <c r="CI48" s="197">
        <f t="shared" si="111"/>
        <v>245.55099191591933</v>
      </c>
      <c r="CJ48" s="197">
        <f t="shared" si="112"/>
        <v>622.8651580305343</v>
      </c>
      <c r="CK48" s="197">
        <f t="shared" si="113"/>
        <v>-134.55352637955835</v>
      </c>
      <c r="CL48" s="199">
        <f t="shared" si="114"/>
        <v>110.99746553636096</v>
      </c>
      <c r="CM48" s="196">
        <f t="shared" si="141"/>
        <v>5267.4869583827676</v>
      </c>
      <c r="CN48" s="197">
        <f t="shared" si="115"/>
        <v>3144.9669361360243</v>
      </c>
      <c r="CO48" s="197">
        <f t="shared" si="116"/>
        <v>13376.059770401926</v>
      </c>
      <c r="CP48" s="197">
        <f t="shared" si="117"/>
        <v>-8108.5728120191588</v>
      </c>
      <c r="CQ48" s="199">
        <f t="shared" si="118"/>
        <v>-4963.605875883135</v>
      </c>
      <c r="CR48" s="197"/>
      <c r="CT48" s="204">
        <f t="shared" si="142"/>
        <v>11</v>
      </c>
      <c r="CU48" s="197">
        <f>'Energy NPV'!$D101</f>
        <v>15</v>
      </c>
      <c r="CV48" s="197">
        <f>'Energy margins'!$Z$12</f>
        <v>43.75</v>
      </c>
      <c r="CW48" s="197">
        <f t="shared" si="143"/>
        <v>656.25</v>
      </c>
      <c r="CX48" s="197">
        <f>'Margins summary'!$W$14</f>
        <v>330</v>
      </c>
      <c r="CY48" s="197">
        <f t="shared" si="119"/>
        <v>986.25</v>
      </c>
      <c r="CZ48" s="197"/>
      <c r="DA48" s="918">
        <f>'Energy NPV'!U101</f>
        <v>418.53934399999991</v>
      </c>
      <c r="DB48" s="197"/>
      <c r="DC48" s="197">
        <f t="shared" si="120"/>
        <v>0</v>
      </c>
      <c r="DD48" s="197">
        <f t="shared" si="79"/>
        <v>656.25</v>
      </c>
      <c r="DE48" s="197">
        <f t="shared" si="80"/>
        <v>986.25</v>
      </c>
      <c r="DF48" s="196">
        <f t="shared" si="121"/>
        <v>488.31163165097593</v>
      </c>
      <c r="DG48" s="197">
        <f t="shared" si="122"/>
        <v>245.55099191591933</v>
      </c>
      <c r="DH48" s="197">
        <f t="shared" si="123"/>
        <v>0</v>
      </c>
      <c r="DI48" s="197">
        <f t="shared" si="124"/>
        <v>488.31163165097593</v>
      </c>
      <c r="DJ48" s="199">
        <f t="shared" si="125"/>
        <v>733.86262356689519</v>
      </c>
      <c r="DK48" s="196">
        <f t="shared" si="144"/>
        <v>5267.4869583827676</v>
      </c>
      <c r="DL48" s="197">
        <f t="shared" si="126"/>
        <v>3144.9669361360243</v>
      </c>
      <c r="DM48" s="197">
        <f t="shared" si="127"/>
        <v>0</v>
      </c>
      <c r="DN48" s="197">
        <f t="shared" si="128"/>
        <v>5267.4869583827676</v>
      </c>
      <c r="DO48" s="199">
        <f t="shared" si="129"/>
        <v>8412.4538945187905</v>
      </c>
    </row>
    <row r="49" spans="2:129" x14ac:dyDescent="0.3">
      <c r="B49" s="204">
        <f t="shared" si="130"/>
        <v>12</v>
      </c>
      <c r="C49" s="197">
        <f>'Energy NPV'!$D102</f>
        <v>15</v>
      </c>
      <c r="D49" s="197">
        <f>'Energy margins'!$Z$12</f>
        <v>43.75</v>
      </c>
      <c r="E49" s="197">
        <f t="shared" si="131"/>
        <v>656.25</v>
      </c>
      <c r="F49" s="197">
        <f>'Margins summary'!$W$14</f>
        <v>330</v>
      </c>
      <c r="G49" s="197">
        <f t="shared" si="81"/>
        <v>986.25</v>
      </c>
      <c r="H49" s="197"/>
      <c r="I49" s="918">
        <f>'Energy NPV'!U102</f>
        <v>418.53934399999991</v>
      </c>
      <c r="J49" s="197"/>
      <c r="K49" s="197">
        <f t="shared" si="82"/>
        <v>418.53934399999991</v>
      </c>
      <c r="L49" s="197">
        <f t="shared" si="71"/>
        <v>237.71065600000009</v>
      </c>
      <c r="M49" s="197">
        <f t="shared" si="72"/>
        <v>567.71065600000009</v>
      </c>
      <c r="N49" s="196">
        <f t="shared" si="83"/>
        <v>474.08896276793774</v>
      </c>
      <c r="O49" s="197">
        <f t="shared" si="84"/>
        <v>238.39902127759154</v>
      </c>
      <c r="P49" s="197">
        <f t="shared" si="85"/>
        <v>302.36172719928845</v>
      </c>
      <c r="Q49" s="197">
        <f t="shared" si="86"/>
        <v>171.72723556864929</v>
      </c>
      <c r="R49" s="199">
        <f t="shared" si="87"/>
        <v>410.12625684624084</v>
      </c>
      <c r="S49" s="196">
        <f t="shared" si="132"/>
        <v>5741.5759211507057</v>
      </c>
      <c r="T49" s="197">
        <f t="shared" si="88"/>
        <v>3383.3659574136159</v>
      </c>
      <c r="U49" s="197">
        <f t="shared" si="88"/>
        <v>6990.3916124002517</v>
      </c>
      <c r="V49" s="197">
        <f t="shared" si="88"/>
        <v>-1248.8156912495458</v>
      </c>
      <c r="W49" s="199">
        <f t="shared" si="88"/>
        <v>2134.5502661640694</v>
      </c>
      <c r="X49" s="197"/>
      <c r="Z49" s="204">
        <f t="shared" si="133"/>
        <v>12</v>
      </c>
      <c r="AA49" s="197">
        <f>'Energy NPV'!$D102</f>
        <v>15</v>
      </c>
      <c r="AB49" s="197">
        <f>'Energy margins'!$Z$12</f>
        <v>43.75</v>
      </c>
      <c r="AC49" s="197">
        <f t="shared" si="134"/>
        <v>656.25</v>
      </c>
      <c r="AD49" s="197">
        <f>'Margins summary'!$W$14</f>
        <v>330</v>
      </c>
      <c r="AE49" s="197">
        <f t="shared" si="89"/>
        <v>986.25</v>
      </c>
      <c r="AF49" s="197"/>
      <c r="AG49" s="918">
        <f>'Energy NPV'!U102</f>
        <v>418.53934399999991</v>
      </c>
      <c r="AH49" s="197"/>
      <c r="AI49" s="197">
        <f t="shared" si="90"/>
        <v>627.80901599999993</v>
      </c>
      <c r="AJ49" s="197">
        <f t="shared" si="73"/>
        <v>28.440984000000071</v>
      </c>
      <c r="AK49" s="197">
        <f t="shared" si="74"/>
        <v>358.44098400000007</v>
      </c>
      <c r="AL49" s="196">
        <f t="shared" si="91"/>
        <v>474.08896276793774</v>
      </c>
      <c r="AM49" s="197">
        <f t="shared" si="92"/>
        <v>238.39902127759154</v>
      </c>
      <c r="AN49" s="197">
        <f t="shared" si="93"/>
        <v>453.54259079893274</v>
      </c>
      <c r="AO49" s="197">
        <f t="shared" si="94"/>
        <v>20.546371969005026</v>
      </c>
      <c r="AP49" s="199">
        <f t="shared" si="95"/>
        <v>258.94539324659661</v>
      </c>
      <c r="AQ49" s="196">
        <f t="shared" si="135"/>
        <v>5741.5759211507057</v>
      </c>
      <c r="AR49" s="197">
        <f t="shared" si="96"/>
        <v>3383.3659574136159</v>
      </c>
      <c r="AS49" s="197">
        <f t="shared" si="96"/>
        <v>10485.587418600378</v>
      </c>
      <c r="AT49" s="197">
        <f t="shared" si="96"/>
        <v>-4744.0114974496746</v>
      </c>
      <c r="AU49" s="199">
        <f t="shared" si="96"/>
        <v>-1360.6455400360569</v>
      </c>
      <c r="AV49" s="197"/>
      <c r="AX49" s="204">
        <f t="shared" si="136"/>
        <v>12</v>
      </c>
      <c r="AY49" s="197">
        <f>'Energy NPV'!$D102</f>
        <v>15</v>
      </c>
      <c r="AZ49" s="197">
        <f>'Energy margins'!$Z$12</f>
        <v>43.75</v>
      </c>
      <c r="BA49" s="197">
        <f t="shared" si="137"/>
        <v>656.25</v>
      </c>
      <c r="BB49" s="197">
        <f>'Margins summary'!$W$14</f>
        <v>330</v>
      </c>
      <c r="BC49" s="197">
        <f t="shared" si="97"/>
        <v>986.25</v>
      </c>
      <c r="BD49" s="197"/>
      <c r="BE49" s="918">
        <f>'Energy NPV'!U102</f>
        <v>418.53934399999991</v>
      </c>
      <c r="BF49" s="197"/>
      <c r="BG49" s="197">
        <f t="shared" si="98"/>
        <v>209.26967199999996</v>
      </c>
      <c r="BH49" s="197">
        <f t="shared" si="75"/>
        <v>446.98032800000004</v>
      </c>
      <c r="BI49" s="197">
        <f t="shared" si="76"/>
        <v>776.9803280000001</v>
      </c>
      <c r="BJ49" s="196">
        <f t="shared" si="99"/>
        <v>474.08896276793774</v>
      </c>
      <c r="BK49" s="197">
        <f t="shared" si="100"/>
        <v>238.39902127759154</v>
      </c>
      <c r="BL49" s="197">
        <f t="shared" si="101"/>
        <v>151.18086359964423</v>
      </c>
      <c r="BM49" s="197">
        <f t="shared" si="102"/>
        <v>322.90809916829352</v>
      </c>
      <c r="BN49" s="199">
        <f t="shared" si="103"/>
        <v>561.30712044588518</v>
      </c>
      <c r="BO49" s="196">
        <f t="shared" si="138"/>
        <v>5741.5759211507057</v>
      </c>
      <c r="BP49" s="197">
        <f t="shared" si="104"/>
        <v>3383.3659574136159</v>
      </c>
      <c r="BQ49" s="197">
        <f t="shared" si="105"/>
        <v>3495.1958062001258</v>
      </c>
      <c r="BR49" s="197">
        <f t="shared" si="106"/>
        <v>2246.3801149505794</v>
      </c>
      <c r="BS49" s="199">
        <f t="shared" si="107"/>
        <v>5629.7460723641962</v>
      </c>
      <c r="BT49" s="197"/>
      <c r="BV49" s="204">
        <f t="shared" si="139"/>
        <v>12</v>
      </c>
      <c r="BW49" s="197">
        <f>'Energy NPV'!$D102</f>
        <v>15</v>
      </c>
      <c r="BX49" s="197">
        <f>'Energy margins'!$Z$12</f>
        <v>43.75</v>
      </c>
      <c r="BY49" s="197">
        <f t="shared" si="140"/>
        <v>656.25</v>
      </c>
      <c r="BZ49" s="197">
        <f>'Margins summary'!$W$14</f>
        <v>330</v>
      </c>
      <c r="CA49" s="197">
        <f t="shared" si="108"/>
        <v>986.25</v>
      </c>
      <c r="CB49" s="197"/>
      <c r="CC49" s="918">
        <f>'Energy NPV'!U102</f>
        <v>418.53934399999991</v>
      </c>
      <c r="CD49" s="197"/>
      <c r="CE49" s="197">
        <f t="shared" si="109"/>
        <v>837.07868799999983</v>
      </c>
      <c r="CF49" s="197">
        <f t="shared" si="77"/>
        <v>-180.82868799999983</v>
      </c>
      <c r="CG49" s="197">
        <f t="shared" si="78"/>
        <v>149.17131200000017</v>
      </c>
      <c r="CH49" s="196">
        <f t="shared" si="110"/>
        <v>474.08896276793774</v>
      </c>
      <c r="CI49" s="197">
        <f t="shared" si="111"/>
        <v>238.39902127759154</v>
      </c>
      <c r="CJ49" s="197">
        <f t="shared" si="112"/>
        <v>604.72345439857691</v>
      </c>
      <c r="CK49" s="197">
        <f t="shared" si="113"/>
        <v>-130.63449163063916</v>
      </c>
      <c r="CL49" s="199">
        <f t="shared" si="114"/>
        <v>107.7645296469524</v>
      </c>
      <c r="CM49" s="196">
        <f t="shared" si="141"/>
        <v>5741.5759211507057</v>
      </c>
      <c r="CN49" s="197">
        <f t="shared" si="115"/>
        <v>3383.3659574136159</v>
      </c>
      <c r="CO49" s="197">
        <f t="shared" si="116"/>
        <v>13980.783224800503</v>
      </c>
      <c r="CP49" s="197">
        <f t="shared" si="117"/>
        <v>-8239.2073036497986</v>
      </c>
      <c r="CQ49" s="199">
        <f t="shared" si="118"/>
        <v>-4855.8413462361823</v>
      </c>
      <c r="CR49" s="197"/>
      <c r="CT49" s="204">
        <f t="shared" si="142"/>
        <v>12</v>
      </c>
      <c r="CU49" s="197">
        <f>'Energy NPV'!$D102</f>
        <v>15</v>
      </c>
      <c r="CV49" s="197">
        <f>'Energy margins'!$Z$12</f>
        <v>43.75</v>
      </c>
      <c r="CW49" s="197">
        <f t="shared" si="143"/>
        <v>656.25</v>
      </c>
      <c r="CX49" s="197">
        <f>'Margins summary'!$W$14</f>
        <v>330</v>
      </c>
      <c r="CY49" s="197">
        <f t="shared" si="119"/>
        <v>986.25</v>
      </c>
      <c r="CZ49" s="197"/>
      <c r="DA49" s="918">
        <f>'Energy NPV'!U102</f>
        <v>418.53934399999991</v>
      </c>
      <c r="DB49" s="197"/>
      <c r="DC49" s="197">
        <f t="shared" si="120"/>
        <v>0</v>
      </c>
      <c r="DD49" s="197">
        <f t="shared" si="79"/>
        <v>656.25</v>
      </c>
      <c r="DE49" s="197">
        <f t="shared" si="80"/>
        <v>986.25</v>
      </c>
      <c r="DF49" s="196">
        <f t="shared" si="121"/>
        <v>474.08896276793774</v>
      </c>
      <c r="DG49" s="197">
        <f t="shared" si="122"/>
        <v>238.39902127759154</v>
      </c>
      <c r="DH49" s="197">
        <f t="shared" si="123"/>
        <v>0</v>
      </c>
      <c r="DI49" s="197">
        <f t="shared" si="124"/>
        <v>474.08896276793774</v>
      </c>
      <c r="DJ49" s="199">
        <f t="shared" si="125"/>
        <v>712.48798404552929</v>
      </c>
      <c r="DK49" s="196">
        <f t="shared" si="144"/>
        <v>5741.5759211507057</v>
      </c>
      <c r="DL49" s="197">
        <f t="shared" si="126"/>
        <v>3383.3659574136159</v>
      </c>
      <c r="DM49" s="197">
        <f t="shared" si="127"/>
        <v>0</v>
      </c>
      <c r="DN49" s="197">
        <f t="shared" si="128"/>
        <v>5741.5759211507057</v>
      </c>
      <c r="DO49" s="199">
        <f t="shared" si="129"/>
        <v>9124.9418785643193</v>
      </c>
    </row>
    <row r="50" spans="2:129" x14ac:dyDescent="0.3">
      <c r="B50" s="204">
        <f t="shared" si="130"/>
        <v>13</v>
      </c>
      <c r="C50" s="197">
        <f>'Energy NPV'!$D103</f>
        <v>15</v>
      </c>
      <c r="D50" s="197">
        <f>'Energy margins'!$Z$12</f>
        <v>43.75</v>
      </c>
      <c r="E50" s="197">
        <f t="shared" si="131"/>
        <v>656.25</v>
      </c>
      <c r="F50" s="197">
        <f>'Margins summary'!$W$14</f>
        <v>330</v>
      </c>
      <c r="G50" s="197">
        <f t="shared" si="81"/>
        <v>986.25</v>
      </c>
      <c r="H50" s="197"/>
      <c r="I50" s="918">
        <f>'Energy NPV'!U103</f>
        <v>418.53934399999991</v>
      </c>
      <c r="J50" s="197"/>
      <c r="K50" s="197">
        <f t="shared" si="82"/>
        <v>418.53934399999991</v>
      </c>
      <c r="L50" s="197">
        <f t="shared" si="71"/>
        <v>237.71065600000009</v>
      </c>
      <c r="M50" s="197">
        <f t="shared" si="72"/>
        <v>567.71065600000009</v>
      </c>
      <c r="N50" s="196">
        <f t="shared" si="83"/>
        <v>460.28054637663865</v>
      </c>
      <c r="O50" s="197">
        <f t="shared" si="84"/>
        <v>231.45536046368116</v>
      </c>
      <c r="P50" s="197">
        <f t="shared" si="85"/>
        <v>293.55507495076552</v>
      </c>
      <c r="Q50" s="197">
        <f t="shared" si="86"/>
        <v>166.72547142587314</v>
      </c>
      <c r="R50" s="199">
        <f t="shared" si="87"/>
        <v>398.18083188955427</v>
      </c>
      <c r="S50" s="196">
        <f t="shared" si="132"/>
        <v>6201.8564675273446</v>
      </c>
      <c r="T50" s="197">
        <f t="shared" si="88"/>
        <v>3614.8213178772971</v>
      </c>
      <c r="U50" s="197">
        <f t="shared" si="88"/>
        <v>7283.9466873510173</v>
      </c>
      <c r="V50" s="197">
        <f t="shared" si="88"/>
        <v>-1082.0902198236727</v>
      </c>
      <c r="W50" s="199">
        <f t="shared" si="88"/>
        <v>2532.7310980536236</v>
      </c>
      <c r="X50" s="197"/>
      <c r="Z50" s="204">
        <f t="shared" si="133"/>
        <v>13</v>
      </c>
      <c r="AA50" s="197">
        <f>'Energy NPV'!$D103</f>
        <v>15</v>
      </c>
      <c r="AB50" s="197">
        <f>'Energy margins'!$Z$12</f>
        <v>43.75</v>
      </c>
      <c r="AC50" s="197">
        <f t="shared" si="134"/>
        <v>656.25</v>
      </c>
      <c r="AD50" s="197">
        <f>'Margins summary'!$W$14</f>
        <v>330</v>
      </c>
      <c r="AE50" s="197">
        <f t="shared" si="89"/>
        <v>986.25</v>
      </c>
      <c r="AF50" s="197"/>
      <c r="AG50" s="918">
        <f>'Energy NPV'!U103</f>
        <v>418.53934399999991</v>
      </c>
      <c r="AH50" s="197"/>
      <c r="AI50" s="197">
        <f t="shared" si="90"/>
        <v>627.80901599999993</v>
      </c>
      <c r="AJ50" s="197">
        <f t="shared" si="73"/>
        <v>28.440984000000071</v>
      </c>
      <c r="AK50" s="197">
        <f t="shared" si="74"/>
        <v>358.44098400000007</v>
      </c>
      <c r="AL50" s="196">
        <f t="shared" si="91"/>
        <v>460.28054637663865</v>
      </c>
      <c r="AM50" s="197">
        <f t="shared" si="92"/>
        <v>231.45536046368116</v>
      </c>
      <c r="AN50" s="197">
        <f t="shared" si="93"/>
        <v>440.33261242614833</v>
      </c>
      <c r="AO50" s="197">
        <f t="shared" si="94"/>
        <v>19.947933950490317</v>
      </c>
      <c r="AP50" s="199">
        <f t="shared" si="95"/>
        <v>251.40329441417148</v>
      </c>
      <c r="AQ50" s="196">
        <f t="shared" si="135"/>
        <v>6201.8564675273446</v>
      </c>
      <c r="AR50" s="197">
        <f t="shared" si="96"/>
        <v>3614.8213178772971</v>
      </c>
      <c r="AS50" s="197">
        <f t="shared" si="96"/>
        <v>10925.920031026526</v>
      </c>
      <c r="AT50" s="197">
        <f t="shared" si="96"/>
        <v>-4724.0635634991841</v>
      </c>
      <c r="AU50" s="199">
        <f t="shared" si="96"/>
        <v>-1109.2422456218853</v>
      </c>
      <c r="AV50" s="197"/>
      <c r="AX50" s="204">
        <f t="shared" si="136"/>
        <v>13</v>
      </c>
      <c r="AY50" s="197">
        <f>'Energy NPV'!$D103</f>
        <v>15</v>
      </c>
      <c r="AZ50" s="197">
        <f>'Energy margins'!$Z$12</f>
        <v>43.75</v>
      </c>
      <c r="BA50" s="197">
        <f t="shared" si="137"/>
        <v>656.25</v>
      </c>
      <c r="BB50" s="197">
        <f>'Margins summary'!$W$14</f>
        <v>330</v>
      </c>
      <c r="BC50" s="197">
        <f t="shared" si="97"/>
        <v>986.25</v>
      </c>
      <c r="BD50" s="197"/>
      <c r="BE50" s="918">
        <f>'Energy NPV'!U103</f>
        <v>418.53934399999991</v>
      </c>
      <c r="BF50" s="197"/>
      <c r="BG50" s="197">
        <f t="shared" si="98"/>
        <v>209.26967199999996</v>
      </c>
      <c r="BH50" s="197">
        <f t="shared" si="75"/>
        <v>446.98032800000004</v>
      </c>
      <c r="BI50" s="197">
        <f t="shared" si="76"/>
        <v>776.9803280000001</v>
      </c>
      <c r="BJ50" s="196">
        <f t="shared" si="99"/>
        <v>460.28054637663865</v>
      </c>
      <c r="BK50" s="197">
        <f t="shared" si="100"/>
        <v>231.45536046368116</v>
      </c>
      <c r="BL50" s="197">
        <f t="shared" si="101"/>
        <v>146.77753747538276</v>
      </c>
      <c r="BM50" s="197">
        <f t="shared" si="102"/>
        <v>313.5030089012559</v>
      </c>
      <c r="BN50" s="199">
        <f t="shared" si="103"/>
        <v>544.95836936493708</v>
      </c>
      <c r="BO50" s="196">
        <f t="shared" si="138"/>
        <v>6201.8564675273446</v>
      </c>
      <c r="BP50" s="197">
        <f t="shared" si="104"/>
        <v>3614.8213178772971</v>
      </c>
      <c r="BQ50" s="197">
        <f t="shared" si="105"/>
        <v>3641.9733436755087</v>
      </c>
      <c r="BR50" s="197">
        <f t="shared" si="106"/>
        <v>2559.8831238518351</v>
      </c>
      <c r="BS50" s="199">
        <f t="shared" si="107"/>
        <v>6174.7044417291336</v>
      </c>
      <c r="BT50" s="197"/>
      <c r="BV50" s="204">
        <f t="shared" si="139"/>
        <v>13</v>
      </c>
      <c r="BW50" s="197">
        <f>'Energy NPV'!$D103</f>
        <v>15</v>
      </c>
      <c r="BX50" s="197">
        <f>'Energy margins'!$Z$12</f>
        <v>43.75</v>
      </c>
      <c r="BY50" s="197">
        <f t="shared" si="140"/>
        <v>656.25</v>
      </c>
      <c r="BZ50" s="197">
        <f>'Margins summary'!$W$14</f>
        <v>330</v>
      </c>
      <c r="CA50" s="197">
        <f t="shared" si="108"/>
        <v>986.25</v>
      </c>
      <c r="CB50" s="197"/>
      <c r="CC50" s="918">
        <f>'Energy NPV'!U103</f>
        <v>418.53934399999991</v>
      </c>
      <c r="CD50" s="197"/>
      <c r="CE50" s="197">
        <f t="shared" si="109"/>
        <v>837.07868799999983</v>
      </c>
      <c r="CF50" s="197">
        <f t="shared" si="77"/>
        <v>-180.82868799999983</v>
      </c>
      <c r="CG50" s="197">
        <f t="shared" si="78"/>
        <v>149.17131200000017</v>
      </c>
      <c r="CH50" s="196">
        <f t="shared" si="110"/>
        <v>460.28054637663865</v>
      </c>
      <c r="CI50" s="197">
        <f t="shared" si="111"/>
        <v>231.45536046368116</v>
      </c>
      <c r="CJ50" s="197">
        <f t="shared" si="112"/>
        <v>587.11014990153103</v>
      </c>
      <c r="CK50" s="197">
        <f t="shared" si="113"/>
        <v>-126.82960352489241</v>
      </c>
      <c r="CL50" s="199">
        <f t="shared" si="114"/>
        <v>104.62575693878874</v>
      </c>
      <c r="CM50" s="196">
        <f t="shared" si="141"/>
        <v>6201.8564675273446</v>
      </c>
      <c r="CN50" s="197">
        <f t="shared" si="115"/>
        <v>3614.8213178772971</v>
      </c>
      <c r="CO50" s="197">
        <f t="shared" si="116"/>
        <v>14567.893374702035</v>
      </c>
      <c r="CP50" s="197">
        <f t="shared" si="117"/>
        <v>-8366.0369071746918</v>
      </c>
      <c r="CQ50" s="199">
        <f t="shared" si="118"/>
        <v>-4751.2155892973933</v>
      </c>
      <c r="CR50" s="197"/>
      <c r="CT50" s="204">
        <f t="shared" si="142"/>
        <v>13</v>
      </c>
      <c r="CU50" s="197">
        <f>'Energy NPV'!$D103</f>
        <v>15</v>
      </c>
      <c r="CV50" s="197">
        <f>'Energy margins'!$Z$12</f>
        <v>43.75</v>
      </c>
      <c r="CW50" s="197">
        <f t="shared" si="143"/>
        <v>656.25</v>
      </c>
      <c r="CX50" s="197">
        <f>'Margins summary'!$W$14</f>
        <v>330</v>
      </c>
      <c r="CY50" s="197">
        <f t="shared" si="119"/>
        <v>986.25</v>
      </c>
      <c r="CZ50" s="197"/>
      <c r="DA50" s="918">
        <f>'Energy NPV'!U103</f>
        <v>418.53934399999991</v>
      </c>
      <c r="DB50" s="197"/>
      <c r="DC50" s="197">
        <f t="shared" si="120"/>
        <v>0</v>
      </c>
      <c r="DD50" s="197">
        <f t="shared" si="79"/>
        <v>656.25</v>
      </c>
      <c r="DE50" s="197">
        <f t="shared" si="80"/>
        <v>986.25</v>
      </c>
      <c r="DF50" s="196">
        <f t="shared" si="121"/>
        <v>460.28054637663865</v>
      </c>
      <c r="DG50" s="197">
        <f t="shared" si="122"/>
        <v>231.45536046368116</v>
      </c>
      <c r="DH50" s="197">
        <f t="shared" si="123"/>
        <v>0</v>
      </c>
      <c r="DI50" s="197">
        <f t="shared" si="124"/>
        <v>460.28054637663865</v>
      </c>
      <c r="DJ50" s="199">
        <f t="shared" si="125"/>
        <v>691.73590684031979</v>
      </c>
      <c r="DK50" s="196">
        <f t="shared" si="144"/>
        <v>6201.8564675273446</v>
      </c>
      <c r="DL50" s="197">
        <f t="shared" si="126"/>
        <v>3614.8213178772971</v>
      </c>
      <c r="DM50" s="197">
        <f t="shared" si="127"/>
        <v>0</v>
      </c>
      <c r="DN50" s="197">
        <f t="shared" si="128"/>
        <v>6201.8564675273446</v>
      </c>
      <c r="DO50" s="199">
        <f t="shared" si="129"/>
        <v>9816.6777854046395</v>
      </c>
    </row>
    <row r="51" spans="2:129" x14ac:dyDescent="0.3">
      <c r="B51" s="204">
        <f t="shared" si="130"/>
        <v>14</v>
      </c>
      <c r="C51" s="197">
        <f>'Energy NPV'!$D104</f>
        <v>15</v>
      </c>
      <c r="D51" s="197">
        <f>'Energy margins'!$Z$12</f>
        <v>43.75</v>
      </c>
      <c r="E51" s="197">
        <f t="shared" si="131"/>
        <v>656.25</v>
      </c>
      <c r="F51" s="197">
        <f>'Margins summary'!$W$14</f>
        <v>330</v>
      </c>
      <c r="G51" s="197">
        <f t="shared" si="81"/>
        <v>986.25</v>
      </c>
      <c r="H51" s="197"/>
      <c r="I51" s="918">
        <f>'Energy NPV'!U104</f>
        <v>418.53934399999991</v>
      </c>
      <c r="J51" s="197"/>
      <c r="K51" s="197">
        <f t="shared" si="82"/>
        <v>418.53934399999991</v>
      </c>
      <c r="L51" s="197">
        <f t="shared" si="71"/>
        <v>237.71065600000009</v>
      </c>
      <c r="M51" s="197">
        <f t="shared" si="72"/>
        <v>567.71065600000009</v>
      </c>
      <c r="N51" s="196">
        <f t="shared" si="83"/>
        <v>446.87431687052299</v>
      </c>
      <c r="O51" s="197">
        <f t="shared" si="84"/>
        <v>224.71394219774871</v>
      </c>
      <c r="P51" s="197">
        <f t="shared" si="85"/>
        <v>285.00492713666557</v>
      </c>
      <c r="Q51" s="197">
        <f t="shared" si="86"/>
        <v>161.86938973385742</v>
      </c>
      <c r="R51" s="199">
        <f t="shared" si="87"/>
        <v>386.5833319316061</v>
      </c>
      <c r="S51" s="196">
        <f t="shared" si="132"/>
        <v>6648.7307843978679</v>
      </c>
      <c r="T51" s="197">
        <f t="shared" si="88"/>
        <v>3839.5352600750457</v>
      </c>
      <c r="U51" s="197">
        <f t="shared" si="88"/>
        <v>7568.9516144876825</v>
      </c>
      <c r="V51" s="197">
        <f t="shared" si="88"/>
        <v>-920.22083008981531</v>
      </c>
      <c r="W51" s="199">
        <f t="shared" si="88"/>
        <v>2919.3144299852297</v>
      </c>
      <c r="X51" s="197"/>
      <c r="Z51" s="204">
        <f t="shared" si="133"/>
        <v>14</v>
      </c>
      <c r="AA51" s="197">
        <f>'Energy NPV'!$D104</f>
        <v>15</v>
      </c>
      <c r="AB51" s="197">
        <f>'Energy margins'!$Z$12</f>
        <v>43.75</v>
      </c>
      <c r="AC51" s="197">
        <f t="shared" si="134"/>
        <v>656.25</v>
      </c>
      <c r="AD51" s="197">
        <f>'Margins summary'!$W$14</f>
        <v>330</v>
      </c>
      <c r="AE51" s="197">
        <f t="shared" si="89"/>
        <v>986.25</v>
      </c>
      <c r="AF51" s="197"/>
      <c r="AG51" s="918">
        <f>'Energy NPV'!U104</f>
        <v>418.53934399999991</v>
      </c>
      <c r="AH51" s="197"/>
      <c r="AI51" s="197">
        <f t="shared" si="90"/>
        <v>627.80901599999993</v>
      </c>
      <c r="AJ51" s="197">
        <f t="shared" si="73"/>
        <v>28.440984000000071</v>
      </c>
      <c r="AK51" s="197">
        <f t="shared" si="74"/>
        <v>358.44098400000007</v>
      </c>
      <c r="AL51" s="196">
        <f t="shared" si="91"/>
        <v>446.87431687052299</v>
      </c>
      <c r="AM51" s="197">
        <f t="shared" si="92"/>
        <v>224.71394219774871</v>
      </c>
      <c r="AN51" s="197">
        <f t="shared" si="93"/>
        <v>427.50739070499844</v>
      </c>
      <c r="AO51" s="197">
        <f t="shared" si="94"/>
        <v>19.366926165524582</v>
      </c>
      <c r="AP51" s="199">
        <f t="shared" si="95"/>
        <v>244.08086836327328</v>
      </c>
      <c r="AQ51" s="196">
        <f t="shared" si="135"/>
        <v>6648.7307843978679</v>
      </c>
      <c r="AR51" s="197">
        <f t="shared" si="96"/>
        <v>3839.5352600750457</v>
      </c>
      <c r="AS51" s="197">
        <f t="shared" si="96"/>
        <v>11353.427421731525</v>
      </c>
      <c r="AT51" s="197">
        <f t="shared" si="96"/>
        <v>-4704.6966373336591</v>
      </c>
      <c r="AU51" s="199">
        <f t="shared" si="96"/>
        <v>-865.16137725861199</v>
      </c>
      <c r="AV51" s="197"/>
      <c r="AX51" s="204">
        <f t="shared" si="136"/>
        <v>14</v>
      </c>
      <c r="AY51" s="197">
        <f>'Energy NPV'!$D104</f>
        <v>15</v>
      </c>
      <c r="AZ51" s="197">
        <f>'Energy margins'!$Z$12</f>
        <v>43.75</v>
      </c>
      <c r="BA51" s="197">
        <f t="shared" si="137"/>
        <v>656.25</v>
      </c>
      <c r="BB51" s="197">
        <f>'Margins summary'!$W$14</f>
        <v>330</v>
      </c>
      <c r="BC51" s="197">
        <f t="shared" si="97"/>
        <v>986.25</v>
      </c>
      <c r="BD51" s="197"/>
      <c r="BE51" s="918">
        <f>'Energy NPV'!U104</f>
        <v>418.53934399999991</v>
      </c>
      <c r="BF51" s="197"/>
      <c r="BG51" s="197">
        <f t="shared" si="98"/>
        <v>209.26967199999996</v>
      </c>
      <c r="BH51" s="197">
        <f t="shared" si="75"/>
        <v>446.98032800000004</v>
      </c>
      <c r="BI51" s="197">
        <f t="shared" si="76"/>
        <v>776.9803280000001</v>
      </c>
      <c r="BJ51" s="196">
        <f t="shared" si="99"/>
        <v>446.87431687052299</v>
      </c>
      <c r="BK51" s="197">
        <f t="shared" si="100"/>
        <v>224.71394219774871</v>
      </c>
      <c r="BL51" s="197">
        <f t="shared" si="101"/>
        <v>142.50246356833279</v>
      </c>
      <c r="BM51" s="197">
        <f t="shared" si="102"/>
        <v>304.37185330219023</v>
      </c>
      <c r="BN51" s="199">
        <f t="shared" si="103"/>
        <v>529.08579549993897</v>
      </c>
      <c r="BO51" s="196">
        <f t="shared" si="138"/>
        <v>6648.7307843978679</v>
      </c>
      <c r="BP51" s="197">
        <f t="shared" si="104"/>
        <v>3839.5352600750457</v>
      </c>
      <c r="BQ51" s="197">
        <f t="shared" si="105"/>
        <v>3784.4758072438412</v>
      </c>
      <c r="BR51" s="197">
        <f t="shared" si="106"/>
        <v>2864.2549771540253</v>
      </c>
      <c r="BS51" s="199">
        <f t="shared" si="107"/>
        <v>6703.7902372290728</v>
      </c>
      <c r="BT51" s="197"/>
      <c r="BV51" s="204">
        <f t="shared" si="139"/>
        <v>14</v>
      </c>
      <c r="BW51" s="197">
        <f>'Energy NPV'!$D104</f>
        <v>15</v>
      </c>
      <c r="BX51" s="197">
        <f>'Energy margins'!$Z$12</f>
        <v>43.75</v>
      </c>
      <c r="BY51" s="197">
        <f t="shared" si="140"/>
        <v>656.25</v>
      </c>
      <c r="BZ51" s="197">
        <f>'Margins summary'!$W$14</f>
        <v>330</v>
      </c>
      <c r="CA51" s="197">
        <f t="shared" si="108"/>
        <v>986.25</v>
      </c>
      <c r="CB51" s="197"/>
      <c r="CC51" s="918">
        <f>'Energy NPV'!U104</f>
        <v>418.53934399999991</v>
      </c>
      <c r="CD51" s="197"/>
      <c r="CE51" s="197">
        <f t="shared" si="109"/>
        <v>837.07868799999983</v>
      </c>
      <c r="CF51" s="197">
        <f t="shared" si="77"/>
        <v>-180.82868799999983</v>
      </c>
      <c r="CG51" s="197">
        <f t="shared" si="78"/>
        <v>149.17131200000017</v>
      </c>
      <c r="CH51" s="196">
        <f t="shared" si="110"/>
        <v>446.87431687052299</v>
      </c>
      <c r="CI51" s="197">
        <f t="shared" si="111"/>
        <v>224.71394219774871</v>
      </c>
      <c r="CJ51" s="197">
        <f t="shared" si="112"/>
        <v>570.00985427333114</v>
      </c>
      <c r="CK51" s="197">
        <f t="shared" si="113"/>
        <v>-123.13553740280817</v>
      </c>
      <c r="CL51" s="199">
        <f t="shared" si="114"/>
        <v>101.57840479494054</v>
      </c>
      <c r="CM51" s="196">
        <f t="shared" si="141"/>
        <v>6648.7307843978679</v>
      </c>
      <c r="CN51" s="197">
        <f t="shared" si="115"/>
        <v>3839.5352600750457</v>
      </c>
      <c r="CO51" s="197">
        <f t="shared" si="116"/>
        <v>15137.903228975365</v>
      </c>
      <c r="CP51" s="197">
        <f t="shared" si="117"/>
        <v>-8489.1724445774998</v>
      </c>
      <c r="CQ51" s="199">
        <f t="shared" si="118"/>
        <v>-4649.6371845024523</v>
      </c>
      <c r="CR51" s="197"/>
      <c r="CT51" s="204">
        <f t="shared" si="142"/>
        <v>14</v>
      </c>
      <c r="CU51" s="197">
        <f>'Energy NPV'!$D104</f>
        <v>15</v>
      </c>
      <c r="CV51" s="197">
        <f>'Energy margins'!$Z$12</f>
        <v>43.75</v>
      </c>
      <c r="CW51" s="197">
        <f t="shared" si="143"/>
        <v>656.25</v>
      </c>
      <c r="CX51" s="197">
        <f>'Margins summary'!$W$14</f>
        <v>330</v>
      </c>
      <c r="CY51" s="197">
        <f t="shared" si="119"/>
        <v>986.25</v>
      </c>
      <c r="CZ51" s="197"/>
      <c r="DA51" s="918">
        <f>'Energy NPV'!U104</f>
        <v>418.53934399999991</v>
      </c>
      <c r="DB51" s="197"/>
      <c r="DC51" s="197">
        <f t="shared" si="120"/>
        <v>0</v>
      </c>
      <c r="DD51" s="197">
        <f t="shared" si="79"/>
        <v>656.25</v>
      </c>
      <c r="DE51" s="197">
        <f t="shared" si="80"/>
        <v>986.25</v>
      </c>
      <c r="DF51" s="196">
        <f t="shared" si="121"/>
        <v>446.87431687052299</v>
      </c>
      <c r="DG51" s="197">
        <f t="shared" si="122"/>
        <v>224.71394219774871</v>
      </c>
      <c r="DH51" s="197">
        <f t="shared" si="123"/>
        <v>0</v>
      </c>
      <c r="DI51" s="197">
        <f t="shared" si="124"/>
        <v>446.87431687052299</v>
      </c>
      <c r="DJ51" s="199">
        <f t="shared" si="125"/>
        <v>671.58825906827167</v>
      </c>
      <c r="DK51" s="196">
        <f t="shared" si="144"/>
        <v>6648.7307843978679</v>
      </c>
      <c r="DL51" s="197">
        <f t="shared" si="126"/>
        <v>3839.5352600750457</v>
      </c>
      <c r="DM51" s="197">
        <f t="shared" si="127"/>
        <v>0</v>
      </c>
      <c r="DN51" s="197">
        <f t="shared" si="128"/>
        <v>6648.7307843978679</v>
      </c>
      <c r="DO51" s="199">
        <f t="shared" si="129"/>
        <v>10488.266044472912</v>
      </c>
    </row>
    <row r="52" spans="2:129" x14ac:dyDescent="0.3">
      <c r="B52" s="204">
        <f t="shared" si="130"/>
        <v>15</v>
      </c>
      <c r="C52" s="197">
        <f>'Energy NPV'!$D105</f>
        <v>15</v>
      </c>
      <c r="D52" s="197">
        <f>'Energy margins'!$Z$12</f>
        <v>43.75</v>
      </c>
      <c r="E52" s="197">
        <f t="shared" si="131"/>
        <v>656.25</v>
      </c>
      <c r="F52" s="197">
        <f>'Margins summary'!$W$14</f>
        <v>330</v>
      </c>
      <c r="G52" s="197">
        <f t="shared" si="81"/>
        <v>986.25</v>
      </c>
      <c r="H52" s="197"/>
      <c r="I52" s="918">
        <f>'Energy NPV'!U105</f>
        <v>418.53934399999991</v>
      </c>
      <c r="J52" s="197"/>
      <c r="K52" s="197">
        <f t="shared" si="82"/>
        <v>418.53934399999991</v>
      </c>
      <c r="L52" s="197">
        <f t="shared" si="71"/>
        <v>237.71065600000009</v>
      </c>
      <c r="M52" s="197">
        <f t="shared" si="72"/>
        <v>567.71065600000009</v>
      </c>
      <c r="N52" s="196">
        <f t="shared" si="83"/>
        <v>433.85856006846888</v>
      </c>
      <c r="O52" s="197">
        <f t="shared" si="84"/>
        <v>218.16887592014436</v>
      </c>
      <c r="P52" s="197">
        <f t="shared" si="85"/>
        <v>276.70381275404424</v>
      </c>
      <c r="Q52" s="197">
        <f t="shared" si="86"/>
        <v>157.15474731442467</v>
      </c>
      <c r="R52" s="199">
        <f t="shared" si="87"/>
        <v>375.32362323456903</v>
      </c>
      <c r="S52" s="196">
        <f t="shared" si="132"/>
        <v>7082.589344466337</v>
      </c>
      <c r="T52" s="197">
        <f t="shared" si="88"/>
        <v>4057.70413599519</v>
      </c>
      <c r="U52" s="197">
        <f t="shared" si="88"/>
        <v>7845.655427241727</v>
      </c>
      <c r="V52" s="197">
        <f t="shared" si="88"/>
        <v>-763.06608277539067</v>
      </c>
      <c r="W52" s="199">
        <f t="shared" si="88"/>
        <v>3294.6380532197986</v>
      </c>
      <c r="X52" s="197"/>
      <c r="Z52" s="204">
        <f t="shared" si="133"/>
        <v>15</v>
      </c>
      <c r="AA52" s="197">
        <f>'Energy NPV'!$D105</f>
        <v>15</v>
      </c>
      <c r="AB52" s="197">
        <f>'Energy margins'!$Z$12</f>
        <v>43.75</v>
      </c>
      <c r="AC52" s="197">
        <f t="shared" si="134"/>
        <v>656.25</v>
      </c>
      <c r="AD52" s="197">
        <f>'Margins summary'!$W$14</f>
        <v>330</v>
      </c>
      <c r="AE52" s="197">
        <f t="shared" si="89"/>
        <v>986.25</v>
      </c>
      <c r="AF52" s="197"/>
      <c r="AG52" s="918">
        <f>'Energy NPV'!U105</f>
        <v>418.53934399999991</v>
      </c>
      <c r="AH52" s="197"/>
      <c r="AI52" s="197">
        <f t="shared" si="90"/>
        <v>627.80901599999993</v>
      </c>
      <c r="AJ52" s="197">
        <f t="shared" si="73"/>
        <v>28.440984000000071</v>
      </c>
      <c r="AK52" s="197">
        <f t="shared" si="74"/>
        <v>358.44098400000007</v>
      </c>
      <c r="AL52" s="196">
        <f t="shared" si="91"/>
        <v>433.85856006846888</v>
      </c>
      <c r="AM52" s="197">
        <f t="shared" si="92"/>
        <v>218.16887592014436</v>
      </c>
      <c r="AN52" s="197">
        <f t="shared" si="93"/>
        <v>415.05571913106638</v>
      </c>
      <c r="AO52" s="197">
        <f t="shared" si="94"/>
        <v>18.802840937402504</v>
      </c>
      <c r="AP52" s="199">
        <f t="shared" si="95"/>
        <v>236.97171685754685</v>
      </c>
      <c r="AQ52" s="196">
        <f t="shared" si="135"/>
        <v>7082.589344466337</v>
      </c>
      <c r="AR52" s="197">
        <f t="shared" si="96"/>
        <v>4057.70413599519</v>
      </c>
      <c r="AS52" s="197">
        <f t="shared" si="96"/>
        <v>11768.483140862592</v>
      </c>
      <c r="AT52" s="197">
        <f t="shared" si="96"/>
        <v>-4685.8937963962562</v>
      </c>
      <c r="AU52" s="199">
        <f t="shared" si="96"/>
        <v>-628.18966040106511</v>
      </c>
      <c r="AV52" s="197"/>
      <c r="AX52" s="204">
        <f t="shared" si="136"/>
        <v>15</v>
      </c>
      <c r="AY52" s="197">
        <f>'Energy NPV'!$D105</f>
        <v>15</v>
      </c>
      <c r="AZ52" s="197">
        <f>'Energy margins'!$Z$12</f>
        <v>43.75</v>
      </c>
      <c r="BA52" s="197">
        <f t="shared" si="137"/>
        <v>656.25</v>
      </c>
      <c r="BB52" s="197">
        <f>'Margins summary'!$W$14</f>
        <v>330</v>
      </c>
      <c r="BC52" s="197">
        <f t="shared" si="97"/>
        <v>986.25</v>
      </c>
      <c r="BD52" s="197"/>
      <c r="BE52" s="918">
        <f>'Energy NPV'!U105</f>
        <v>418.53934399999991</v>
      </c>
      <c r="BF52" s="197"/>
      <c r="BG52" s="197">
        <f t="shared" si="98"/>
        <v>209.26967199999996</v>
      </c>
      <c r="BH52" s="197">
        <f t="shared" si="75"/>
        <v>446.98032800000004</v>
      </c>
      <c r="BI52" s="197">
        <f t="shared" si="76"/>
        <v>776.9803280000001</v>
      </c>
      <c r="BJ52" s="196">
        <f t="shared" si="99"/>
        <v>433.85856006846888</v>
      </c>
      <c r="BK52" s="197">
        <f t="shared" si="100"/>
        <v>218.16887592014436</v>
      </c>
      <c r="BL52" s="197">
        <f t="shared" si="101"/>
        <v>138.35190637702212</v>
      </c>
      <c r="BM52" s="197">
        <f t="shared" si="102"/>
        <v>295.50665369144679</v>
      </c>
      <c r="BN52" s="199">
        <f t="shared" si="103"/>
        <v>513.67552961159117</v>
      </c>
      <c r="BO52" s="196">
        <f t="shared" si="138"/>
        <v>7082.589344466337</v>
      </c>
      <c r="BP52" s="197">
        <f t="shared" si="104"/>
        <v>4057.70413599519</v>
      </c>
      <c r="BQ52" s="197">
        <f t="shared" si="105"/>
        <v>3922.8277136208635</v>
      </c>
      <c r="BR52" s="197">
        <f t="shared" si="106"/>
        <v>3159.7616308454722</v>
      </c>
      <c r="BS52" s="199">
        <f t="shared" si="107"/>
        <v>7217.4657668406635</v>
      </c>
      <c r="BT52" s="197"/>
      <c r="BV52" s="204">
        <f t="shared" si="139"/>
        <v>15</v>
      </c>
      <c r="BW52" s="197">
        <f>'Energy NPV'!$D105</f>
        <v>15</v>
      </c>
      <c r="BX52" s="197">
        <f>'Energy margins'!$Z$12</f>
        <v>43.75</v>
      </c>
      <c r="BY52" s="197">
        <f t="shared" si="140"/>
        <v>656.25</v>
      </c>
      <c r="BZ52" s="197">
        <f>'Margins summary'!$W$14</f>
        <v>330</v>
      </c>
      <c r="CA52" s="197">
        <f t="shared" si="108"/>
        <v>986.25</v>
      </c>
      <c r="CB52" s="197"/>
      <c r="CC52" s="918">
        <f>'Energy NPV'!U105</f>
        <v>418.53934399999991</v>
      </c>
      <c r="CD52" s="197"/>
      <c r="CE52" s="197">
        <f t="shared" si="109"/>
        <v>837.07868799999983</v>
      </c>
      <c r="CF52" s="197">
        <f t="shared" si="77"/>
        <v>-180.82868799999983</v>
      </c>
      <c r="CG52" s="197">
        <f t="shared" si="78"/>
        <v>149.17131200000017</v>
      </c>
      <c r="CH52" s="196">
        <f t="shared" si="110"/>
        <v>433.85856006846888</v>
      </c>
      <c r="CI52" s="197">
        <f t="shared" si="111"/>
        <v>218.16887592014436</v>
      </c>
      <c r="CJ52" s="197">
        <f t="shared" si="112"/>
        <v>553.40762550808847</v>
      </c>
      <c r="CK52" s="197">
        <f t="shared" si="113"/>
        <v>-119.54906543961957</v>
      </c>
      <c r="CL52" s="199">
        <f t="shared" si="114"/>
        <v>98.619810480524777</v>
      </c>
      <c r="CM52" s="196">
        <f t="shared" si="141"/>
        <v>7082.589344466337</v>
      </c>
      <c r="CN52" s="197">
        <f t="shared" si="115"/>
        <v>4057.70413599519</v>
      </c>
      <c r="CO52" s="197">
        <f t="shared" si="116"/>
        <v>15691.310854483454</v>
      </c>
      <c r="CP52" s="197">
        <f t="shared" si="117"/>
        <v>-8608.7215100171197</v>
      </c>
      <c r="CQ52" s="199">
        <f t="shared" si="118"/>
        <v>-4551.0173740219279</v>
      </c>
      <c r="CR52" s="197"/>
      <c r="CT52" s="204">
        <f t="shared" si="142"/>
        <v>15</v>
      </c>
      <c r="CU52" s="197">
        <f>'Energy NPV'!$D105</f>
        <v>15</v>
      </c>
      <c r="CV52" s="197">
        <f>'Energy margins'!$Z$12</f>
        <v>43.75</v>
      </c>
      <c r="CW52" s="197">
        <f t="shared" si="143"/>
        <v>656.25</v>
      </c>
      <c r="CX52" s="197">
        <f>'Margins summary'!$W$14</f>
        <v>330</v>
      </c>
      <c r="CY52" s="197">
        <f t="shared" si="119"/>
        <v>986.25</v>
      </c>
      <c r="CZ52" s="197"/>
      <c r="DA52" s="918">
        <f>'Energy NPV'!U105</f>
        <v>418.53934399999991</v>
      </c>
      <c r="DB52" s="197"/>
      <c r="DC52" s="197">
        <f t="shared" si="120"/>
        <v>0</v>
      </c>
      <c r="DD52" s="197">
        <f t="shared" si="79"/>
        <v>656.25</v>
      </c>
      <c r="DE52" s="197">
        <f t="shared" si="80"/>
        <v>986.25</v>
      </c>
      <c r="DF52" s="196">
        <f t="shared" si="121"/>
        <v>433.85856006846888</v>
      </c>
      <c r="DG52" s="197">
        <f t="shared" si="122"/>
        <v>218.16887592014436</v>
      </c>
      <c r="DH52" s="197">
        <f t="shared" si="123"/>
        <v>0</v>
      </c>
      <c r="DI52" s="197">
        <f t="shared" si="124"/>
        <v>433.85856006846888</v>
      </c>
      <c r="DJ52" s="199">
        <f t="shared" si="125"/>
        <v>652.02743598861321</v>
      </c>
      <c r="DK52" s="196">
        <f t="shared" si="144"/>
        <v>7082.589344466337</v>
      </c>
      <c r="DL52" s="197">
        <f t="shared" si="126"/>
        <v>4057.70413599519</v>
      </c>
      <c r="DM52" s="197">
        <f t="shared" si="127"/>
        <v>0</v>
      </c>
      <c r="DN52" s="197">
        <f t="shared" si="128"/>
        <v>7082.589344466337</v>
      </c>
      <c r="DO52" s="199">
        <f t="shared" si="129"/>
        <v>11140.293480461525</v>
      </c>
    </row>
    <row r="53" spans="2:129" x14ac:dyDescent="0.3">
      <c r="B53" s="206">
        <f t="shared" si="130"/>
        <v>16</v>
      </c>
      <c r="C53" s="207">
        <f>'Energy NPV'!$D106</f>
        <v>15</v>
      </c>
      <c r="D53" s="207">
        <f>'Energy margins'!$Z$12</f>
        <v>43.75</v>
      </c>
      <c r="E53" s="207">
        <f t="shared" si="131"/>
        <v>656.25</v>
      </c>
      <c r="F53" s="207">
        <f>'Margins summary'!$W$14</f>
        <v>330</v>
      </c>
      <c r="G53" s="207">
        <f t="shared" si="81"/>
        <v>986.25</v>
      </c>
      <c r="H53" s="207"/>
      <c r="I53" s="919">
        <f>'Energy NPV'!U106</f>
        <v>418.53934399999991</v>
      </c>
      <c r="J53" s="207">
        <f>'Energy margins'!$AE$67</f>
        <v>192.1</v>
      </c>
      <c r="K53" s="207">
        <f t="shared" si="82"/>
        <v>610.63934399999994</v>
      </c>
      <c r="L53" s="207">
        <f t="shared" si="71"/>
        <v>45.610656000000063</v>
      </c>
      <c r="M53" s="207">
        <f t="shared" si="72"/>
        <v>375.61065600000006</v>
      </c>
      <c r="N53" s="208">
        <f>E53/(1+$B$4)^(B53-1)</f>
        <v>421.221902979096</v>
      </c>
      <c r="O53" s="207">
        <f>F53/(1+$B$4)^(B53-1)</f>
        <v>211.81444264091684</v>
      </c>
      <c r="P53" s="207">
        <f>K53/(1+$B$4)^(B53-1)</f>
        <v>391.94615849689416</v>
      </c>
      <c r="Q53" s="207">
        <f>L53/(1+$B$4)^(B53-1)</f>
        <v>29.275744482201826</v>
      </c>
      <c r="R53" s="209">
        <f>M53/(1+$B$4)^(B53-1)</f>
        <v>241.09018712311865</v>
      </c>
      <c r="S53" s="208">
        <f t="shared" si="132"/>
        <v>7503.8112474454329</v>
      </c>
      <c r="T53" s="207">
        <f t="shared" si="88"/>
        <v>4269.5185786361071</v>
      </c>
      <c r="U53" s="207">
        <f t="shared" si="88"/>
        <v>8237.601585738621</v>
      </c>
      <c r="V53" s="207">
        <f t="shared" si="88"/>
        <v>-733.79033829318882</v>
      </c>
      <c r="W53" s="209">
        <f t="shared" si="88"/>
        <v>3535.7282403429172</v>
      </c>
      <c r="X53" s="197"/>
      <c r="Z53" s="206">
        <f t="shared" si="133"/>
        <v>16</v>
      </c>
      <c r="AA53" s="207">
        <f>'Energy NPV'!$D106</f>
        <v>15</v>
      </c>
      <c r="AB53" s="207">
        <f>'Energy margins'!$Z$12</f>
        <v>43.75</v>
      </c>
      <c r="AC53" s="207">
        <f t="shared" si="134"/>
        <v>656.25</v>
      </c>
      <c r="AD53" s="207">
        <f>'Margins summary'!$W$14</f>
        <v>330</v>
      </c>
      <c r="AE53" s="207">
        <f t="shared" si="89"/>
        <v>986.25</v>
      </c>
      <c r="AF53" s="207"/>
      <c r="AG53" s="919">
        <f>'Energy NPV'!U106</f>
        <v>418.53934399999991</v>
      </c>
      <c r="AH53" s="207">
        <f>'Energy margins'!$AE$67</f>
        <v>192.1</v>
      </c>
      <c r="AI53" s="207">
        <f t="shared" si="90"/>
        <v>915.95901599999991</v>
      </c>
      <c r="AJ53" s="207">
        <f t="shared" si="73"/>
        <v>-259.70901599999991</v>
      </c>
      <c r="AK53" s="207">
        <f t="shared" si="74"/>
        <v>70.290984000000094</v>
      </c>
      <c r="AL53" s="208">
        <f>AC53/(1+$B$4)^(Z53-1)</f>
        <v>421.221902979096</v>
      </c>
      <c r="AM53" s="207">
        <f>AD53/(1+$B$4)^(Z53-1)</f>
        <v>211.81444264091684</v>
      </c>
      <c r="AN53" s="207">
        <f>AI53/(1+$B$4)^(Z53-1)</f>
        <v>587.91923774534121</v>
      </c>
      <c r="AO53" s="207">
        <f>AJ53/(1+$B$4)^(Z53-1)</f>
        <v>-166.69733476624526</v>
      </c>
      <c r="AP53" s="209">
        <f>AK53/(1+$B$4)^(Z53-1)</f>
        <v>45.117107874671582</v>
      </c>
      <c r="AQ53" s="208">
        <f t="shared" si="135"/>
        <v>7503.8112474454329</v>
      </c>
      <c r="AR53" s="207">
        <f t="shared" si="96"/>
        <v>4269.5185786361071</v>
      </c>
      <c r="AS53" s="207">
        <f t="shared" si="96"/>
        <v>12356.402378607934</v>
      </c>
      <c r="AT53" s="207">
        <f t="shared" si="96"/>
        <v>-4852.5911311625014</v>
      </c>
      <c r="AU53" s="209">
        <f t="shared" si="96"/>
        <v>-583.07255252639357</v>
      </c>
      <c r="AV53" s="197"/>
      <c r="AX53" s="206">
        <f t="shared" si="136"/>
        <v>16</v>
      </c>
      <c r="AY53" s="207">
        <f>'Energy NPV'!$D106</f>
        <v>15</v>
      </c>
      <c r="AZ53" s="207">
        <f>'Energy margins'!$Z$12</f>
        <v>43.75</v>
      </c>
      <c r="BA53" s="207">
        <f t="shared" si="137"/>
        <v>656.25</v>
      </c>
      <c r="BB53" s="207">
        <f>'Margins summary'!$W$14</f>
        <v>330</v>
      </c>
      <c r="BC53" s="207">
        <f t="shared" si="97"/>
        <v>986.25</v>
      </c>
      <c r="BD53" s="207"/>
      <c r="BE53" s="919">
        <f>'Energy NPV'!U106</f>
        <v>418.53934399999991</v>
      </c>
      <c r="BF53" s="207">
        <f>'Energy margins'!$AE$67</f>
        <v>192.1</v>
      </c>
      <c r="BG53" s="207">
        <f t="shared" si="98"/>
        <v>305.31967199999997</v>
      </c>
      <c r="BH53" s="207">
        <f t="shared" si="75"/>
        <v>350.93032800000003</v>
      </c>
      <c r="BI53" s="207">
        <f t="shared" si="76"/>
        <v>680.93032800000003</v>
      </c>
      <c r="BJ53" s="208">
        <f>BA53/(1+$B$4)^(AX53-1)</f>
        <v>421.221902979096</v>
      </c>
      <c r="BK53" s="207">
        <f>BB53/(1+$B$4)^(AX53-1)</f>
        <v>211.81444264091684</v>
      </c>
      <c r="BL53" s="207">
        <f>BG53/(1+$B$4)^(AX53-1)</f>
        <v>195.97307924844708</v>
      </c>
      <c r="BM53" s="207">
        <f>BH53/(1+$B$4)^(AX53-1)</f>
        <v>225.24882373064889</v>
      </c>
      <c r="BN53" s="209">
        <f>BI53/(1+$B$4)^(AX53-1)</f>
        <v>437.06326637156576</v>
      </c>
      <c r="BO53" s="208">
        <f t="shared" si="138"/>
        <v>7503.8112474454329</v>
      </c>
      <c r="BP53" s="207">
        <f t="shared" si="104"/>
        <v>4269.5185786361071</v>
      </c>
      <c r="BQ53" s="207">
        <f t="shared" si="105"/>
        <v>4118.8007928693105</v>
      </c>
      <c r="BR53" s="207">
        <f t="shared" si="106"/>
        <v>3385.010454576121</v>
      </c>
      <c r="BS53" s="209">
        <f t="shared" si="107"/>
        <v>7654.5290332122295</v>
      </c>
      <c r="BT53" s="197"/>
      <c r="BV53" s="206">
        <f t="shared" si="139"/>
        <v>16</v>
      </c>
      <c r="BW53" s="207">
        <f>'Energy NPV'!$D106</f>
        <v>15</v>
      </c>
      <c r="BX53" s="207">
        <f>'Energy margins'!$Z$12</f>
        <v>43.75</v>
      </c>
      <c r="BY53" s="207">
        <f t="shared" si="140"/>
        <v>656.25</v>
      </c>
      <c r="BZ53" s="207">
        <f>'Margins summary'!$W$14</f>
        <v>330</v>
      </c>
      <c r="CA53" s="207">
        <f t="shared" si="108"/>
        <v>986.25</v>
      </c>
      <c r="CB53" s="207"/>
      <c r="CC53" s="919">
        <f>'Energy NPV'!U106</f>
        <v>418.53934399999991</v>
      </c>
      <c r="CD53" s="207">
        <f>'Energy margins'!$AE$67</f>
        <v>192.1</v>
      </c>
      <c r="CE53" s="207">
        <f t="shared" si="109"/>
        <v>1221.2786879999999</v>
      </c>
      <c r="CF53" s="207">
        <f t="shared" si="77"/>
        <v>-565.02868799999987</v>
      </c>
      <c r="CG53" s="207">
        <f t="shared" si="78"/>
        <v>-235.02868799999987</v>
      </c>
      <c r="CH53" s="208">
        <f>BY53/(1+$B$4)^(BV53-1)</f>
        <v>421.221902979096</v>
      </c>
      <c r="CI53" s="207">
        <f>BZ53/(1+$B$4)^(BV53-1)</f>
        <v>211.81444264091684</v>
      </c>
      <c r="CJ53" s="207">
        <f>CE53/(1+$B$4)^(BV53-1)</f>
        <v>783.89231699378831</v>
      </c>
      <c r="CK53" s="207">
        <f>CF53/(1+$B$4)^(BV53-1)</f>
        <v>-362.67041401469231</v>
      </c>
      <c r="CL53" s="209">
        <f>CG53/(1+$B$4)^(BV53-1)</f>
        <v>-150.8559713737755</v>
      </c>
      <c r="CM53" s="208">
        <f t="shared" si="141"/>
        <v>7503.8112474454329</v>
      </c>
      <c r="CN53" s="207">
        <f t="shared" si="115"/>
        <v>4269.5185786361071</v>
      </c>
      <c r="CO53" s="207">
        <f t="shared" si="116"/>
        <v>16475.203171477242</v>
      </c>
      <c r="CP53" s="207">
        <f t="shared" si="117"/>
        <v>-8971.3919240318119</v>
      </c>
      <c r="CQ53" s="209">
        <f t="shared" si="118"/>
        <v>-4701.8733453957038</v>
      </c>
      <c r="CR53" s="197"/>
      <c r="CT53" s="206">
        <f t="shared" si="142"/>
        <v>16</v>
      </c>
      <c r="CU53" s="207">
        <f>'Energy NPV'!$D106</f>
        <v>15</v>
      </c>
      <c r="CV53" s="207">
        <f>'Energy margins'!$Z$12</f>
        <v>43.75</v>
      </c>
      <c r="CW53" s="207">
        <f t="shared" si="143"/>
        <v>656.25</v>
      </c>
      <c r="CX53" s="207">
        <f>'Margins summary'!$W$14</f>
        <v>330</v>
      </c>
      <c r="CY53" s="207">
        <f t="shared" si="119"/>
        <v>986.25</v>
      </c>
      <c r="CZ53" s="207"/>
      <c r="DA53" s="919">
        <f>'Energy NPV'!U106</f>
        <v>418.53934399999991</v>
      </c>
      <c r="DB53" s="207">
        <f>'Energy margins'!$AE$67</f>
        <v>192.1</v>
      </c>
      <c r="DC53" s="207">
        <f t="shared" si="120"/>
        <v>0</v>
      </c>
      <c r="DD53" s="207">
        <f t="shared" si="79"/>
        <v>656.25</v>
      </c>
      <c r="DE53" s="207">
        <f t="shared" si="80"/>
        <v>986.25</v>
      </c>
      <c r="DF53" s="208">
        <f>CW53/(1+$B$4)^(CT53-1)</f>
        <v>421.221902979096</v>
      </c>
      <c r="DG53" s="207">
        <f>CX53/(1+$B$4)^(CT53-1)</f>
        <v>211.81444264091684</v>
      </c>
      <c r="DH53" s="207">
        <f>DC53/(1+$B$4)^(CT53-1)</f>
        <v>0</v>
      </c>
      <c r="DI53" s="207">
        <f>DD53/(1+$B$4)^(CT53-1)</f>
        <v>421.221902979096</v>
      </c>
      <c r="DJ53" s="209">
        <f>DE53/(1+$B$4)^(CT53-1)</f>
        <v>633.03634562001287</v>
      </c>
      <c r="DK53" s="208">
        <f t="shared" si="144"/>
        <v>7503.8112474454329</v>
      </c>
      <c r="DL53" s="207">
        <f t="shared" si="126"/>
        <v>4269.5185786361071</v>
      </c>
      <c r="DM53" s="207">
        <f t="shared" si="127"/>
        <v>0</v>
      </c>
      <c r="DN53" s="207">
        <f t="shared" si="128"/>
        <v>7503.8112474454329</v>
      </c>
      <c r="DO53" s="209">
        <f t="shared" si="129"/>
        <v>11773.329826081537</v>
      </c>
    </row>
    <row r="59" spans="2:129" x14ac:dyDescent="0.3">
      <c r="B59" s="212" t="s">
        <v>285</v>
      </c>
      <c r="C59" s="763" t="s">
        <v>404</v>
      </c>
      <c r="D59" s="269" t="s">
        <v>395</v>
      </c>
      <c r="E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AB59" s="212" t="s">
        <v>285</v>
      </c>
      <c r="AC59" s="763" t="s">
        <v>405</v>
      </c>
      <c r="AD59" s="267" t="s">
        <v>302</v>
      </c>
      <c r="AE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BB59" s="212" t="s">
        <v>285</v>
      </c>
      <c r="BC59" s="763" t="s">
        <v>406</v>
      </c>
      <c r="BD59" s="267" t="s">
        <v>302</v>
      </c>
      <c r="BE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CB59" s="212" t="s">
        <v>285</v>
      </c>
      <c r="CC59" s="763" t="s">
        <v>407</v>
      </c>
      <c r="CD59" s="267" t="s">
        <v>302</v>
      </c>
      <c r="CE59" s="102"/>
      <c r="CH59" s="102"/>
      <c r="CI59" s="102"/>
      <c r="CJ59" s="102"/>
      <c r="CK59" s="102"/>
      <c r="CL59" s="102"/>
      <c r="CM59" s="102"/>
      <c r="CN59" s="102"/>
      <c r="CO59" s="102"/>
      <c r="CP59" s="102"/>
      <c r="CQ59" s="102"/>
      <c r="CR59" s="102"/>
      <c r="CS59" s="102"/>
      <c r="CT59" s="102"/>
      <c r="CU59" s="102"/>
      <c r="CV59" s="102"/>
      <c r="CW59" s="102"/>
      <c r="DB59" s="212" t="s">
        <v>285</v>
      </c>
      <c r="DC59" s="763" t="s">
        <v>433</v>
      </c>
      <c r="DD59" s="267" t="s">
        <v>302</v>
      </c>
      <c r="DE59" s="102"/>
      <c r="DH59" s="102"/>
      <c r="DI59" s="102"/>
      <c r="DJ59" s="102"/>
      <c r="DK59" s="102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</row>
    <row r="60" spans="2:129" x14ac:dyDescent="0.3">
      <c r="B60" s="203"/>
      <c r="C60" s="64"/>
      <c r="E60" s="158"/>
      <c r="F60" s="158"/>
      <c r="G60" s="158"/>
      <c r="H60" s="758"/>
      <c r="I60" s="758"/>
      <c r="J60" s="758"/>
      <c r="K60" s="148"/>
      <c r="L60" s="148"/>
      <c r="M60" s="758"/>
      <c r="N60" s="148"/>
      <c r="O60" s="148"/>
      <c r="P60" s="1029" t="s">
        <v>270</v>
      </c>
      <c r="Q60" s="1030"/>
      <c r="R60" s="1030"/>
      <c r="S60" s="1030"/>
      <c r="T60" s="1031"/>
      <c r="U60" s="1029" t="s">
        <v>271</v>
      </c>
      <c r="V60" s="1030"/>
      <c r="W60" s="1030"/>
      <c r="X60" s="1030"/>
      <c r="Y60" s="1031"/>
      <c r="Z60" s="1001"/>
      <c r="AB60" s="203"/>
      <c r="AC60" s="64"/>
      <c r="AE60" s="158"/>
      <c r="AF60" s="158"/>
      <c r="AG60" s="158"/>
      <c r="AH60" s="758"/>
      <c r="AI60" s="758"/>
      <c r="AJ60" s="758"/>
      <c r="AK60" s="148"/>
      <c r="AL60" s="148"/>
      <c r="AM60" s="758"/>
      <c r="AN60" s="148"/>
      <c r="AO60" s="148"/>
      <c r="AP60" s="1029" t="s">
        <v>270</v>
      </c>
      <c r="AQ60" s="1030"/>
      <c r="AR60" s="1030"/>
      <c r="AS60" s="1030"/>
      <c r="AT60" s="1031"/>
      <c r="AU60" s="1029" t="s">
        <v>271</v>
      </c>
      <c r="AV60" s="1030"/>
      <c r="AW60" s="1030"/>
      <c r="AX60" s="1030"/>
      <c r="AY60" s="1031"/>
      <c r="BB60" s="203"/>
      <c r="BC60" s="64"/>
      <c r="BE60" s="158"/>
      <c r="BF60" s="158"/>
      <c r="BG60" s="158"/>
      <c r="BH60" s="758"/>
      <c r="BI60" s="758"/>
      <c r="BJ60" s="758"/>
      <c r="BK60" s="148"/>
      <c r="BL60" s="148"/>
      <c r="BM60" s="758"/>
      <c r="BN60" s="148"/>
      <c r="BO60" s="148"/>
      <c r="BP60" s="1029" t="s">
        <v>270</v>
      </c>
      <c r="BQ60" s="1030"/>
      <c r="BR60" s="1030"/>
      <c r="BS60" s="1030"/>
      <c r="BT60" s="1031"/>
      <c r="BU60" s="1029" t="s">
        <v>271</v>
      </c>
      <c r="BV60" s="1030"/>
      <c r="BW60" s="1030"/>
      <c r="BX60" s="1030"/>
      <c r="BY60" s="1031"/>
      <c r="CB60" s="203"/>
      <c r="CC60" s="64"/>
      <c r="CE60" s="158"/>
      <c r="CF60" s="158"/>
      <c r="CG60" s="158"/>
      <c r="CH60" s="758"/>
      <c r="CI60" s="758"/>
      <c r="CJ60" s="758"/>
      <c r="CK60" s="148"/>
      <c r="CL60" s="148"/>
      <c r="CM60" s="758"/>
      <c r="CN60" s="148"/>
      <c r="CO60" s="148"/>
      <c r="CP60" s="1029" t="s">
        <v>270</v>
      </c>
      <c r="CQ60" s="1030"/>
      <c r="CR60" s="1030"/>
      <c r="CS60" s="1030"/>
      <c r="CT60" s="1031"/>
      <c r="CU60" s="1029" t="s">
        <v>271</v>
      </c>
      <c r="CV60" s="1030"/>
      <c r="CW60" s="1030"/>
      <c r="CX60" s="1030"/>
      <c r="CY60" s="1031"/>
      <c r="DB60" s="203"/>
      <c r="DC60" s="64"/>
      <c r="DE60" s="158"/>
      <c r="DF60" s="158"/>
      <c r="DG60" s="158"/>
      <c r="DH60" s="758"/>
      <c r="DI60" s="758"/>
      <c r="DJ60" s="758"/>
      <c r="DK60" s="148"/>
      <c r="DL60" s="148"/>
      <c r="DM60" s="758"/>
      <c r="DN60" s="148"/>
      <c r="DO60" s="148"/>
      <c r="DP60" s="1029" t="s">
        <v>270</v>
      </c>
      <c r="DQ60" s="1030"/>
      <c r="DR60" s="1030"/>
      <c r="DS60" s="1030"/>
      <c r="DT60" s="1031"/>
      <c r="DU60" s="1029" t="s">
        <v>271</v>
      </c>
      <c r="DV60" s="1030"/>
      <c r="DW60" s="1030"/>
      <c r="DX60" s="1030"/>
      <c r="DY60" s="1031"/>
    </row>
    <row r="61" spans="2:129" ht="51" x14ac:dyDescent="0.3">
      <c r="B61" s="204" t="s">
        <v>272</v>
      </c>
      <c r="C61" s="204" t="s">
        <v>273</v>
      </c>
      <c r="D61" s="205" t="s">
        <v>289</v>
      </c>
      <c r="E61" s="205" t="s">
        <v>290</v>
      </c>
      <c r="F61" s="205" t="s">
        <v>669</v>
      </c>
      <c r="G61" s="205" t="s">
        <v>670</v>
      </c>
      <c r="H61" s="171" t="s">
        <v>676</v>
      </c>
      <c r="I61" s="171" t="s">
        <v>672</v>
      </c>
      <c r="J61" s="171" t="s">
        <v>677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276</v>
      </c>
      <c r="N61" s="171" t="s">
        <v>678</v>
      </c>
      <c r="O61" s="171" t="s">
        <v>679</v>
      </c>
      <c r="P61" s="195" t="s">
        <v>277</v>
      </c>
      <c r="Q61" s="171" t="s">
        <v>680</v>
      </c>
      <c r="R61" s="171" t="s">
        <v>278</v>
      </c>
      <c r="S61" s="171" t="s">
        <v>681</v>
      </c>
      <c r="T61" s="198" t="s">
        <v>279</v>
      </c>
      <c r="U61" s="195" t="s">
        <v>280</v>
      </c>
      <c r="V61" s="171" t="s">
        <v>682</v>
      </c>
      <c r="W61" s="171" t="s">
        <v>281</v>
      </c>
      <c r="X61" s="171" t="s">
        <v>683</v>
      </c>
      <c r="Y61" s="198" t="s">
        <v>282</v>
      </c>
      <c r="Z61" s="171"/>
      <c r="AB61" s="204" t="s">
        <v>272</v>
      </c>
      <c r="AC61" s="204" t="s">
        <v>273</v>
      </c>
      <c r="AD61" s="205" t="s">
        <v>289</v>
      </c>
      <c r="AE61" s="205" t="s">
        <v>290</v>
      </c>
      <c r="AF61" s="205" t="s">
        <v>669</v>
      </c>
      <c r="AG61" s="205" t="s">
        <v>670</v>
      </c>
      <c r="AH61" s="171" t="s">
        <v>676</v>
      </c>
      <c r="AI61" s="171" t="s">
        <v>672</v>
      </c>
      <c r="AJ61" s="171" t="s">
        <v>677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276</v>
      </c>
      <c r="AN61" s="171" t="s">
        <v>678</v>
      </c>
      <c r="AO61" s="171" t="s">
        <v>679</v>
      </c>
      <c r="AP61" s="195" t="s">
        <v>277</v>
      </c>
      <c r="AQ61" s="171" t="s">
        <v>680</v>
      </c>
      <c r="AR61" s="171" t="s">
        <v>278</v>
      </c>
      <c r="AS61" s="171" t="s">
        <v>681</v>
      </c>
      <c r="AT61" s="198" t="s">
        <v>279</v>
      </c>
      <c r="AU61" s="195" t="s">
        <v>280</v>
      </c>
      <c r="AV61" s="171" t="s">
        <v>682</v>
      </c>
      <c r="AW61" s="171" t="s">
        <v>281</v>
      </c>
      <c r="AX61" s="171" t="s">
        <v>683</v>
      </c>
      <c r="AY61" s="198" t="s">
        <v>282</v>
      </c>
      <c r="BB61" s="204" t="s">
        <v>272</v>
      </c>
      <c r="BC61" s="204" t="s">
        <v>273</v>
      </c>
      <c r="BD61" s="205" t="s">
        <v>289</v>
      </c>
      <c r="BE61" s="205" t="s">
        <v>290</v>
      </c>
      <c r="BF61" s="205" t="s">
        <v>669</v>
      </c>
      <c r="BG61" s="205" t="s">
        <v>670</v>
      </c>
      <c r="BH61" s="171" t="s">
        <v>676</v>
      </c>
      <c r="BI61" s="171" t="s">
        <v>672</v>
      </c>
      <c r="BJ61" s="171" t="s">
        <v>677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276</v>
      </c>
      <c r="BN61" s="171" t="s">
        <v>678</v>
      </c>
      <c r="BO61" s="171" t="s">
        <v>679</v>
      </c>
      <c r="BP61" s="195" t="s">
        <v>277</v>
      </c>
      <c r="BQ61" s="171" t="s">
        <v>680</v>
      </c>
      <c r="BR61" s="171" t="s">
        <v>278</v>
      </c>
      <c r="BS61" s="171" t="s">
        <v>681</v>
      </c>
      <c r="BT61" s="198" t="s">
        <v>279</v>
      </c>
      <c r="BU61" s="195" t="s">
        <v>280</v>
      </c>
      <c r="BV61" s="171" t="s">
        <v>682</v>
      </c>
      <c r="BW61" s="171" t="s">
        <v>281</v>
      </c>
      <c r="BX61" s="171" t="s">
        <v>683</v>
      </c>
      <c r="BY61" s="198" t="s">
        <v>282</v>
      </c>
      <c r="CB61" s="204" t="s">
        <v>272</v>
      </c>
      <c r="CC61" s="204" t="s">
        <v>273</v>
      </c>
      <c r="CD61" s="205" t="s">
        <v>289</v>
      </c>
      <c r="CE61" s="205" t="s">
        <v>290</v>
      </c>
      <c r="CF61" s="205" t="s">
        <v>669</v>
      </c>
      <c r="CG61" s="205" t="s">
        <v>670</v>
      </c>
      <c r="CH61" s="171" t="s">
        <v>676</v>
      </c>
      <c r="CI61" s="171" t="s">
        <v>672</v>
      </c>
      <c r="CJ61" s="171" t="s">
        <v>677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276</v>
      </c>
      <c r="CN61" s="171" t="s">
        <v>678</v>
      </c>
      <c r="CO61" s="171" t="s">
        <v>679</v>
      </c>
      <c r="CP61" s="195" t="s">
        <v>277</v>
      </c>
      <c r="CQ61" s="171" t="s">
        <v>680</v>
      </c>
      <c r="CR61" s="171" t="s">
        <v>278</v>
      </c>
      <c r="CS61" s="171" t="s">
        <v>681</v>
      </c>
      <c r="CT61" s="198" t="s">
        <v>279</v>
      </c>
      <c r="CU61" s="195" t="s">
        <v>280</v>
      </c>
      <c r="CV61" s="171" t="s">
        <v>682</v>
      </c>
      <c r="CW61" s="171" t="s">
        <v>281</v>
      </c>
      <c r="CX61" s="171" t="s">
        <v>683</v>
      </c>
      <c r="CY61" s="198" t="s">
        <v>282</v>
      </c>
      <c r="DB61" s="204" t="s">
        <v>272</v>
      </c>
      <c r="DC61" s="204" t="s">
        <v>273</v>
      </c>
      <c r="DD61" s="205" t="s">
        <v>289</v>
      </c>
      <c r="DE61" s="205" t="s">
        <v>290</v>
      </c>
      <c r="DF61" s="205" t="s">
        <v>669</v>
      </c>
      <c r="DG61" s="205" t="s">
        <v>670</v>
      </c>
      <c r="DH61" s="171" t="s">
        <v>676</v>
      </c>
      <c r="DI61" s="171" t="s">
        <v>672</v>
      </c>
      <c r="DJ61" s="171" t="s">
        <v>677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276</v>
      </c>
      <c r="DN61" s="171" t="s">
        <v>678</v>
      </c>
      <c r="DO61" s="171" t="s">
        <v>679</v>
      </c>
      <c r="DP61" s="195" t="s">
        <v>277</v>
      </c>
      <c r="DQ61" s="171" t="s">
        <v>680</v>
      </c>
      <c r="DR61" s="171" t="s">
        <v>278</v>
      </c>
      <c r="DS61" s="171" t="s">
        <v>681</v>
      </c>
      <c r="DT61" s="198" t="s">
        <v>279</v>
      </c>
      <c r="DU61" s="195" t="s">
        <v>280</v>
      </c>
      <c r="DV61" s="171" t="s">
        <v>682</v>
      </c>
      <c r="DW61" s="171" t="s">
        <v>281</v>
      </c>
      <c r="DX61" s="171" t="s">
        <v>683</v>
      </c>
      <c r="DY61" s="198" t="s">
        <v>282</v>
      </c>
    </row>
    <row r="62" spans="2:129" x14ac:dyDescent="0.3">
      <c r="B62" s="173"/>
      <c r="C62" s="55"/>
      <c r="D62" s="226" t="s">
        <v>332</v>
      </c>
      <c r="E62" s="226" t="s">
        <v>569</v>
      </c>
      <c r="F62" s="226" t="s">
        <v>332</v>
      </c>
      <c r="G62" s="226" t="s">
        <v>569</v>
      </c>
      <c r="H62" s="201" t="s">
        <v>567</v>
      </c>
      <c r="I62" s="201" t="s">
        <v>567</v>
      </c>
      <c r="J62" s="201" t="s">
        <v>567</v>
      </c>
      <c r="K62" s="201" t="s">
        <v>567</v>
      </c>
      <c r="L62" s="201" t="s">
        <v>567</v>
      </c>
      <c r="M62" s="201" t="s">
        <v>567</v>
      </c>
      <c r="N62" s="201" t="s">
        <v>567</v>
      </c>
      <c r="O62" s="202" t="s">
        <v>567</v>
      </c>
      <c r="P62" s="201" t="s">
        <v>567</v>
      </c>
      <c r="Q62" s="201" t="s">
        <v>567</v>
      </c>
      <c r="R62" s="201" t="s">
        <v>567</v>
      </c>
      <c r="S62" s="201" t="s">
        <v>567</v>
      </c>
      <c r="T62" s="202" t="s">
        <v>567</v>
      </c>
      <c r="U62" s="201" t="s">
        <v>567</v>
      </c>
      <c r="V62" s="201" t="s">
        <v>567</v>
      </c>
      <c r="W62" s="201" t="s">
        <v>567</v>
      </c>
      <c r="X62" s="201" t="s">
        <v>567</v>
      </c>
      <c r="Y62" s="202" t="s">
        <v>567</v>
      </c>
      <c r="Z62" s="1002"/>
      <c r="AB62" s="173"/>
      <c r="AC62" s="55"/>
      <c r="AD62" s="226" t="s">
        <v>332</v>
      </c>
      <c r="AE62" s="226" t="s">
        <v>569</v>
      </c>
      <c r="AF62" s="226" t="s">
        <v>332</v>
      </c>
      <c r="AG62" s="226" t="s">
        <v>569</v>
      </c>
      <c r="AH62" s="201" t="s">
        <v>567</v>
      </c>
      <c r="AI62" s="201" t="s">
        <v>567</v>
      </c>
      <c r="AJ62" s="201" t="s">
        <v>567</v>
      </c>
      <c r="AK62" s="201" t="s">
        <v>567</v>
      </c>
      <c r="AL62" s="201" t="s">
        <v>567</v>
      </c>
      <c r="AM62" s="201" t="s">
        <v>567</v>
      </c>
      <c r="AN62" s="201" t="s">
        <v>567</v>
      </c>
      <c r="AO62" s="202" t="s">
        <v>567</v>
      </c>
      <c r="AP62" s="201" t="s">
        <v>567</v>
      </c>
      <c r="AQ62" s="201" t="s">
        <v>567</v>
      </c>
      <c r="AR62" s="201" t="s">
        <v>567</v>
      </c>
      <c r="AS62" s="201" t="s">
        <v>567</v>
      </c>
      <c r="AT62" s="202" t="s">
        <v>567</v>
      </c>
      <c r="AU62" s="201" t="s">
        <v>567</v>
      </c>
      <c r="AV62" s="201" t="s">
        <v>567</v>
      </c>
      <c r="AW62" s="201" t="s">
        <v>567</v>
      </c>
      <c r="AX62" s="201" t="s">
        <v>567</v>
      </c>
      <c r="AY62" s="202" t="s">
        <v>567</v>
      </c>
      <c r="BB62" s="173"/>
      <c r="BC62" s="55"/>
      <c r="BD62" s="226" t="s">
        <v>332</v>
      </c>
      <c r="BE62" s="226" t="s">
        <v>569</v>
      </c>
      <c r="BF62" s="226" t="s">
        <v>332</v>
      </c>
      <c r="BG62" s="226" t="s">
        <v>569</v>
      </c>
      <c r="BH62" s="201" t="s">
        <v>567</v>
      </c>
      <c r="BI62" s="201" t="s">
        <v>567</v>
      </c>
      <c r="BJ62" s="201" t="s">
        <v>567</v>
      </c>
      <c r="BK62" s="201" t="s">
        <v>567</v>
      </c>
      <c r="BL62" s="201" t="s">
        <v>567</v>
      </c>
      <c r="BM62" s="201" t="s">
        <v>567</v>
      </c>
      <c r="BN62" s="201" t="s">
        <v>567</v>
      </c>
      <c r="BO62" s="202" t="s">
        <v>567</v>
      </c>
      <c r="BP62" s="201" t="s">
        <v>567</v>
      </c>
      <c r="BQ62" s="201" t="s">
        <v>567</v>
      </c>
      <c r="BR62" s="201" t="s">
        <v>567</v>
      </c>
      <c r="BS62" s="201" t="s">
        <v>567</v>
      </c>
      <c r="BT62" s="202" t="s">
        <v>567</v>
      </c>
      <c r="BU62" s="201" t="s">
        <v>567</v>
      </c>
      <c r="BV62" s="201" t="s">
        <v>567</v>
      </c>
      <c r="BW62" s="201" t="s">
        <v>567</v>
      </c>
      <c r="BX62" s="201" t="s">
        <v>567</v>
      </c>
      <c r="BY62" s="202" t="s">
        <v>567</v>
      </c>
      <c r="CB62" s="173"/>
      <c r="CC62" s="55"/>
      <c r="CD62" s="226" t="s">
        <v>332</v>
      </c>
      <c r="CE62" s="226" t="s">
        <v>569</v>
      </c>
      <c r="CF62" s="226" t="s">
        <v>332</v>
      </c>
      <c r="CG62" s="226" t="s">
        <v>569</v>
      </c>
      <c r="CH62" s="201" t="s">
        <v>567</v>
      </c>
      <c r="CI62" s="201" t="s">
        <v>567</v>
      </c>
      <c r="CJ62" s="201" t="s">
        <v>567</v>
      </c>
      <c r="CK62" s="201" t="s">
        <v>567</v>
      </c>
      <c r="CL62" s="201" t="s">
        <v>567</v>
      </c>
      <c r="CM62" s="201" t="s">
        <v>567</v>
      </c>
      <c r="CN62" s="201" t="s">
        <v>567</v>
      </c>
      <c r="CO62" s="202" t="s">
        <v>567</v>
      </c>
      <c r="CP62" s="201" t="s">
        <v>567</v>
      </c>
      <c r="CQ62" s="201" t="s">
        <v>567</v>
      </c>
      <c r="CR62" s="201" t="s">
        <v>567</v>
      </c>
      <c r="CS62" s="201" t="s">
        <v>567</v>
      </c>
      <c r="CT62" s="202" t="s">
        <v>567</v>
      </c>
      <c r="CU62" s="201" t="s">
        <v>567</v>
      </c>
      <c r="CV62" s="201" t="s">
        <v>567</v>
      </c>
      <c r="CW62" s="201" t="s">
        <v>567</v>
      </c>
      <c r="CX62" s="201" t="s">
        <v>567</v>
      </c>
      <c r="CY62" s="202" t="s">
        <v>567</v>
      </c>
      <c r="DB62" s="173"/>
      <c r="DC62" s="55"/>
      <c r="DD62" s="226" t="s">
        <v>332</v>
      </c>
      <c r="DE62" s="226" t="s">
        <v>569</v>
      </c>
      <c r="DF62" s="226" t="s">
        <v>332</v>
      </c>
      <c r="DG62" s="226" t="s">
        <v>569</v>
      </c>
      <c r="DH62" s="201" t="s">
        <v>567</v>
      </c>
      <c r="DI62" s="201" t="s">
        <v>567</v>
      </c>
      <c r="DJ62" s="201" t="s">
        <v>567</v>
      </c>
      <c r="DK62" s="201" t="s">
        <v>567</v>
      </c>
      <c r="DL62" s="201" t="s">
        <v>567</v>
      </c>
      <c r="DM62" s="201" t="s">
        <v>567</v>
      </c>
      <c r="DN62" s="201" t="s">
        <v>567</v>
      </c>
      <c r="DO62" s="202" t="s">
        <v>567</v>
      </c>
      <c r="DP62" s="201" t="s">
        <v>567</v>
      </c>
      <c r="DQ62" s="201" t="s">
        <v>567</v>
      </c>
      <c r="DR62" s="201" t="s">
        <v>567</v>
      </c>
      <c r="DS62" s="201" t="s">
        <v>567</v>
      </c>
      <c r="DT62" s="202" t="s">
        <v>567</v>
      </c>
      <c r="DU62" s="201" t="s">
        <v>567</v>
      </c>
      <c r="DV62" s="201" t="s">
        <v>567</v>
      </c>
      <c r="DW62" s="201" t="s">
        <v>567</v>
      </c>
      <c r="DX62" s="201" t="s">
        <v>567</v>
      </c>
      <c r="DY62" s="202" t="s">
        <v>567</v>
      </c>
    </row>
    <row r="63" spans="2:129" x14ac:dyDescent="0.3">
      <c r="B63" s="204">
        <v>1</v>
      </c>
      <c r="C63" s="219" t="s">
        <v>4</v>
      </c>
      <c r="D63" s="760">
        <f>'Arable Inputs'!$D$18</f>
        <v>5.5</v>
      </c>
      <c r="E63" s="760">
        <f>'Arable Inputs'!$D$25</f>
        <v>210</v>
      </c>
      <c r="F63" s="760">
        <f>'Arable Inputs'!$D$19</f>
        <v>3.9</v>
      </c>
      <c r="G63" s="760">
        <f>'Arable Inputs'!$D$26</f>
        <v>73.449999999999989</v>
      </c>
      <c r="H63" s="762">
        <f>D63*E63+F63*G63</f>
        <v>1441.4549999999999</v>
      </c>
      <c r="I63" s="197">
        <f>'Arable NPV'!$E143</f>
        <v>330</v>
      </c>
      <c r="J63" s="197">
        <f>H63+I63</f>
        <v>1771.4549999999999</v>
      </c>
      <c r="K63" s="197">
        <f>'Arable NPV'!$G143</f>
        <v>622.34710631578946</v>
      </c>
      <c r="L63" s="197">
        <f>'Arable NPV'!$H143</f>
        <v>943.00233600000001</v>
      </c>
      <c r="M63" s="197">
        <f>K63+L63</f>
        <v>1565.3494423157895</v>
      </c>
      <c r="N63" s="197">
        <f>H63-M63</f>
        <v>-123.89444231578955</v>
      </c>
      <c r="O63" s="197">
        <f>J63-M63</f>
        <v>206.10555768421045</v>
      </c>
      <c r="P63" s="1033">
        <f>H63/(1+$B$4)^(B63-1)</f>
        <v>1441.4549999999999</v>
      </c>
      <c r="Q63" s="213">
        <f>I63/(1+$B$4)^(B63-1)</f>
        <v>330</v>
      </c>
      <c r="R63" s="213">
        <f>M63/(1+$B$4)^(B63-1)</f>
        <v>1565.3494423157895</v>
      </c>
      <c r="S63" s="213">
        <f>N63/(1+$B$4)^(B63-1)</f>
        <v>-123.89444231578955</v>
      </c>
      <c r="T63" s="929">
        <f>O63/(1+$B$4)^(B63-1)</f>
        <v>206.10555768421045</v>
      </c>
      <c r="U63" s="196">
        <f>P63</f>
        <v>1441.4549999999999</v>
      </c>
      <c r="V63" s="197">
        <f>Q63</f>
        <v>330</v>
      </c>
      <c r="W63" s="197">
        <f>R63</f>
        <v>1565.3494423157895</v>
      </c>
      <c r="X63" s="197">
        <f>S63</f>
        <v>-123.89444231578955</v>
      </c>
      <c r="Y63" s="199">
        <f>T63</f>
        <v>206.10555768421045</v>
      </c>
      <c r="Z63" s="197"/>
      <c r="AB63" s="204">
        <v>1</v>
      </c>
      <c r="AC63" s="219" t="s">
        <v>4</v>
      </c>
      <c r="AD63" s="760">
        <f>'Arable Inputs'!$D$18</f>
        <v>5.5</v>
      </c>
      <c r="AE63" s="760">
        <f>'Arable Inputs'!$D$25</f>
        <v>210</v>
      </c>
      <c r="AF63" s="760">
        <f>'Arable Inputs'!$D$19</f>
        <v>3.9</v>
      </c>
      <c r="AG63" s="760">
        <f>'Arable Inputs'!$D$26</f>
        <v>73.449999999999989</v>
      </c>
      <c r="AH63" s="762">
        <f>AD63*AE63+AF63*AG63</f>
        <v>1441.4549999999999</v>
      </c>
      <c r="AI63" s="197">
        <f>'Arable NPV'!$E143</f>
        <v>330</v>
      </c>
      <c r="AJ63" s="197">
        <f>AH63+AI63</f>
        <v>1771.4549999999999</v>
      </c>
      <c r="AK63" s="197">
        <f>'Arable NPV'!$G143</f>
        <v>622.34710631578946</v>
      </c>
      <c r="AL63" s="197">
        <f>'Arable NPV'!$H143</f>
        <v>943.00233600000001</v>
      </c>
      <c r="AM63" s="197">
        <f>'Arable NPV'!$I143+0.5*'Arable NPV'!$I143</f>
        <v>2348.024163473684</v>
      </c>
      <c r="AN63" s="197">
        <f>AH63-AM63</f>
        <v>-906.56916347368406</v>
      </c>
      <c r="AO63" s="197">
        <f>AJ63-AM63</f>
        <v>-576.56916347368406</v>
      </c>
      <c r="AP63" s="1033">
        <f>AH63/(1+$B$4)^(AB63-1)</f>
        <v>1441.4549999999999</v>
      </c>
      <c r="AQ63" s="213">
        <f>AI63/(1+$B$4)^(AB63-1)</f>
        <v>330</v>
      </c>
      <c r="AR63" s="213">
        <f>AM63/(1+$B$4)^(AB63-1)</f>
        <v>2348.024163473684</v>
      </c>
      <c r="AS63" s="213">
        <f>AN63/(1+$B$4)^(AB63-1)</f>
        <v>-906.56916347368406</v>
      </c>
      <c r="AT63" s="929">
        <f>AO63/(1+$B$4)^(AB63-1)</f>
        <v>-576.56916347368406</v>
      </c>
      <c r="AU63" s="196">
        <f>AP63</f>
        <v>1441.4549999999999</v>
      </c>
      <c r="AV63" s="197">
        <f>AQ63</f>
        <v>330</v>
      </c>
      <c r="AW63" s="197">
        <f>AR63</f>
        <v>2348.024163473684</v>
      </c>
      <c r="AX63" s="197">
        <f>AS63</f>
        <v>-906.56916347368406</v>
      </c>
      <c r="AY63" s="199">
        <f>AT63</f>
        <v>-576.56916347368406</v>
      </c>
      <c r="BB63" s="204">
        <v>1</v>
      </c>
      <c r="BC63" s="219" t="s">
        <v>4</v>
      </c>
      <c r="BD63" s="760">
        <f>'Arable Inputs'!$D$18</f>
        <v>5.5</v>
      </c>
      <c r="BE63" s="760">
        <f>'Arable Inputs'!$D$25</f>
        <v>210</v>
      </c>
      <c r="BF63" s="760">
        <f>'Arable Inputs'!$D$19</f>
        <v>3.9</v>
      </c>
      <c r="BG63" s="760">
        <f>'Arable Inputs'!$D$26</f>
        <v>73.449999999999989</v>
      </c>
      <c r="BH63" s="762">
        <f>BD63*BE63+BF63*BG63</f>
        <v>1441.4549999999999</v>
      </c>
      <c r="BI63" s="197">
        <f>'Arable NPV'!$E143</f>
        <v>330</v>
      </c>
      <c r="BJ63" s="197">
        <f>BH63+BI63</f>
        <v>1771.4549999999999</v>
      </c>
      <c r="BK63" s="197">
        <f>'Arable NPV'!$G143</f>
        <v>622.34710631578946</v>
      </c>
      <c r="BL63" s="197">
        <f>'Arable NPV'!$H143</f>
        <v>943.00233600000001</v>
      </c>
      <c r="BM63" s="197">
        <f>'Arable NPV'!$I143-0.5*'Arable NPV'!$I143</f>
        <v>782.67472115789474</v>
      </c>
      <c r="BN63" s="197">
        <f>BH63-BM63</f>
        <v>658.78027884210519</v>
      </c>
      <c r="BO63" s="197">
        <f>BJ63-BM63</f>
        <v>988.78027884210519</v>
      </c>
      <c r="BP63" s="1033">
        <f>BH63/(1+$B$4)^(BB63-1)</f>
        <v>1441.4549999999999</v>
      </c>
      <c r="BQ63" s="213">
        <f>BI63/(1+$B$4)^(BB63-1)</f>
        <v>330</v>
      </c>
      <c r="BR63" s="213">
        <f>BM63/(1+$B$4)^(BB63-1)</f>
        <v>782.67472115789474</v>
      </c>
      <c r="BS63" s="213">
        <f>BN63/(1+$B$4)^(BB63-1)</f>
        <v>658.78027884210519</v>
      </c>
      <c r="BT63" s="929">
        <f>BO63/(1+$B$4)^(BB63-1)</f>
        <v>988.78027884210519</v>
      </c>
      <c r="BU63" s="196">
        <f>BP63</f>
        <v>1441.4549999999999</v>
      </c>
      <c r="BV63" s="197">
        <f>BQ63</f>
        <v>330</v>
      </c>
      <c r="BW63" s="197">
        <f>BR63</f>
        <v>782.67472115789474</v>
      </c>
      <c r="BX63" s="197">
        <f>BS63</f>
        <v>658.78027884210519</v>
      </c>
      <c r="BY63" s="199">
        <f>BT63</f>
        <v>988.78027884210519</v>
      </c>
      <c r="CB63" s="204">
        <v>1</v>
      </c>
      <c r="CC63" s="219" t="s">
        <v>4</v>
      </c>
      <c r="CD63" s="760">
        <f>'Arable Inputs'!$D$18</f>
        <v>5.5</v>
      </c>
      <c r="CE63" s="760">
        <f>'Arable Inputs'!$D$25</f>
        <v>210</v>
      </c>
      <c r="CF63" s="760">
        <f>'Arable Inputs'!$D$19</f>
        <v>3.9</v>
      </c>
      <c r="CG63" s="760">
        <f>'Arable Inputs'!$D$26</f>
        <v>73.449999999999989</v>
      </c>
      <c r="CH63" s="762">
        <f>CD63*CE63+CF63*CG63</f>
        <v>1441.4549999999999</v>
      </c>
      <c r="CI63" s="197">
        <f>'Arable NPV'!$E143</f>
        <v>330</v>
      </c>
      <c r="CJ63" s="197">
        <f>CH63+CI63</f>
        <v>1771.4549999999999</v>
      </c>
      <c r="CK63" s="197">
        <f>'Arable NPV'!$G143</f>
        <v>622.34710631578946</v>
      </c>
      <c r="CL63" s="197">
        <f>'Arable NPV'!$H143</f>
        <v>943.00233600000001</v>
      </c>
      <c r="CM63" s="197">
        <f>'Arable NPV'!$I143+'Arable NPV'!$I143</f>
        <v>3130.6988846315789</v>
      </c>
      <c r="CN63" s="197">
        <f>CH63-CM63</f>
        <v>-1689.243884631579</v>
      </c>
      <c r="CO63" s="197">
        <f>CJ63-CM63</f>
        <v>-1359.243884631579</v>
      </c>
      <c r="CP63" s="1033">
        <f>CH63/(1+$B$4)^(CB63-1)</f>
        <v>1441.4549999999999</v>
      </c>
      <c r="CQ63" s="213">
        <f>CI63/(1+$B$4)^(CB63-1)</f>
        <v>330</v>
      </c>
      <c r="CR63" s="213">
        <f>CM63/(1+$B$4)^(CB63-1)</f>
        <v>3130.6988846315789</v>
      </c>
      <c r="CS63" s="213">
        <f>CN63/(1+$B$4)^(CB63-1)</f>
        <v>-1689.243884631579</v>
      </c>
      <c r="CT63" s="929">
        <f>CO63/(1+$B$4)^(CB63-1)</f>
        <v>-1359.243884631579</v>
      </c>
      <c r="CU63" s="196">
        <f>CP63</f>
        <v>1441.4549999999999</v>
      </c>
      <c r="CV63" s="197">
        <f>CQ63</f>
        <v>330</v>
      </c>
      <c r="CW63" s="197">
        <f>CR63</f>
        <v>3130.6988846315789</v>
      </c>
      <c r="CX63" s="197">
        <f>CS63</f>
        <v>-1689.243884631579</v>
      </c>
      <c r="CY63" s="199">
        <f>CT63</f>
        <v>-1359.243884631579</v>
      </c>
      <c r="DB63" s="204">
        <v>1</v>
      </c>
      <c r="DC63" s="219" t="s">
        <v>4</v>
      </c>
      <c r="DD63" s="760">
        <f>'Arable Inputs'!$D$18</f>
        <v>5.5</v>
      </c>
      <c r="DE63" s="760">
        <f>'Arable Inputs'!$D$25</f>
        <v>210</v>
      </c>
      <c r="DF63" s="760">
        <f>'Arable Inputs'!$D$19</f>
        <v>3.9</v>
      </c>
      <c r="DG63" s="760">
        <f>'Arable Inputs'!$D$26</f>
        <v>73.449999999999989</v>
      </c>
      <c r="DH63" s="762">
        <f>DD63*DE63+DF63*DG63</f>
        <v>1441.4549999999999</v>
      </c>
      <c r="DI63" s="197">
        <f>'Arable NPV'!$E143</f>
        <v>330</v>
      </c>
      <c r="DJ63" s="197">
        <f>DH63+DI63</f>
        <v>1771.4549999999999</v>
      </c>
      <c r="DK63" s="197">
        <f>'Arable NPV'!$G143</f>
        <v>622.34710631578946</v>
      </c>
      <c r="DL63" s="197">
        <f>'Arable NPV'!$H143</f>
        <v>943.00233600000001</v>
      </c>
      <c r="DM63" s="197">
        <f>'Arable NPV'!$I143-'Arable NPV'!$I143</f>
        <v>0</v>
      </c>
      <c r="DN63" s="197">
        <f>DH63-DM63</f>
        <v>1441.4549999999999</v>
      </c>
      <c r="DO63" s="197">
        <f>DJ63-DM63</f>
        <v>1771.4549999999999</v>
      </c>
      <c r="DP63" s="1033">
        <f>DH63/(1+$B$4)^(DB63-1)</f>
        <v>1441.4549999999999</v>
      </c>
      <c r="DQ63" s="213">
        <f>DI63/(1+$B$4)^(DB63-1)</f>
        <v>330</v>
      </c>
      <c r="DR63" s="213">
        <f>DM63/(1+$B$4)^(DB63-1)</f>
        <v>0</v>
      </c>
      <c r="DS63" s="213">
        <f>DN63/(1+$B$4)^(DB63-1)</f>
        <v>1441.4549999999999</v>
      </c>
      <c r="DT63" s="929">
        <f>DO63/(1+$B$4)^(DB63-1)</f>
        <v>1771.4549999999999</v>
      </c>
      <c r="DU63" s="196">
        <f>DP63</f>
        <v>1441.4549999999999</v>
      </c>
      <c r="DV63" s="197">
        <f>DQ63</f>
        <v>330</v>
      </c>
      <c r="DW63" s="197">
        <f>DR63</f>
        <v>0</v>
      </c>
      <c r="DX63" s="197">
        <f>DS63</f>
        <v>1441.4549999999999</v>
      </c>
      <c r="DY63" s="199">
        <f>DT63</f>
        <v>1771.4549999999999</v>
      </c>
    </row>
    <row r="64" spans="2:129" x14ac:dyDescent="0.3">
      <c r="B64" s="204">
        <v>2</v>
      </c>
      <c r="C64" s="219" t="s">
        <v>560</v>
      </c>
      <c r="D64" s="760">
        <f>'Arable Inputs'!$G$18</f>
        <v>2.1</v>
      </c>
      <c r="E64" s="760">
        <f>'Arable Inputs'!$G$25</f>
        <v>235.55</v>
      </c>
      <c r="H64" s="762">
        <f>D64*E64</f>
        <v>494.65500000000003</v>
      </c>
      <c r="I64" s="197">
        <f>'Arable NPV'!$E144</f>
        <v>330</v>
      </c>
      <c r="J64" s="197">
        <f t="shared" ref="J64:J78" si="145">H64+I64</f>
        <v>824.65499999999997</v>
      </c>
      <c r="K64" s="197">
        <f>'Arable NPV'!$G144</f>
        <v>255.07731473684206</v>
      </c>
      <c r="L64" s="197">
        <f>'Arable NPV'!$H144</f>
        <v>778.68036799999993</v>
      </c>
      <c r="M64" s="197">
        <f t="shared" ref="M64:M78" si="146">K64+L64</f>
        <v>1033.7576827368421</v>
      </c>
      <c r="N64" s="197">
        <f t="shared" ref="N64:N78" si="147">H64-M64</f>
        <v>-539.1026827368421</v>
      </c>
      <c r="O64" s="197">
        <f t="shared" ref="O64:O78" si="148">J64-M64</f>
        <v>-209.1026827368421</v>
      </c>
      <c r="P64" s="196">
        <f t="shared" ref="P64:P78" si="149">H64/(1+$B$4)^(B64-1)</f>
        <v>480.247572815534</v>
      </c>
      <c r="Q64" s="197">
        <f t="shared" ref="Q64:Q78" si="150">I64/(1+$B$4)^(B64-1)</f>
        <v>320.38834951456312</v>
      </c>
      <c r="R64" s="197">
        <f t="shared" ref="R64:R78" si="151">M64/(1+$B$4)^(B64-1)</f>
        <v>1003.648235666837</v>
      </c>
      <c r="S64" s="197">
        <f t="shared" ref="S64:S78" si="152">N64/(1+$B$4)^(B64-1)</f>
        <v>-523.40066285130297</v>
      </c>
      <c r="T64" s="199">
        <f t="shared" ref="T64:T77" si="153">O64/(1+$B$4)^(B64-1)</f>
        <v>-203.01231333673991</v>
      </c>
      <c r="U64" s="196">
        <f t="shared" ref="U64:Y78" si="154">U63+P64</f>
        <v>1921.702572815534</v>
      </c>
      <c r="V64" s="197">
        <f t="shared" si="154"/>
        <v>650.38834951456306</v>
      </c>
      <c r="W64" s="197">
        <f t="shared" si="154"/>
        <v>2568.9976779826266</v>
      </c>
      <c r="X64" s="197">
        <f t="shared" si="154"/>
        <v>-647.29510516709252</v>
      </c>
      <c r="Y64" s="199">
        <f t="shared" si="154"/>
        <v>3.0932443474705451</v>
      </c>
      <c r="Z64" s="197"/>
      <c r="AB64" s="204">
        <v>2</v>
      </c>
      <c r="AC64" s="219" t="s">
        <v>560</v>
      </c>
      <c r="AD64" s="760">
        <f>'Arable Inputs'!$G$18</f>
        <v>2.1</v>
      </c>
      <c r="AE64" s="760">
        <f>'Arable Inputs'!$G$25</f>
        <v>235.55</v>
      </c>
      <c r="AH64" s="762">
        <f>AD64*AE64</f>
        <v>494.65500000000003</v>
      </c>
      <c r="AI64" s="197">
        <f>'Arable NPV'!$E144</f>
        <v>330</v>
      </c>
      <c r="AJ64" s="197">
        <f t="shared" ref="AJ64:AJ78" si="155">AH64+AI64</f>
        <v>824.65499999999997</v>
      </c>
      <c r="AK64" s="197">
        <f>'Arable NPV'!$G144</f>
        <v>255.07731473684206</v>
      </c>
      <c r="AL64" s="197">
        <f>'Arable NPV'!$H144</f>
        <v>778.68036799999993</v>
      </c>
      <c r="AM64" s="197">
        <f>'Arable NPV'!$I144+0.5*'Arable NPV'!$I144</f>
        <v>1550.6365241052631</v>
      </c>
      <c r="AN64" s="197">
        <f t="shared" ref="AN64:AN78" si="156">AH64-AM64</f>
        <v>-1055.9815241052631</v>
      </c>
      <c r="AO64" s="197">
        <f t="shared" ref="AO64:AO78" si="157">AJ64-AM64</f>
        <v>-725.98152410526313</v>
      </c>
      <c r="AP64" s="196">
        <f t="shared" ref="AP64:AP78" si="158">AH64/(1+$B$4)^(AB64-1)</f>
        <v>480.247572815534</v>
      </c>
      <c r="AQ64" s="197">
        <f t="shared" ref="AQ64:AQ78" si="159">AI64/(1+$B$4)^(AB64-1)</f>
        <v>320.38834951456312</v>
      </c>
      <c r="AR64" s="197">
        <f t="shared" ref="AR64:AR78" si="160">AM64/(1+$B$4)^(AB64-1)</f>
        <v>1505.4723535002554</v>
      </c>
      <c r="AS64" s="197">
        <f t="shared" ref="AS64:AS78" si="161">AN64/(1+$B$4)^(AB64-1)</f>
        <v>-1025.2247806847215</v>
      </c>
      <c r="AT64" s="199">
        <f t="shared" ref="AT64:AT77" si="162">AO64/(1+$B$4)^(AB64-1)</f>
        <v>-704.83643117015833</v>
      </c>
      <c r="AU64" s="196">
        <f t="shared" ref="AU64:AX78" si="163">AU63+AP64</f>
        <v>1921.702572815534</v>
      </c>
      <c r="AV64" s="197">
        <f t="shared" si="163"/>
        <v>650.38834951456306</v>
      </c>
      <c r="AW64" s="197">
        <f t="shared" si="163"/>
        <v>3853.4965169739394</v>
      </c>
      <c r="AX64" s="197">
        <f t="shared" si="163"/>
        <v>-1931.7939441584056</v>
      </c>
      <c r="AY64" s="199">
        <f t="shared" ref="AY64:AY78" si="164">AY63+AT64</f>
        <v>-1281.4055946438425</v>
      </c>
      <c r="BB64" s="204">
        <v>2</v>
      </c>
      <c r="BC64" s="219" t="s">
        <v>560</v>
      </c>
      <c r="BD64" s="760">
        <f>'Arable Inputs'!$G$18</f>
        <v>2.1</v>
      </c>
      <c r="BE64" s="760">
        <f>'Arable Inputs'!$G$25</f>
        <v>235.55</v>
      </c>
      <c r="BH64" s="762">
        <f>BD64*BE64</f>
        <v>494.65500000000003</v>
      </c>
      <c r="BI64" s="197">
        <f>'Arable NPV'!$E144</f>
        <v>330</v>
      </c>
      <c r="BJ64" s="197">
        <f t="shared" ref="BJ64:BJ78" si="165">BH64+BI64</f>
        <v>824.65499999999997</v>
      </c>
      <c r="BK64" s="197">
        <f>'Arable NPV'!$G144</f>
        <v>255.07731473684206</v>
      </c>
      <c r="BL64" s="197">
        <f>'Arable NPV'!$H144</f>
        <v>778.68036799999993</v>
      </c>
      <c r="BM64" s="197">
        <f>'Arable NPV'!$I144-0.5*'Arable NPV'!$I144</f>
        <v>516.87884136842104</v>
      </c>
      <c r="BN64" s="197">
        <f t="shared" ref="BN64:BN78" si="166">BH64-BM64</f>
        <v>-22.223841368421006</v>
      </c>
      <c r="BO64" s="197">
        <f t="shared" ref="BO64:BO78" si="167">BJ64-BM64</f>
        <v>307.77615863157894</v>
      </c>
      <c r="BP64" s="196">
        <f t="shared" ref="BP64:BP78" si="168">BH64/(1+$B$4)^(BB64-1)</f>
        <v>480.247572815534</v>
      </c>
      <c r="BQ64" s="197">
        <f t="shared" ref="BQ64:BQ78" si="169">BI64/(1+$B$4)^(BB64-1)</f>
        <v>320.38834951456312</v>
      </c>
      <c r="BR64" s="197">
        <f t="shared" ref="BR64:BR78" si="170">BM64/(1+$B$4)^(BB64-1)</f>
        <v>501.82411783341848</v>
      </c>
      <c r="BS64" s="197">
        <f t="shared" ref="BS64:BS78" si="171">BN64/(1+$B$4)^(BB64-1)</f>
        <v>-21.57654501788447</v>
      </c>
      <c r="BT64" s="199">
        <f t="shared" ref="BT64:BT77" si="172">BO64/(1+$B$4)^(BB64-1)</f>
        <v>298.81180449667858</v>
      </c>
      <c r="BU64" s="196">
        <f t="shared" ref="BU64:BW78" si="173">BU63+BP64</f>
        <v>1921.702572815534</v>
      </c>
      <c r="BV64" s="197">
        <f t="shared" si="173"/>
        <v>650.38834951456306</v>
      </c>
      <c r="BW64" s="197">
        <f t="shared" si="173"/>
        <v>1284.4988389913133</v>
      </c>
      <c r="BX64" s="197">
        <f t="shared" ref="BX64:BX78" si="174">BX63+BS64</f>
        <v>637.20373382422076</v>
      </c>
      <c r="BY64" s="199">
        <f t="shared" ref="BY64:BY78" si="175">BY63+BT64</f>
        <v>1287.5920833387838</v>
      </c>
      <c r="CB64" s="204">
        <v>2</v>
      </c>
      <c r="CC64" s="219" t="s">
        <v>560</v>
      </c>
      <c r="CD64" s="760">
        <f>'Arable Inputs'!$G$18</f>
        <v>2.1</v>
      </c>
      <c r="CE64" s="760">
        <f>'Arable Inputs'!$G$25</f>
        <v>235.55</v>
      </c>
      <c r="CH64" s="762">
        <f>CD64*CE64</f>
        <v>494.65500000000003</v>
      </c>
      <c r="CI64" s="197">
        <f>'Arable NPV'!$E144</f>
        <v>330</v>
      </c>
      <c r="CJ64" s="197">
        <f t="shared" ref="CJ64:CJ78" si="176">CH64+CI64</f>
        <v>824.65499999999997</v>
      </c>
      <c r="CK64" s="197">
        <f>'Arable NPV'!$G144</f>
        <v>255.07731473684206</v>
      </c>
      <c r="CL64" s="197">
        <f>'Arable NPV'!$H144</f>
        <v>778.68036799999993</v>
      </c>
      <c r="CM64" s="197">
        <f>'Arable NPV'!$I144+'Arable NPV'!$I144</f>
        <v>2067.5153654736841</v>
      </c>
      <c r="CN64" s="197">
        <f t="shared" ref="CN64:CN78" si="177">CH64-CM64</f>
        <v>-1572.8603654736842</v>
      </c>
      <c r="CO64" s="197">
        <f t="shared" ref="CO64:CO78" si="178">CJ64-CM64</f>
        <v>-1242.8603654736842</v>
      </c>
      <c r="CP64" s="196">
        <f t="shared" ref="CP64:CP78" si="179">CH64/(1+$B$4)^(CB64-1)</f>
        <v>480.247572815534</v>
      </c>
      <c r="CQ64" s="197">
        <f t="shared" ref="CQ64:CQ78" si="180">CI64/(1+$B$4)^(CB64-1)</f>
        <v>320.38834951456312</v>
      </c>
      <c r="CR64" s="197">
        <f t="shared" ref="CR64:CR78" si="181">CM64/(1+$B$4)^(CB64-1)</f>
        <v>2007.2964713336739</v>
      </c>
      <c r="CS64" s="197">
        <f t="shared" ref="CS64:CS78" si="182">CN64/(1+$B$4)^(CB64-1)</f>
        <v>-1527.0488985181398</v>
      </c>
      <c r="CT64" s="199">
        <f t="shared" ref="CT64:CT77" si="183">CO64/(1+$B$4)^(CB64-1)</f>
        <v>-1206.6605490035768</v>
      </c>
      <c r="CU64" s="196">
        <f t="shared" ref="CU64:CV78" si="184">CU63+CP64</f>
        <v>1921.702572815534</v>
      </c>
      <c r="CV64" s="197">
        <f t="shared" si="184"/>
        <v>650.38834951456306</v>
      </c>
      <c r="CW64" s="197">
        <f t="shared" ref="CW64:CW78" si="185">CW63+CR64</f>
        <v>5137.9953559652531</v>
      </c>
      <c r="CX64" s="197">
        <f t="shared" ref="CX64:CX78" si="186">CX63+CS64</f>
        <v>-3216.2927831497191</v>
      </c>
      <c r="CY64" s="199">
        <f t="shared" ref="CY64:CY78" si="187">CY63+CT64</f>
        <v>-2565.9044336351558</v>
      </c>
      <c r="DB64" s="204">
        <v>2</v>
      </c>
      <c r="DC64" s="219" t="s">
        <v>560</v>
      </c>
      <c r="DD64" s="760">
        <f>'Arable Inputs'!$G$18</f>
        <v>2.1</v>
      </c>
      <c r="DE64" s="760">
        <f>'Arable Inputs'!$G$25</f>
        <v>235.55</v>
      </c>
      <c r="DH64" s="762">
        <f>DD64*DE64</f>
        <v>494.65500000000003</v>
      </c>
      <c r="DI64" s="197">
        <f>'Arable NPV'!$E144</f>
        <v>330</v>
      </c>
      <c r="DJ64" s="197">
        <f t="shared" ref="DJ64:DJ78" si="188">DH64+DI64</f>
        <v>824.65499999999997</v>
      </c>
      <c r="DK64" s="197">
        <f>'Arable NPV'!$G144</f>
        <v>255.07731473684206</v>
      </c>
      <c r="DL64" s="197">
        <f>'Arable NPV'!$H144</f>
        <v>778.68036799999993</v>
      </c>
      <c r="DM64" s="197">
        <f>'Arable NPV'!$I144-'Arable NPV'!$I144</f>
        <v>0</v>
      </c>
      <c r="DN64" s="197">
        <f t="shared" ref="DN64:DN78" si="189">DH64-DM64</f>
        <v>494.65500000000003</v>
      </c>
      <c r="DO64" s="197">
        <f t="shared" ref="DO64:DO78" si="190">DJ64-DM64</f>
        <v>824.65499999999997</v>
      </c>
      <c r="DP64" s="196">
        <f t="shared" ref="DP64:DP78" si="191">DH64/(1+$B$4)^(DB64-1)</f>
        <v>480.247572815534</v>
      </c>
      <c r="DQ64" s="197">
        <f t="shared" ref="DQ64:DQ78" si="192">DI64/(1+$B$4)^(DB64-1)</f>
        <v>320.38834951456312</v>
      </c>
      <c r="DR64" s="197">
        <f t="shared" ref="DR64:DR78" si="193">DM64/(1+$B$4)^(DB64-1)</f>
        <v>0</v>
      </c>
      <c r="DS64" s="197">
        <f t="shared" ref="DS64:DS78" si="194">DN64/(1+$B$4)^(DB64-1)</f>
        <v>480.247572815534</v>
      </c>
      <c r="DT64" s="199">
        <f t="shared" ref="DT64:DT77" si="195">DO64/(1+$B$4)^(DB64-1)</f>
        <v>800.63592233009706</v>
      </c>
      <c r="DU64" s="196">
        <f t="shared" ref="DU64:DY78" si="196">DU63+DP64</f>
        <v>1921.702572815534</v>
      </c>
      <c r="DV64" s="197">
        <f t="shared" si="196"/>
        <v>650.38834951456306</v>
      </c>
      <c r="DW64" s="197">
        <f t="shared" si="196"/>
        <v>0</v>
      </c>
      <c r="DX64" s="197">
        <f t="shared" si="196"/>
        <v>1921.702572815534</v>
      </c>
      <c r="DY64" s="199">
        <f t="shared" si="196"/>
        <v>2572.0909223300969</v>
      </c>
    </row>
    <row r="65" spans="2:129" x14ac:dyDescent="0.3">
      <c r="B65" s="204">
        <f t="shared" ref="B65:B78" si="197">B64+1</f>
        <v>3</v>
      </c>
      <c r="C65" s="219" t="s">
        <v>28</v>
      </c>
      <c r="D65" s="760">
        <f>'Arable Inputs'!$H$18</f>
        <v>9.4</v>
      </c>
      <c r="E65" s="760">
        <f>'Arable Inputs'!$H$25</f>
        <v>94.285714285714292</v>
      </c>
      <c r="H65" s="762">
        <f>D65*E65</f>
        <v>886.28571428571433</v>
      </c>
      <c r="I65" s="197">
        <f>'Arable NPV'!$E145</f>
        <v>330</v>
      </c>
      <c r="J65" s="197">
        <f t="shared" si="145"/>
        <v>1216.2857142857142</v>
      </c>
      <c r="K65" s="197">
        <f>'Arable NPV'!$G145</f>
        <v>566.71194999999989</v>
      </c>
      <c r="L65" s="197">
        <f>'Arable NPV'!$H145</f>
        <v>691.46913599999993</v>
      </c>
      <c r="M65" s="197">
        <f t="shared" si="146"/>
        <v>1258.1810859999998</v>
      </c>
      <c r="N65" s="197">
        <f t="shared" si="147"/>
        <v>-371.89537171428549</v>
      </c>
      <c r="O65" s="197">
        <f t="shared" si="148"/>
        <v>-41.895371714285602</v>
      </c>
      <c r="P65" s="196">
        <f t="shared" si="149"/>
        <v>835.40928860940176</v>
      </c>
      <c r="Q65" s="197">
        <f t="shared" si="150"/>
        <v>311.05665001413894</v>
      </c>
      <c r="R65" s="197">
        <f t="shared" si="151"/>
        <v>1185.9563446130642</v>
      </c>
      <c r="S65" s="197">
        <f t="shared" si="152"/>
        <v>-350.54705600366248</v>
      </c>
      <c r="T65" s="199">
        <f t="shared" si="153"/>
        <v>-39.490405989523616</v>
      </c>
      <c r="U65" s="196">
        <f t="shared" si="154"/>
        <v>2757.1118614249358</v>
      </c>
      <c r="V65" s="197">
        <f t="shared" si="154"/>
        <v>961.44499952870206</v>
      </c>
      <c r="W65" s="197">
        <f t="shared" si="154"/>
        <v>3754.9540225956907</v>
      </c>
      <c r="X65" s="197">
        <f t="shared" si="154"/>
        <v>-997.84216117075493</v>
      </c>
      <c r="Y65" s="199">
        <f t="shared" si="154"/>
        <v>-36.397161642053071</v>
      </c>
      <c r="Z65" s="197"/>
      <c r="AB65" s="204">
        <f t="shared" ref="AB65:AB78" si="198">AB64+1</f>
        <v>3</v>
      </c>
      <c r="AC65" s="219" t="s">
        <v>28</v>
      </c>
      <c r="AD65" s="760">
        <f>'Arable Inputs'!$H$18</f>
        <v>9.4</v>
      </c>
      <c r="AE65" s="760">
        <f>'Arable Inputs'!$H$25</f>
        <v>94.285714285714292</v>
      </c>
      <c r="AH65" s="762">
        <f>AD65*AE65</f>
        <v>886.28571428571433</v>
      </c>
      <c r="AI65" s="197">
        <f>'Arable NPV'!$E145</f>
        <v>330</v>
      </c>
      <c r="AJ65" s="197">
        <f t="shared" si="155"/>
        <v>1216.2857142857142</v>
      </c>
      <c r="AK65" s="197">
        <f>'Arable NPV'!$G145</f>
        <v>566.71194999999989</v>
      </c>
      <c r="AL65" s="197">
        <f>'Arable NPV'!$H145</f>
        <v>691.46913599999993</v>
      </c>
      <c r="AM65" s="197">
        <f>'Arable NPV'!$I145+0.5*'Arable NPV'!$I145</f>
        <v>1887.2716289999998</v>
      </c>
      <c r="AN65" s="197">
        <f t="shared" si="156"/>
        <v>-1000.9859147142855</v>
      </c>
      <c r="AO65" s="197">
        <f t="shared" si="157"/>
        <v>-670.98591471428563</v>
      </c>
      <c r="AP65" s="196">
        <f t="shared" si="158"/>
        <v>835.40928860940176</v>
      </c>
      <c r="AQ65" s="197">
        <f t="shared" si="159"/>
        <v>311.05665001413894</v>
      </c>
      <c r="AR65" s="197">
        <f t="shared" si="160"/>
        <v>1778.9345169195965</v>
      </c>
      <c r="AS65" s="197">
        <f t="shared" si="161"/>
        <v>-943.52522831019473</v>
      </c>
      <c r="AT65" s="199">
        <f t="shared" si="162"/>
        <v>-632.46857829605585</v>
      </c>
      <c r="AU65" s="196">
        <f t="shared" si="163"/>
        <v>2757.1118614249358</v>
      </c>
      <c r="AV65" s="197">
        <f t="shared" si="163"/>
        <v>961.44499952870206</v>
      </c>
      <c r="AW65" s="197">
        <f t="shared" si="163"/>
        <v>5632.4310338935356</v>
      </c>
      <c r="AX65" s="197">
        <f t="shared" si="163"/>
        <v>-2875.3191724686003</v>
      </c>
      <c r="AY65" s="199">
        <f t="shared" si="164"/>
        <v>-1913.8741729398985</v>
      </c>
      <c r="BB65" s="204">
        <f t="shared" ref="BB65:BB78" si="199">BB64+1</f>
        <v>3</v>
      </c>
      <c r="BC65" s="219" t="s">
        <v>28</v>
      </c>
      <c r="BD65" s="760">
        <f>'Arable Inputs'!$H$18</f>
        <v>9.4</v>
      </c>
      <c r="BE65" s="760">
        <f>'Arable Inputs'!$H$25</f>
        <v>94.285714285714292</v>
      </c>
      <c r="BH65" s="762">
        <f>BD65*BE65</f>
        <v>886.28571428571433</v>
      </c>
      <c r="BI65" s="197">
        <f>'Arable NPV'!$E145</f>
        <v>330</v>
      </c>
      <c r="BJ65" s="197">
        <f t="shared" si="165"/>
        <v>1216.2857142857142</v>
      </c>
      <c r="BK65" s="197">
        <f>'Arable NPV'!$G145</f>
        <v>566.71194999999989</v>
      </c>
      <c r="BL65" s="197">
        <f>'Arable NPV'!$H145</f>
        <v>691.46913599999993</v>
      </c>
      <c r="BM65" s="197">
        <f>'Arable NPV'!$I145-0.5*'Arable NPV'!$I145</f>
        <v>629.09054299999991</v>
      </c>
      <c r="BN65" s="197">
        <f t="shared" si="166"/>
        <v>257.19517128571442</v>
      </c>
      <c r="BO65" s="197">
        <f t="shared" si="167"/>
        <v>587.19517128571431</v>
      </c>
      <c r="BP65" s="196">
        <f t="shared" si="168"/>
        <v>835.40928860940176</v>
      </c>
      <c r="BQ65" s="197">
        <f t="shared" si="169"/>
        <v>311.05665001413894</v>
      </c>
      <c r="BR65" s="197">
        <f t="shared" si="170"/>
        <v>592.97817230653209</v>
      </c>
      <c r="BS65" s="197">
        <f t="shared" si="171"/>
        <v>242.43111630286967</v>
      </c>
      <c r="BT65" s="199">
        <f t="shared" si="172"/>
        <v>553.48776631700855</v>
      </c>
      <c r="BU65" s="196">
        <f t="shared" si="173"/>
        <v>2757.1118614249358</v>
      </c>
      <c r="BV65" s="197">
        <f t="shared" si="173"/>
        <v>961.44499952870206</v>
      </c>
      <c r="BW65" s="197">
        <f t="shared" si="173"/>
        <v>1877.4770112978454</v>
      </c>
      <c r="BX65" s="197">
        <f t="shared" si="174"/>
        <v>879.63485012709043</v>
      </c>
      <c r="BY65" s="199">
        <f t="shared" si="175"/>
        <v>1841.0798496557923</v>
      </c>
      <c r="CB65" s="204">
        <f t="shared" ref="CB65:CB78" si="200">CB64+1</f>
        <v>3</v>
      </c>
      <c r="CC65" s="219" t="s">
        <v>28</v>
      </c>
      <c r="CD65" s="760">
        <f>'Arable Inputs'!$H$18</f>
        <v>9.4</v>
      </c>
      <c r="CE65" s="760">
        <f>'Arable Inputs'!$H$25</f>
        <v>94.285714285714292</v>
      </c>
      <c r="CH65" s="762">
        <f>CD65*CE65</f>
        <v>886.28571428571433</v>
      </c>
      <c r="CI65" s="197">
        <f>'Arable NPV'!$E145</f>
        <v>330</v>
      </c>
      <c r="CJ65" s="197">
        <f t="shared" si="176"/>
        <v>1216.2857142857142</v>
      </c>
      <c r="CK65" s="197">
        <f>'Arable NPV'!$G145</f>
        <v>566.71194999999989</v>
      </c>
      <c r="CL65" s="197">
        <f>'Arable NPV'!$H145</f>
        <v>691.46913599999993</v>
      </c>
      <c r="CM65" s="197">
        <f>'Arable NPV'!$I145+'Arable NPV'!$I145</f>
        <v>2516.3621719999996</v>
      </c>
      <c r="CN65" s="197">
        <f t="shared" si="177"/>
        <v>-1630.0764577142854</v>
      </c>
      <c r="CO65" s="197">
        <f t="shared" si="178"/>
        <v>-1300.0764577142854</v>
      </c>
      <c r="CP65" s="196">
        <f t="shared" si="179"/>
        <v>835.40928860940176</v>
      </c>
      <c r="CQ65" s="197">
        <f t="shared" si="180"/>
        <v>311.05665001413894</v>
      </c>
      <c r="CR65" s="197">
        <f t="shared" si="181"/>
        <v>2371.9126892261284</v>
      </c>
      <c r="CS65" s="197">
        <f t="shared" si="182"/>
        <v>-1536.5034006167268</v>
      </c>
      <c r="CT65" s="199">
        <f t="shared" si="183"/>
        <v>-1225.4467506025878</v>
      </c>
      <c r="CU65" s="196">
        <f t="shared" si="184"/>
        <v>2757.1118614249358</v>
      </c>
      <c r="CV65" s="197">
        <f t="shared" si="184"/>
        <v>961.44499952870206</v>
      </c>
      <c r="CW65" s="197">
        <f t="shared" si="185"/>
        <v>7509.9080451913815</v>
      </c>
      <c r="CX65" s="197">
        <f t="shared" si="186"/>
        <v>-4752.7961837664461</v>
      </c>
      <c r="CY65" s="199">
        <f t="shared" si="187"/>
        <v>-3791.3511842377438</v>
      </c>
      <c r="DB65" s="204">
        <f t="shared" ref="DB65:DB78" si="201">DB64+1</f>
        <v>3</v>
      </c>
      <c r="DC65" s="219" t="s">
        <v>28</v>
      </c>
      <c r="DD65" s="760">
        <f>'Arable Inputs'!$H$18</f>
        <v>9.4</v>
      </c>
      <c r="DE65" s="760">
        <f>'Arable Inputs'!$H$25</f>
        <v>94.285714285714292</v>
      </c>
      <c r="DH65" s="762">
        <f>DD65*DE65</f>
        <v>886.28571428571433</v>
      </c>
      <c r="DI65" s="197">
        <f>'Arable NPV'!$E145</f>
        <v>330</v>
      </c>
      <c r="DJ65" s="197">
        <f t="shared" si="188"/>
        <v>1216.2857142857142</v>
      </c>
      <c r="DK65" s="197">
        <f>'Arable NPV'!$G145</f>
        <v>566.71194999999989</v>
      </c>
      <c r="DL65" s="197">
        <f>'Arable NPV'!$H145</f>
        <v>691.46913599999993</v>
      </c>
      <c r="DM65" s="197">
        <f>'Arable NPV'!$I145-'Arable NPV'!$I145</f>
        <v>0</v>
      </c>
      <c r="DN65" s="197">
        <f t="shared" si="189"/>
        <v>886.28571428571433</v>
      </c>
      <c r="DO65" s="197">
        <f t="shared" si="190"/>
        <v>1216.2857142857142</v>
      </c>
      <c r="DP65" s="196">
        <f t="shared" si="191"/>
        <v>835.40928860940176</v>
      </c>
      <c r="DQ65" s="197">
        <f t="shared" si="192"/>
        <v>311.05665001413894</v>
      </c>
      <c r="DR65" s="197">
        <f t="shared" si="193"/>
        <v>0</v>
      </c>
      <c r="DS65" s="197">
        <f t="shared" si="194"/>
        <v>835.40928860940176</v>
      </c>
      <c r="DT65" s="199">
        <f t="shared" si="195"/>
        <v>1146.4659386235408</v>
      </c>
      <c r="DU65" s="196">
        <f t="shared" si="196"/>
        <v>2757.1118614249358</v>
      </c>
      <c r="DV65" s="197">
        <f t="shared" si="196"/>
        <v>961.44499952870206</v>
      </c>
      <c r="DW65" s="197">
        <f t="shared" si="196"/>
        <v>0</v>
      </c>
      <c r="DX65" s="197">
        <f t="shared" si="196"/>
        <v>2757.1118614249358</v>
      </c>
      <c r="DY65" s="199">
        <f t="shared" si="196"/>
        <v>3718.5568609536376</v>
      </c>
    </row>
    <row r="66" spans="2:129" x14ac:dyDescent="0.3">
      <c r="B66" s="204">
        <f t="shared" si="197"/>
        <v>4</v>
      </c>
      <c r="C66" s="219" t="s">
        <v>5</v>
      </c>
      <c r="D66" s="760">
        <f>'Arable Inputs'!$F$18</f>
        <v>2.6</v>
      </c>
      <c r="E66" s="760">
        <f>'Arable Inputs'!$F$25</f>
        <v>196.99</v>
      </c>
      <c r="F66" s="760">
        <f>'Arable Inputs'!$F$19</f>
        <v>2.6</v>
      </c>
      <c r="G66" s="760">
        <f>'Arable Inputs'!$F$26</f>
        <v>42.374999999999993</v>
      </c>
      <c r="H66" s="762">
        <f>D66*E66+F66*G66</f>
        <v>622.34900000000005</v>
      </c>
      <c r="I66" s="197">
        <f>'Arable NPV'!$E146</f>
        <v>330</v>
      </c>
      <c r="J66" s="197">
        <f t="shared" si="145"/>
        <v>952.34900000000005</v>
      </c>
      <c r="K66" s="197">
        <f>'Arable NPV'!$G146</f>
        <v>327.77441459954235</v>
      </c>
      <c r="L66" s="197">
        <f>'Arable NPV'!$H146</f>
        <v>704.91322685714283</v>
      </c>
      <c r="M66" s="197">
        <f t="shared" si="146"/>
        <v>1032.6876414566852</v>
      </c>
      <c r="N66" s="197">
        <f t="shared" si="147"/>
        <v>-410.3386414566852</v>
      </c>
      <c r="O66" s="197">
        <f t="shared" si="148"/>
        <v>-80.338641456685195</v>
      </c>
      <c r="P66" s="196">
        <f t="shared" si="149"/>
        <v>569.5374965567795</v>
      </c>
      <c r="Q66" s="197">
        <f t="shared" si="150"/>
        <v>301.99674758654265</v>
      </c>
      <c r="R66" s="197">
        <f t="shared" si="151"/>
        <v>945.05548179617165</v>
      </c>
      <c r="S66" s="197">
        <f t="shared" si="152"/>
        <v>-375.51798523939209</v>
      </c>
      <c r="T66" s="199">
        <f t="shared" si="153"/>
        <v>-73.521237652849422</v>
      </c>
      <c r="U66" s="196">
        <f t="shared" si="154"/>
        <v>3326.6493579817152</v>
      </c>
      <c r="V66" s="197">
        <f t="shared" si="154"/>
        <v>1263.4417471152447</v>
      </c>
      <c r="W66" s="197">
        <f t="shared" si="154"/>
        <v>4700.0095043918627</v>
      </c>
      <c r="X66" s="197">
        <f t="shared" si="154"/>
        <v>-1373.3601464101471</v>
      </c>
      <c r="Y66" s="199">
        <f t="shared" si="154"/>
        <v>-109.91839929490249</v>
      </c>
      <c r="Z66" s="197"/>
      <c r="AB66" s="204">
        <f t="shared" si="198"/>
        <v>4</v>
      </c>
      <c r="AC66" s="219" t="s">
        <v>5</v>
      </c>
      <c r="AD66" s="760">
        <f>'Arable Inputs'!$F$18</f>
        <v>2.6</v>
      </c>
      <c r="AE66" s="760">
        <f>'Arable Inputs'!$F$25</f>
        <v>196.99</v>
      </c>
      <c r="AF66" s="760">
        <f>'Arable Inputs'!$F$19</f>
        <v>2.6</v>
      </c>
      <c r="AG66" s="760">
        <f>'Arable Inputs'!$F$26</f>
        <v>42.374999999999993</v>
      </c>
      <c r="AH66" s="762">
        <f>AD66*AE66+AF66*AG66</f>
        <v>622.34900000000005</v>
      </c>
      <c r="AI66" s="197">
        <f>'Arable NPV'!$E146</f>
        <v>330</v>
      </c>
      <c r="AJ66" s="197">
        <f t="shared" si="155"/>
        <v>952.34900000000005</v>
      </c>
      <c r="AK66" s="197">
        <f>'Arable NPV'!$G146</f>
        <v>327.77441459954235</v>
      </c>
      <c r="AL66" s="197">
        <f>'Arable NPV'!$H146</f>
        <v>704.91322685714283</v>
      </c>
      <c r="AM66" s="197">
        <f>'Arable NPV'!$I146+0.5*'Arable NPV'!$I146</f>
        <v>1549.031462185028</v>
      </c>
      <c r="AN66" s="197">
        <f t="shared" si="156"/>
        <v>-926.68246218502793</v>
      </c>
      <c r="AO66" s="197">
        <f t="shared" si="157"/>
        <v>-596.68246218502793</v>
      </c>
      <c r="AP66" s="196">
        <f t="shared" si="158"/>
        <v>569.5374965567795</v>
      </c>
      <c r="AQ66" s="197">
        <f t="shared" si="159"/>
        <v>301.99674758654265</v>
      </c>
      <c r="AR66" s="197">
        <f t="shared" si="160"/>
        <v>1417.5832226942575</v>
      </c>
      <c r="AS66" s="197">
        <f t="shared" si="161"/>
        <v>-848.04572613747803</v>
      </c>
      <c r="AT66" s="199">
        <f t="shared" si="162"/>
        <v>-546.04897855093532</v>
      </c>
      <c r="AU66" s="196">
        <f t="shared" si="163"/>
        <v>3326.6493579817152</v>
      </c>
      <c r="AV66" s="197">
        <f t="shared" si="163"/>
        <v>1263.4417471152447</v>
      </c>
      <c r="AW66" s="197">
        <f t="shared" si="163"/>
        <v>7050.0142565877932</v>
      </c>
      <c r="AX66" s="197">
        <f t="shared" si="163"/>
        <v>-3723.3648986060784</v>
      </c>
      <c r="AY66" s="199">
        <f t="shared" si="164"/>
        <v>-2459.9231514908338</v>
      </c>
      <c r="BB66" s="204">
        <f t="shared" si="199"/>
        <v>4</v>
      </c>
      <c r="BC66" s="219" t="s">
        <v>5</v>
      </c>
      <c r="BD66" s="760">
        <f>'Arable Inputs'!$F$18</f>
        <v>2.6</v>
      </c>
      <c r="BE66" s="760">
        <f>'Arable Inputs'!$F$25</f>
        <v>196.99</v>
      </c>
      <c r="BF66" s="760">
        <f>'Arable Inputs'!$F$19</f>
        <v>2.6</v>
      </c>
      <c r="BG66" s="760">
        <f>'Arable Inputs'!$F$26</f>
        <v>42.374999999999993</v>
      </c>
      <c r="BH66" s="762">
        <f>BD66*BE66+BF66*BG66</f>
        <v>622.34900000000005</v>
      </c>
      <c r="BI66" s="197">
        <f>'Arable NPV'!$E146</f>
        <v>330</v>
      </c>
      <c r="BJ66" s="197">
        <f t="shared" si="165"/>
        <v>952.34900000000005</v>
      </c>
      <c r="BK66" s="197">
        <f>'Arable NPV'!$G146</f>
        <v>327.77441459954235</v>
      </c>
      <c r="BL66" s="197">
        <f>'Arable NPV'!$H146</f>
        <v>704.91322685714283</v>
      </c>
      <c r="BM66" s="197">
        <f>'Arable NPV'!$I146-0.5*'Arable NPV'!$I146</f>
        <v>516.34382072834262</v>
      </c>
      <c r="BN66" s="197">
        <f t="shared" si="166"/>
        <v>106.00517927165743</v>
      </c>
      <c r="BO66" s="197">
        <f t="shared" si="167"/>
        <v>436.00517927165743</v>
      </c>
      <c r="BP66" s="196">
        <f t="shared" si="168"/>
        <v>569.5374965567795</v>
      </c>
      <c r="BQ66" s="197">
        <f t="shared" si="169"/>
        <v>301.99674758654265</v>
      </c>
      <c r="BR66" s="197">
        <f t="shared" si="170"/>
        <v>472.52774089808582</v>
      </c>
      <c r="BS66" s="197">
        <f t="shared" si="171"/>
        <v>97.009755658693734</v>
      </c>
      <c r="BT66" s="199">
        <f t="shared" si="172"/>
        <v>399.00650324523639</v>
      </c>
      <c r="BU66" s="196">
        <f t="shared" si="173"/>
        <v>3326.6493579817152</v>
      </c>
      <c r="BV66" s="197">
        <f t="shared" si="173"/>
        <v>1263.4417471152447</v>
      </c>
      <c r="BW66" s="197">
        <f t="shared" si="173"/>
        <v>2350.0047521959314</v>
      </c>
      <c r="BX66" s="197">
        <f t="shared" si="174"/>
        <v>976.64460578578417</v>
      </c>
      <c r="BY66" s="199">
        <f t="shared" si="175"/>
        <v>2240.0863529010285</v>
      </c>
      <c r="CB66" s="204">
        <f t="shared" si="200"/>
        <v>4</v>
      </c>
      <c r="CC66" s="219" t="s">
        <v>5</v>
      </c>
      <c r="CD66" s="760">
        <f>'Arable Inputs'!$F$18</f>
        <v>2.6</v>
      </c>
      <c r="CE66" s="760">
        <f>'Arable Inputs'!$F$25</f>
        <v>196.99</v>
      </c>
      <c r="CF66" s="760">
        <f>'Arable Inputs'!$F$19</f>
        <v>2.6</v>
      </c>
      <c r="CG66" s="760">
        <f>'Arable Inputs'!$F$26</f>
        <v>42.374999999999993</v>
      </c>
      <c r="CH66" s="762">
        <f>CD66*CE66+CF66*CG66</f>
        <v>622.34900000000005</v>
      </c>
      <c r="CI66" s="197">
        <f>'Arable NPV'!$E146</f>
        <v>330</v>
      </c>
      <c r="CJ66" s="197">
        <f t="shared" si="176"/>
        <v>952.34900000000005</v>
      </c>
      <c r="CK66" s="197">
        <f>'Arable NPV'!$G146</f>
        <v>327.77441459954235</v>
      </c>
      <c r="CL66" s="197">
        <f>'Arable NPV'!$H146</f>
        <v>704.91322685714283</v>
      </c>
      <c r="CM66" s="197">
        <f>'Arable NPV'!$I146+'Arable NPV'!$I146</f>
        <v>2065.3752829133705</v>
      </c>
      <c r="CN66" s="197">
        <f t="shared" si="177"/>
        <v>-1443.0262829133703</v>
      </c>
      <c r="CO66" s="197">
        <f t="shared" si="178"/>
        <v>-1113.0262829133703</v>
      </c>
      <c r="CP66" s="196">
        <f t="shared" si="179"/>
        <v>569.5374965567795</v>
      </c>
      <c r="CQ66" s="197">
        <f t="shared" si="180"/>
        <v>301.99674758654265</v>
      </c>
      <c r="CR66" s="197">
        <f t="shared" si="181"/>
        <v>1890.1109635923433</v>
      </c>
      <c r="CS66" s="197">
        <f t="shared" si="182"/>
        <v>-1320.5734670355637</v>
      </c>
      <c r="CT66" s="199">
        <f t="shared" si="183"/>
        <v>-1018.576719449021</v>
      </c>
      <c r="CU66" s="196">
        <f t="shared" si="184"/>
        <v>3326.6493579817152</v>
      </c>
      <c r="CV66" s="197">
        <f t="shared" si="184"/>
        <v>1263.4417471152447</v>
      </c>
      <c r="CW66" s="197">
        <f t="shared" si="185"/>
        <v>9400.0190087837254</v>
      </c>
      <c r="CX66" s="197">
        <f t="shared" si="186"/>
        <v>-6073.3696508020093</v>
      </c>
      <c r="CY66" s="199">
        <f t="shared" si="187"/>
        <v>-4809.9279036867647</v>
      </c>
      <c r="DB66" s="204">
        <f t="shared" si="201"/>
        <v>4</v>
      </c>
      <c r="DC66" s="219" t="s">
        <v>5</v>
      </c>
      <c r="DD66" s="760">
        <f>'Arable Inputs'!$F$18</f>
        <v>2.6</v>
      </c>
      <c r="DE66" s="760">
        <f>'Arable Inputs'!$F$25</f>
        <v>196.99</v>
      </c>
      <c r="DF66" s="760">
        <f>'Arable Inputs'!$F$19</f>
        <v>2.6</v>
      </c>
      <c r="DG66" s="760">
        <f>'Arable Inputs'!$F$26</f>
        <v>42.374999999999993</v>
      </c>
      <c r="DH66" s="762">
        <f>DD66*DE66+DF66*DG66</f>
        <v>622.34900000000005</v>
      </c>
      <c r="DI66" s="197">
        <f>'Arable NPV'!$E146</f>
        <v>330</v>
      </c>
      <c r="DJ66" s="197">
        <f t="shared" si="188"/>
        <v>952.34900000000005</v>
      </c>
      <c r="DK66" s="197">
        <f>'Arable NPV'!$G146</f>
        <v>327.77441459954235</v>
      </c>
      <c r="DL66" s="197">
        <f>'Arable NPV'!$H146</f>
        <v>704.91322685714283</v>
      </c>
      <c r="DM66" s="197">
        <f>'Arable NPV'!$I146-'Arable NPV'!$I146</f>
        <v>0</v>
      </c>
      <c r="DN66" s="197">
        <f t="shared" si="189"/>
        <v>622.34900000000005</v>
      </c>
      <c r="DO66" s="197">
        <f t="shared" si="190"/>
        <v>952.34900000000005</v>
      </c>
      <c r="DP66" s="196">
        <f t="shared" si="191"/>
        <v>569.5374965567795</v>
      </c>
      <c r="DQ66" s="197">
        <f t="shared" si="192"/>
        <v>301.99674758654265</v>
      </c>
      <c r="DR66" s="197">
        <f t="shared" si="193"/>
        <v>0</v>
      </c>
      <c r="DS66" s="197">
        <f t="shared" si="194"/>
        <v>569.5374965567795</v>
      </c>
      <c r="DT66" s="199">
        <f t="shared" si="195"/>
        <v>871.53424414332221</v>
      </c>
      <c r="DU66" s="196">
        <f t="shared" si="196"/>
        <v>3326.6493579817152</v>
      </c>
      <c r="DV66" s="197">
        <f t="shared" si="196"/>
        <v>1263.4417471152447</v>
      </c>
      <c r="DW66" s="197">
        <f t="shared" si="196"/>
        <v>0</v>
      </c>
      <c r="DX66" s="197">
        <f t="shared" si="196"/>
        <v>3326.6493579817152</v>
      </c>
      <c r="DY66" s="199">
        <f t="shared" si="196"/>
        <v>4590.0911050969598</v>
      </c>
    </row>
    <row r="67" spans="2:129" x14ac:dyDescent="0.3">
      <c r="B67" s="204">
        <f t="shared" si="197"/>
        <v>5</v>
      </c>
      <c r="C67" s="219" t="s">
        <v>559</v>
      </c>
      <c r="D67" s="760">
        <f>'Arable Inputs'!$E$18</f>
        <v>3.1</v>
      </c>
      <c r="E67" s="760">
        <f>'Arable Inputs'!$E$25</f>
        <v>310.75</v>
      </c>
      <c r="H67" s="762">
        <f>D67*E67</f>
        <v>963.32500000000005</v>
      </c>
      <c r="I67" s="197">
        <f>'Arable NPV'!$E147</f>
        <v>330</v>
      </c>
      <c r="J67" s="197">
        <f t="shared" si="145"/>
        <v>1293.325</v>
      </c>
      <c r="K67" s="197">
        <f>'Arable NPV'!$G147</f>
        <v>300.32802631578949</v>
      </c>
      <c r="L67" s="197">
        <f>'Arable NPV'!$H147</f>
        <v>547.62448399999994</v>
      </c>
      <c r="M67" s="197">
        <f t="shared" si="146"/>
        <v>847.95251031578937</v>
      </c>
      <c r="N67" s="197">
        <f t="shared" si="147"/>
        <v>115.37248968421068</v>
      </c>
      <c r="O67" s="197">
        <f t="shared" si="148"/>
        <v>445.37248968421068</v>
      </c>
      <c r="P67" s="196">
        <f t="shared" si="149"/>
        <v>855.90178543338106</v>
      </c>
      <c r="Q67" s="197">
        <f t="shared" si="150"/>
        <v>293.20072581217738</v>
      </c>
      <c r="R67" s="197">
        <f t="shared" si="151"/>
        <v>753.3948226631735</v>
      </c>
      <c r="S67" s="197">
        <f t="shared" si="152"/>
        <v>102.50696277020762</v>
      </c>
      <c r="T67" s="199">
        <f t="shared" si="153"/>
        <v>395.707688582385</v>
      </c>
      <c r="U67" s="196">
        <f t="shared" si="154"/>
        <v>4182.5511434150958</v>
      </c>
      <c r="V67" s="197">
        <f t="shared" si="154"/>
        <v>1556.642472927422</v>
      </c>
      <c r="W67" s="197">
        <f t="shared" si="154"/>
        <v>5453.4043270550364</v>
      </c>
      <c r="X67" s="197">
        <f t="shared" si="154"/>
        <v>-1270.8531836399395</v>
      </c>
      <c r="Y67" s="199">
        <f t="shared" si="154"/>
        <v>285.78928928748252</v>
      </c>
      <c r="Z67" s="197"/>
      <c r="AB67" s="204">
        <f t="shared" si="198"/>
        <v>5</v>
      </c>
      <c r="AC67" s="219" t="s">
        <v>559</v>
      </c>
      <c r="AD67" s="760">
        <f>'Arable Inputs'!$E$18</f>
        <v>3.1</v>
      </c>
      <c r="AE67" s="760">
        <f>'Arable Inputs'!$E$25</f>
        <v>310.75</v>
      </c>
      <c r="AH67" s="762">
        <f>AD67*AE67</f>
        <v>963.32500000000005</v>
      </c>
      <c r="AI67" s="197">
        <f>'Arable NPV'!$E147</f>
        <v>330</v>
      </c>
      <c r="AJ67" s="197">
        <f t="shared" si="155"/>
        <v>1293.325</v>
      </c>
      <c r="AK67" s="197">
        <f>'Arable NPV'!$G147</f>
        <v>300.32802631578949</v>
      </c>
      <c r="AL67" s="197">
        <f>'Arable NPV'!$H147</f>
        <v>547.62448399999994</v>
      </c>
      <c r="AM67" s="197">
        <f>'Arable NPV'!$I147+0.5*'Arable NPV'!$I147</f>
        <v>1271.9287654736841</v>
      </c>
      <c r="AN67" s="197">
        <f t="shared" si="156"/>
        <v>-308.60376547368401</v>
      </c>
      <c r="AO67" s="197">
        <f t="shared" si="157"/>
        <v>21.396234526315993</v>
      </c>
      <c r="AP67" s="196">
        <f t="shared" si="158"/>
        <v>855.90178543338106</v>
      </c>
      <c r="AQ67" s="197">
        <f t="shared" si="159"/>
        <v>293.20072581217738</v>
      </c>
      <c r="AR67" s="197">
        <f t="shared" si="160"/>
        <v>1130.0922339947601</v>
      </c>
      <c r="AS67" s="197">
        <f t="shared" si="161"/>
        <v>-274.19044856137913</v>
      </c>
      <c r="AT67" s="199">
        <f t="shared" si="162"/>
        <v>19.010277250798236</v>
      </c>
      <c r="AU67" s="196">
        <f t="shared" si="163"/>
        <v>4182.5511434150958</v>
      </c>
      <c r="AV67" s="197">
        <f t="shared" si="163"/>
        <v>1556.642472927422</v>
      </c>
      <c r="AW67" s="197">
        <f t="shared" si="163"/>
        <v>8180.1064905825533</v>
      </c>
      <c r="AX67" s="197">
        <f t="shared" si="163"/>
        <v>-3997.5553471674575</v>
      </c>
      <c r="AY67" s="199">
        <f t="shared" si="164"/>
        <v>-2440.9128742400358</v>
      </c>
      <c r="BB67" s="204">
        <f t="shared" si="199"/>
        <v>5</v>
      </c>
      <c r="BC67" s="219" t="s">
        <v>559</v>
      </c>
      <c r="BD67" s="760">
        <f>'Arable Inputs'!$E$18</f>
        <v>3.1</v>
      </c>
      <c r="BE67" s="760">
        <f>'Arable Inputs'!$E$25</f>
        <v>310.75</v>
      </c>
      <c r="BH67" s="762">
        <f>BD67*BE67</f>
        <v>963.32500000000005</v>
      </c>
      <c r="BI67" s="197">
        <f>'Arable NPV'!$E147</f>
        <v>330</v>
      </c>
      <c r="BJ67" s="197">
        <f t="shared" si="165"/>
        <v>1293.325</v>
      </c>
      <c r="BK67" s="197">
        <f>'Arable NPV'!$G147</f>
        <v>300.32802631578949</v>
      </c>
      <c r="BL67" s="197">
        <f>'Arable NPV'!$H147</f>
        <v>547.62448399999994</v>
      </c>
      <c r="BM67" s="197">
        <f>'Arable NPV'!$I147-0.5*'Arable NPV'!$I147</f>
        <v>423.97625515789468</v>
      </c>
      <c r="BN67" s="197">
        <f t="shared" si="166"/>
        <v>539.34874484210536</v>
      </c>
      <c r="BO67" s="197">
        <f t="shared" si="167"/>
        <v>869.34874484210536</v>
      </c>
      <c r="BP67" s="196">
        <f t="shared" si="168"/>
        <v>855.90178543338106</v>
      </c>
      <c r="BQ67" s="197">
        <f t="shared" si="169"/>
        <v>293.20072581217738</v>
      </c>
      <c r="BR67" s="197">
        <f t="shared" si="170"/>
        <v>376.69741133158675</v>
      </c>
      <c r="BS67" s="197">
        <f t="shared" si="171"/>
        <v>479.20437410179437</v>
      </c>
      <c r="BT67" s="199">
        <f t="shared" si="172"/>
        <v>772.40509991397175</v>
      </c>
      <c r="BU67" s="196">
        <f t="shared" si="173"/>
        <v>4182.5511434150958</v>
      </c>
      <c r="BV67" s="197">
        <f t="shared" si="173"/>
        <v>1556.642472927422</v>
      </c>
      <c r="BW67" s="197">
        <f t="shared" si="173"/>
        <v>2726.7021635275182</v>
      </c>
      <c r="BX67" s="197">
        <f t="shared" si="174"/>
        <v>1455.8489798875785</v>
      </c>
      <c r="BY67" s="199">
        <f t="shared" si="175"/>
        <v>3012.4914528150002</v>
      </c>
      <c r="CB67" s="204">
        <f t="shared" si="200"/>
        <v>5</v>
      </c>
      <c r="CC67" s="219" t="s">
        <v>559</v>
      </c>
      <c r="CD67" s="760">
        <f>'Arable Inputs'!$E$18</f>
        <v>3.1</v>
      </c>
      <c r="CE67" s="760">
        <f>'Arable Inputs'!$E$25</f>
        <v>310.75</v>
      </c>
      <c r="CH67" s="762">
        <f>CD67*CE67</f>
        <v>963.32500000000005</v>
      </c>
      <c r="CI67" s="197">
        <f>'Arable NPV'!$E147</f>
        <v>330</v>
      </c>
      <c r="CJ67" s="197">
        <f t="shared" si="176"/>
        <v>1293.325</v>
      </c>
      <c r="CK67" s="197">
        <f>'Arable NPV'!$G147</f>
        <v>300.32802631578949</v>
      </c>
      <c r="CL67" s="197">
        <f>'Arable NPV'!$H147</f>
        <v>547.62448399999994</v>
      </c>
      <c r="CM67" s="197">
        <f>'Arable NPV'!$I147+'Arable NPV'!$I147</f>
        <v>1695.9050206315787</v>
      </c>
      <c r="CN67" s="197">
        <f t="shared" si="177"/>
        <v>-732.58002063157869</v>
      </c>
      <c r="CO67" s="197">
        <f t="shared" si="178"/>
        <v>-402.58002063157869</v>
      </c>
      <c r="CP67" s="196">
        <f t="shared" si="179"/>
        <v>855.90178543338106</v>
      </c>
      <c r="CQ67" s="197">
        <f t="shared" si="180"/>
        <v>293.20072581217738</v>
      </c>
      <c r="CR67" s="197">
        <f t="shared" si="181"/>
        <v>1506.789645326347</v>
      </c>
      <c r="CS67" s="197">
        <f t="shared" si="182"/>
        <v>-650.88785989296582</v>
      </c>
      <c r="CT67" s="199">
        <f t="shared" si="183"/>
        <v>-357.6871340807885</v>
      </c>
      <c r="CU67" s="196">
        <f t="shared" si="184"/>
        <v>4182.5511434150958</v>
      </c>
      <c r="CV67" s="197">
        <f t="shared" si="184"/>
        <v>1556.642472927422</v>
      </c>
      <c r="CW67" s="197">
        <f t="shared" si="185"/>
        <v>10906.808654110073</v>
      </c>
      <c r="CX67" s="197">
        <f t="shared" si="186"/>
        <v>-6724.2575106949753</v>
      </c>
      <c r="CY67" s="199">
        <f t="shared" si="187"/>
        <v>-5167.6150377675531</v>
      </c>
      <c r="DB67" s="204">
        <f t="shared" si="201"/>
        <v>5</v>
      </c>
      <c r="DC67" s="219" t="s">
        <v>559</v>
      </c>
      <c r="DD67" s="760">
        <f>'Arable Inputs'!$E$18</f>
        <v>3.1</v>
      </c>
      <c r="DE67" s="760">
        <f>'Arable Inputs'!$E$25</f>
        <v>310.75</v>
      </c>
      <c r="DH67" s="762">
        <f>DD67*DE67</f>
        <v>963.32500000000005</v>
      </c>
      <c r="DI67" s="197">
        <f>'Arable NPV'!$E147</f>
        <v>330</v>
      </c>
      <c r="DJ67" s="197">
        <f t="shared" si="188"/>
        <v>1293.325</v>
      </c>
      <c r="DK67" s="197">
        <f>'Arable NPV'!$G147</f>
        <v>300.32802631578949</v>
      </c>
      <c r="DL67" s="197">
        <f>'Arable NPV'!$H147</f>
        <v>547.62448399999994</v>
      </c>
      <c r="DM67" s="197">
        <f>'Arable NPV'!$I147-'Arable NPV'!$I147</f>
        <v>0</v>
      </c>
      <c r="DN67" s="197">
        <f t="shared" si="189"/>
        <v>963.32500000000005</v>
      </c>
      <c r="DO67" s="197">
        <f t="shared" si="190"/>
        <v>1293.325</v>
      </c>
      <c r="DP67" s="196">
        <f t="shared" si="191"/>
        <v>855.90178543338106</v>
      </c>
      <c r="DQ67" s="197">
        <f t="shared" si="192"/>
        <v>293.20072581217738</v>
      </c>
      <c r="DR67" s="197">
        <f t="shared" si="193"/>
        <v>0</v>
      </c>
      <c r="DS67" s="197">
        <f t="shared" si="194"/>
        <v>855.90178543338106</v>
      </c>
      <c r="DT67" s="199">
        <f t="shared" si="195"/>
        <v>1149.1025112455584</v>
      </c>
      <c r="DU67" s="196">
        <f t="shared" si="196"/>
        <v>4182.5511434150958</v>
      </c>
      <c r="DV67" s="197">
        <f t="shared" si="196"/>
        <v>1556.642472927422</v>
      </c>
      <c r="DW67" s="197">
        <f t="shared" si="196"/>
        <v>0</v>
      </c>
      <c r="DX67" s="197">
        <f t="shared" si="196"/>
        <v>4182.5511434150958</v>
      </c>
      <c r="DY67" s="199">
        <f t="shared" si="196"/>
        <v>5739.193616342518</v>
      </c>
    </row>
    <row r="68" spans="2:129" x14ac:dyDescent="0.3">
      <c r="B68" s="204">
        <f t="shared" si="197"/>
        <v>6</v>
      </c>
      <c r="C68" s="219" t="s">
        <v>4</v>
      </c>
      <c r="D68" s="760">
        <f>'Arable Inputs'!$D$18</f>
        <v>5.5</v>
      </c>
      <c r="E68" s="760">
        <f>'Arable Inputs'!$D$25</f>
        <v>210</v>
      </c>
      <c r="F68" s="760">
        <f>'Arable Inputs'!$D$19</f>
        <v>3.9</v>
      </c>
      <c r="G68" s="760">
        <f>'Arable Inputs'!$D$26</f>
        <v>73.449999999999989</v>
      </c>
      <c r="H68" s="762">
        <f>D68*E68+F68*G68</f>
        <v>1441.4549999999999</v>
      </c>
      <c r="I68" s="197">
        <f>'Arable NPV'!$E148</f>
        <v>330</v>
      </c>
      <c r="J68" s="197">
        <f t="shared" si="145"/>
        <v>1771.4549999999999</v>
      </c>
      <c r="K68" s="197">
        <f>'Arable NPV'!$G148</f>
        <v>622.34710631578946</v>
      </c>
      <c r="L68" s="197">
        <f>'Arable NPV'!$H148</f>
        <v>943.00233600000001</v>
      </c>
      <c r="M68" s="197">
        <f t="shared" si="146"/>
        <v>1565.3494423157895</v>
      </c>
      <c r="N68" s="197">
        <f t="shared" si="147"/>
        <v>-123.89444231578955</v>
      </c>
      <c r="O68" s="197">
        <f t="shared" si="148"/>
        <v>206.10555768421045</v>
      </c>
      <c r="P68" s="196">
        <f t="shared" si="149"/>
        <v>1243.4117452944752</v>
      </c>
      <c r="Q68" s="197">
        <f t="shared" si="150"/>
        <v>284.66089884677416</v>
      </c>
      <c r="R68" s="197">
        <f t="shared" si="151"/>
        <v>1350.2841795724523</v>
      </c>
      <c r="S68" s="197">
        <f t="shared" si="152"/>
        <v>-106.87243427797716</v>
      </c>
      <c r="T68" s="199">
        <f t="shared" si="153"/>
        <v>177.788464568797</v>
      </c>
      <c r="U68" s="196">
        <f t="shared" si="154"/>
        <v>5425.9628887095714</v>
      </c>
      <c r="V68" s="197">
        <f t="shared" si="154"/>
        <v>1841.3033717741962</v>
      </c>
      <c r="W68" s="197">
        <f t="shared" si="154"/>
        <v>6803.688506627489</v>
      </c>
      <c r="X68" s="197">
        <f t="shared" si="154"/>
        <v>-1377.7256179179167</v>
      </c>
      <c r="Y68" s="199">
        <f t="shared" si="154"/>
        <v>463.57775385627951</v>
      </c>
      <c r="Z68" s="197"/>
      <c r="AB68" s="204">
        <f t="shared" si="198"/>
        <v>6</v>
      </c>
      <c r="AC68" s="219" t="s">
        <v>4</v>
      </c>
      <c r="AD68" s="760">
        <f>'Arable Inputs'!$D$18</f>
        <v>5.5</v>
      </c>
      <c r="AE68" s="760">
        <f>'Arable Inputs'!$D$25</f>
        <v>210</v>
      </c>
      <c r="AF68" s="760">
        <f>'Arable Inputs'!$D$19</f>
        <v>3.9</v>
      </c>
      <c r="AG68" s="760">
        <f>'Arable Inputs'!$D$26</f>
        <v>73.449999999999989</v>
      </c>
      <c r="AH68" s="762">
        <f>AD68*AE68+AF68*AG68</f>
        <v>1441.4549999999999</v>
      </c>
      <c r="AI68" s="197">
        <f>'Arable NPV'!$E148</f>
        <v>330</v>
      </c>
      <c r="AJ68" s="197">
        <f t="shared" si="155"/>
        <v>1771.4549999999999</v>
      </c>
      <c r="AK68" s="197">
        <f>'Arable NPV'!$G148</f>
        <v>622.34710631578946</v>
      </c>
      <c r="AL68" s="197">
        <f>'Arable NPV'!$H148</f>
        <v>943.00233600000001</v>
      </c>
      <c r="AM68" s="197">
        <f>'Arable NPV'!$I148+0.5*'Arable NPV'!$I148</f>
        <v>2348.024163473684</v>
      </c>
      <c r="AN68" s="197">
        <f t="shared" si="156"/>
        <v>-906.56916347368406</v>
      </c>
      <c r="AO68" s="197">
        <f t="shared" si="157"/>
        <v>-576.56916347368406</v>
      </c>
      <c r="AP68" s="196">
        <f t="shared" si="158"/>
        <v>1243.4117452944752</v>
      </c>
      <c r="AQ68" s="197">
        <f t="shared" si="159"/>
        <v>284.66089884677416</v>
      </c>
      <c r="AR68" s="197">
        <f t="shared" si="160"/>
        <v>2025.4262693586784</v>
      </c>
      <c r="AS68" s="197">
        <f t="shared" si="161"/>
        <v>-782.0145240642031</v>
      </c>
      <c r="AT68" s="199">
        <f t="shared" si="162"/>
        <v>-497.353625217429</v>
      </c>
      <c r="AU68" s="196">
        <f t="shared" si="163"/>
        <v>5425.9628887095714</v>
      </c>
      <c r="AV68" s="197">
        <f t="shared" si="163"/>
        <v>1841.3033717741962</v>
      </c>
      <c r="AW68" s="197">
        <f t="shared" si="163"/>
        <v>10205.532759941232</v>
      </c>
      <c r="AX68" s="197">
        <f t="shared" si="163"/>
        <v>-4779.5698712316607</v>
      </c>
      <c r="AY68" s="199">
        <f t="shared" si="164"/>
        <v>-2938.2664994574648</v>
      </c>
      <c r="BB68" s="204">
        <f t="shared" si="199"/>
        <v>6</v>
      </c>
      <c r="BC68" s="219" t="s">
        <v>4</v>
      </c>
      <c r="BD68" s="760">
        <f>'Arable Inputs'!$D$18</f>
        <v>5.5</v>
      </c>
      <c r="BE68" s="760">
        <f>'Arable Inputs'!$D$25</f>
        <v>210</v>
      </c>
      <c r="BF68" s="760">
        <f>'Arable Inputs'!$D$19</f>
        <v>3.9</v>
      </c>
      <c r="BG68" s="760">
        <f>'Arable Inputs'!$D$26</f>
        <v>73.449999999999989</v>
      </c>
      <c r="BH68" s="762">
        <f>BD68*BE68+BF68*BG68</f>
        <v>1441.4549999999999</v>
      </c>
      <c r="BI68" s="197">
        <f>'Arable NPV'!$E148</f>
        <v>330</v>
      </c>
      <c r="BJ68" s="197">
        <f t="shared" si="165"/>
        <v>1771.4549999999999</v>
      </c>
      <c r="BK68" s="197">
        <f>'Arable NPV'!$G148</f>
        <v>622.34710631578946</v>
      </c>
      <c r="BL68" s="197">
        <f>'Arable NPV'!$H148</f>
        <v>943.00233600000001</v>
      </c>
      <c r="BM68" s="197">
        <f>'Arable NPV'!$I148-0.5*'Arable NPV'!$I148</f>
        <v>782.67472115789474</v>
      </c>
      <c r="BN68" s="197">
        <f t="shared" si="166"/>
        <v>658.78027884210519</v>
      </c>
      <c r="BO68" s="197">
        <f t="shared" si="167"/>
        <v>988.78027884210519</v>
      </c>
      <c r="BP68" s="196">
        <f t="shared" si="168"/>
        <v>1243.4117452944752</v>
      </c>
      <c r="BQ68" s="197">
        <f t="shared" si="169"/>
        <v>284.66089884677416</v>
      </c>
      <c r="BR68" s="197">
        <f t="shared" si="170"/>
        <v>675.14208978622617</v>
      </c>
      <c r="BS68" s="197">
        <f t="shared" si="171"/>
        <v>568.269655508249</v>
      </c>
      <c r="BT68" s="199">
        <f t="shared" si="172"/>
        <v>852.93055435502322</v>
      </c>
      <c r="BU68" s="196">
        <f t="shared" si="173"/>
        <v>5425.9628887095714</v>
      </c>
      <c r="BV68" s="197">
        <f t="shared" si="173"/>
        <v>1841.3033717741962</v>
      </c>
      <c r="BW68" s="197">
        <f t="shared" si="173"/>
        <v>3401.8442533137445</v>
      </c>
      <c r="BX68" s="197">
        <f t="shared" si="174"/>
        <v>2024.1186353958274</v>
      </c>
      <c r="BY68" s="199">
        <f t="shared" si="175"/>
        <v>3865.4220071700233</v>
      </c>
      <c r="CB68" s="204">
        <f t="shared" si="200"/>
        <v>6</v>
      </c>
      <c r="CC68" s="219" t="s">
        <v>4</v>
      </c>
      <c r="CD68" s="760">
        <f>'Arable Inputs'!$D$18</f>
        <v>5.5</v>
      </c>
      <c r="CE68" s="760">
        <f>'Arable Inputs'!$D$25</f>
        <v>210</v>
      </c>
      <c r="CF68" s="760">
        <f>'Arable Inputs'!$D$19</f>
        <v>3.9</v>
      </c>
      <c r="CG68" s="760">
        <f>'Arable Inputs'!$D$26</f>
        <v>73.449999999999989</v>
      </c>
      <c r="CH68" s="762">
        <f>CD68*CE68+CF68*CG68</f>
        <v>1441.4549999999999</v>
      </c>
      <c r="CI68" s="197">
        <f>'Arable NPV'!$E148</f>
        <v>330</v>
      </c>
      <c r="CJ68" s="197">
        <f t="shared" si="176"/>
        <v>1771.4549999999999</v>
      </c>
      <c r="CK68" s="197">
        <f>'Arable NPV'!$G148</f>
        <v>622.34710631578946</v>
      </c>
      <c r="CL68" s="197">
        <f>'Arable NPV'!$H148</f>
        <v>943.00233600000001</v>
      </c>
      <c r="CM68" s="197">
        <f>'Arable NPV'!$I148+'Arable NPV'!$I148</f>
        <v>3130.6988846315789</v>
      </c>
      <c r="CN68" s="197">
        <f t="shared" si="177"/>
        <v>-1689.243884631579</v>
      </c>
      <c r="CO68" s="197">
        <f t="shared" si="178"/>
        <v>-1359.243884631579</v>
      </c>
      <c r="CP68" s="196">
        <f t="shared" si="179"/>
        <v>1243.4117452944752</v>
      </c>
      <c r="CQ68" s="197">
        <f t="shared" si="180"/>
        <v>284.66089884677416</v>
      </c>
      <c r="CR68" s="197">
        <f t="shared" si="181"/>
        <v>2700.5683591449047</v>
      </c>
      <c r="CS68" s="197">
        <f t="shared" si="182"/>
        <v>-1457.1566138504295</v>
      </c>
      <c r="CT68" s="199">
        <f t="shared" si="183"/>
        <v>-1172.4957150036553</v>
      </c>
      <c r="CU68" s="196">
        <f t="shared" si="184"/>
        <v>5425.9628887095714</v>
      </c>
      <c r="CV68" s="197">
        <f t="shared" si="184"/>
        <v>1841.3033717741962</v>
      </c>
      <c r="CW68" s="197">
        <f t="shared" si="185"/>
        <v>13607.377013254978</v>
      </c>
      <c r="CX68" s="197">
        <f t="shared" si="186"/>
        <v>-8181.4141245454048</v>
      </c>
      <c r="CY68" s="199">
        <f t="shared" si="187"/>
        <v>-6340.1107527712084</v>
      </c>
      <c r="DB68" s="204">
        <f t="shared" si="201"/>
        <v>6</v>
      </c>
      <c r="DC68" s="219" t="s">
        <v>4</v>
      </c>
      <c r="DD68" s="760">
        <f>'Arable Inputs'!$D$18</f>
        <v>5.5</v>
      </c>
      <c r="DE68" s="760">
        <f>'Arable Inputs'!$D$25</f>
        <v>210</v>
      </c>
      <c r="DF68" s="760">
        <f>'Arable Inputs'!$D$19</f>
        <v>3.9</v>
      </c>
      <c r="DG68" s="760">
        <f>'Arable Inputs'!$D$26</f>
        <v>73.449999999999989</v>
      </c>
      <c r="DH68" s="762">
        <f>DD68*DE68+DF68*DG68</f>
        <v>1441.4549999999999</v>
      </c>
      <c r="DI68" s="197">
        <f>'Arable NPV'!$E148</f>
        <v>330</v>
      </c>
      <c r="DJ68" s="197">
        <f t="shared" si="188"/>
        <v>1771.4549999999999</v>
      </c>
      <c r="DK68" s="197">
        <f>'Arable NPV'!$G148</f>
        <v>622.34710631578946</v>
      </c>
      <c r="DL68" s="197">
        <f>'Arable NPV'!$H148</f>
        <v>943.00233600000001</v>
      </c>
      <c r="DM68" s="197">
        <f>'Arable NPV'!$I148-'Arable NPV'!$I148</f>
        <v>0</v>
      </c>
      <c r="DN68" s="197">
        <f t="shared" si="189"/>
        <v>1441.4549999999999</v>
      </c>
      <c r="DO68" s="197">
        <f t="shared" si="190"/>
        <v>1771.4549999999999</v>
      </c>
      <c r="DP68" s="196">
        <f t="shared" si="191"/>
        <v>1243.4117452944752</v>
      </c>
      <c r="DQ68" s="197">
        <f t="shared" si="192"/>
        <v>284.66089884677416</v>
      </c>
      <c r="DR68" s="197">
        <f t="shared" si="193"/>
        <v>0</v>
      </c>
      <c r="DS68" s="197">
        <f t="shared" si="194"/>
        <v>1243.4117452944752</v>
      </c>
      <c r="DT68" s="199">
        <f t="shared" si="195"/>
        <v>1528.0726441412494</v>
      </c>
      <c r="DU68" s="196">
        <f t="shared" si="196"/>
        <v>5425.9628887095714</v>
      </c>
      <c r="DV68" s="197">
        <f t="shared" si="196"/>
        <v>1841.3033717741962</v>
      </c>
      <c r="DW68" s="197">
        <f t="shared" si="196"/>
        <v>0</v>
      </c>
      <c r="DX68" s="197">
        <f t="shared" si="196"/>
        <v>5425.9628887095714</v>
      </c>
      <c r="DY68" s="199">
        <f t="shared" si="196"/>
        <v>7267.2662604837678</v>
      </c>
    </row>
    <row r="69" spans="2:129" x14ac:dyDescent="0.3">
      <c r="B69" s="204">
        <f t="shared" si="197"/>
        <v>7</v>
      </c>
      <c r="C69" s="219" t="s">
        <v>560</v>
      </c>
      <c r="D69" s="760">
        <f>'Arable Inputs'!$G$18</f>
        <v>2.1</v>
      </c>
      <c r="E69" s="760">
        <f>'Arable Inputs'!$G$25</f>
        <v>235.55</v>
      </c>
      <c r="H69" s="762">
        <f>D69*E69</f>
        <v>494.65500000000003</v>
      </c>
      <c r="I69" s="197">
        <f>'Arable NPV'!$E149</f>
        <v>330</v>
      </c>
      <c r="J69" s="197">
        <f t="shared" si="145"/>
        <v>824.65499999999997</v>
      </c>
      <c r="K69" s="197">
        <f>'Arable NPV'!$G149</f>
        <v>255.07731473684206</v>
      </c>
      <c r="L69" s="197">
        <f>'Arable NPV'!$H149</f>
        <v>778.68036799999993</v>
      </c>
      <c r="M69" s="197">
        <f t="shared" si="146"/>
        <v>1033.7576827368421</v>
      </c>
      <c r="N69" s="197">
        <f t="shared" si="147"/>
        <v>-539.1026827368421</v>
      </c>
      <c r="O69" s="197">
        <f t="shared" si="148"/>
        <v>-209.1026827368421</v>
      </c>
      <c r="P69" s="196">
        <f t="shared" si="149"/>
        <v>414.26577498985313</v>
      </c>
      <c r="Q69" s="197">
        <f t="shared" si="150"/>
        <v>276.36980470560593</v>
      </c>
      <c r="R69" s="197">
        <f t="shared" si="151"/>
        <v>865.75578451788124</v>
      </c>
      <c r="S69" s="197">
        <f t="shared" si="152"/>
        <v>-451.49000952802817</v>
      </c>
      <c r="T69" s="199">
        <f t="shared" si="153"/>
        <v>-175.12020482242221</v>
      </c>
      <c r="U69" s="196">
        <f t="shared" si="154"/>
        <v>5840.2286636994249</v>
      </c>
      <c r="V69" s="197">
        <f t="shared" si="154"/>
        <v>2117.6731764798024</v>
      </c>
      <c r="W69" s="197">
        <f t="shared" si="154"/>
        <v>7669.4442911453698</v>
      </c>
      <c r="X69" s="197">
        <f t="shared" si="154"/>
        <v>-1829.2156274459448</v>
      </c>
      <c r="Y69" s="199">
        <f t="shared" si="154"/>
        <v>288.45754903385728</v>
      </c>
      <c r="Z69" s="197"/>
      <c r="AB69" s="204">
        <f t="shared" si="198"/>
        <v>7</v>
      </c>
      <c r="AC69" s="219" t="s">
        <v>560</v>
      </c>
      <c r="AD69" s="760">
        <f>'Arable Inputs'!$G$18</f>
        <v>2.1</v>
      </c>
      <c r="AE69" s="760">
        <f>'Arable Inputs'!$G$25</f>
        <v>235.55</v>
      </c>
      <c r="AH69" s="762">
        <f>AD69*AE69</f>
        <v>494.65500000000003</v>
      </c>
      <c r="AI69" s="197">
        <f>'Arable NPV'!$E149</f>
        <v>330</v>
      </c>
      <c r="AJ69" s="197">
        <f t="shared" si="155"/>
        <v>824.65499999999997</v>
      </c>
      <c r="AK69" s="197">
        <f>'Arable NPV'!$G149</f>
        <v>255.07731473684206</v>
      </c>
      <c r="AL69" s="197">
        <f>'Arable NPV'!$H149</f>
        <v>778.68036799999993</v>
      </c>
      <c r="AM69" s="197">
        <f>'Arable NPV'!$I149+0.5*'Arable NPV'!$I149</f>
        <v>1550.6365241052631</v>
      </c>
      <c r="AN69" s="197">
        <f t="shared" si="156"/>
        <v>-1055.9815241052631</v>
      </c>
      <c r="AO69" s="197">
        <f t="shared" si="157"/>
        <v>-725.98152410526313</v>
      </c>
      <c r="AP69" s="196">
        <f t="shared" si="158"/>
        <v>414.26577498985313</v>
      </c>
      <c r="AQ69" s="197">
        <f t="shared" si="159"/>
        <v>276.36980470560593</v>
      </c>
      <c r="AR69" s="197">
        <f t="shared" si="160"/>
        <v>1298.6336767768219</v>
      </c>
      <c r="AS69" s="197">
        <f t="shared" si="161"/>
        <v>-884.36790178696879</v>
      </c>
      <c r="AT69" s="199">
        <f t="shared" si="162"/>
        <v>-607.99809708136286</v>
      </c>
      <c r="AU69" s="196">
        <f t="shared" si="163"/>
        <v>5840.2286636994249</v>
      </c>
      <c r="AV69" s="197">
        <f t="shared" si="163"/>
        <v>2117.6731764798024</v>
      </c>
      <c r="AW69" s="197">
        <f t="shared" si="163"/>
        <v>11504.166436718055</v>
      </c>
      <c r="AX69" s="197">
        <f t="shared" si="163"/>
        <v>-5663.9377730186297</v>
      </c>
      <c r="AY69" s="199">
        <f t="shared" si="164"/>
        <v>-3546.2645965388274</v>
      </c>
      <c r="BB69" s="204">
        <f t="shared" si="199"/>
        <v>7</v>
      </c>
      <c r="BC69" s="219" t="s">
        <v>560</v>
      </c>
      <c r="BD69" s="760">
        <f>'Arable Inputs'!$G$18</f>
        <v>2.1</v>
      </c>
      <c r="BE69" s="760">
        <f>'Arable Inputs'!$G$25</f>
        <v>235.55</v>
      </c>
      <c r="BH69" s="762">
        <f>BD69*BE69</f>
        <v>494.65500000000003</v>
      </c>
      <c r="BI69" s="197">
        <f>'Arable NPV'!$E149</f>
        <v>330</v>
      </c>
      <c r="BJ69" s="197">
        <f t="shared" si="165"/>
        <v>824.65499999999997</v>
      </c>
      <c r="BK69" s="197">
        <f>'Arable NPV'!$G149</f>
        <v>255.07731473684206</v>
      </c>
      <c r="BL69" s="197">
        <f>'Arable NPV'!$H149</f>
        <v>778.68036799999993</v>
      </c>
      <c r="BM69" s="197">
        <f>'Arable NPV'!$I149-0.5*'Arable NPV'!$I149</f>
        <v>516.87884136842104</v>
      </c>
      <c r="BN69" s="197">
        <f t="shared" si="166"/>
        <v>-22.223841368421006</v>
      </c>
      <c r="BO69" s="197">
        <f t="shared" si="167"/>
        <v>307.77615863157894</v>
      </c>
      <c r="BP69" s="196">
        <f t="shared" si="168"/>
        <v>414.26577498985313</v>
      </c>
      <c r="BQ69" s="197">
        <f t="shared" si="169"/>
        <v>276.36980470560593</v>
      </c>
      <c r="BR69" s="197">
        <f t="shared" si="170"/>
        <v>432.87789225894062</v>
      </c>
      <c r="BS69" s="197">
        <f t="shared" si="171"/>
        <v>-18.612117269087516</v>
      </c>
      <c r="BT69" s="199">
        <f t="shared" si="172"/>
        <v>257.75768743651838</v>
      </c>
      <c r="BU69" s="196">
        <f t="shared" si="173"/>
        <v>5840.2286636994249</v>
      </c>
      <c r="BV69" s="197">
        <f t="shared" si="173"/>
        <v>2117.6731764798024</v>
      </c>
      <c r="BW69" s="197">
        <f t="shared" si="173"/>
        <v>3834.7221455726849</v>
      </c>
      <c r="BX69" s="197">
        <f t="shared" si="174"/>
        <v>2005.5065181267398</v>
      </c>
      <c r="BY69" s="199">
        <f t="shared" si="175"/>
        <v>4123.1796946065415</v>
      </c>
      <c r="CB69" s="204">
        <f t="shared" si="200"/>
        <v>7</v>
      </c>
      <c r="CC69" s="219" t="s">
        <v>560</v>
      </c>
      <c r="CD69" s="760">
        <f>'Arable Inputs'!$G$18</f>
        <v>2.1</v>
      </c>
      <c r="CE69" s="760">
        <f>'Arable Inputs'!$G$25</f>
        <v>235.55</v>
      </c>
      <c r="CH69" s="762">
        <f>CD69*CE69</f>
        <v>494.65500000000003</v>
      </c>
      <c r="CI69" s="197">
        <f>'Arable NPV'!$E149</f>
        <v>330</v>
      </c>
      <c r="CJ69" s="197">
        <f t="shared" si="176"/>
        <v>824.65499999999997</v>
      </c>
      <c r="CK69" s="197">
        <f>'Arable NPV'!$G149</f>
        <v>255.07731473684206</v>
      </c>
      <c r="CL69" s="197">
        <f>'Arable NPV'!$H149</f>
        <v>778.68036799999993</v>
      </c>
      <c r="CM69" s="197">
        <f>'Arable NPV'!$I149+'Arable NPV'!$I149</f>
        <v>2067.5153654736841</v>
      </c>
      <c r="CN69" s="197">
        <f t="shared" si="177"/>
        <v>-1572.8603654736842</v>
      </c>
      <c r="CO69" s="197">
        <f t="shared" si="178"/>
        <v>-1242.8603654736842</v>
      </c>
      <c r="CP69" s="196">
        <f t="shared" si="179"/>
        <v>414.26577498985313</v>
      </c>
      <c r="CQ69" s="197">
        <f t="shared" si="180"/>
        <v>276.36980470560593</v>
      </c>
      <c r="CR69" s="197">
        <f t="shared" si="181"/>
        <v>1731.5115690357625</v>
      </c>
      <c r="CS69" s="197">
        <f t="shared" si="182"/>
        <v>-1317.2457940459094</v>
      </c>
      <c r="CT69" s="199">
        <f t="shared" si="183"/>
        <v>-1040.8759893403035</v>
      </c>
      <c r="CU69" s="196">
        <f t="shared" si="184"/>
        <v>5840.2286636994249</v>
      </c>
      <c r="CV69" s="197">
        <f t="shared" si="184"/>
        <v>2117.6731764798024</v>
      </c>
      <c r="CW69" s="197">
        <f t="shared" si="185"/>
        <v>15338.88858229074</v>
      </c>
      <c r="CX69" s="197">
        <f t="shared" si="186"/>
        <v>-9498.6599185913146</v>
      </c>
      <c r="CY69" s="199">
        <f t="shared" si="187"/>
        <v>-7380.9867421115123</v>
      </c>
      <c r="DB69" s="204">
        <f t="shared" si="201"/>
        <v>7</v>
      </c>
      <c r="DC69" s="219" t="s">
        <v>560</v>
      </c>
      <c r="DD69" s="760">
        <f>'Arable Inputs'!$G$18</f>
        <v>2.1</v>
      </c>
      <c r="DE69" s="760">
        <f>'Arable Inputs'!$G$25</f>
        <v>235.55</v>
      </c>
      <c r="DH69" s="762">
        <f>DD69*DE69</f>
        <v>494.65500000000003</v>
      </c>
      <c r="DI69" s="197">
        <f>'Arable NPV'!$E149</f>
        <v>330</v>
      </c>
      <c r="DJ69" s="197">
        <f t="shared" si="188"/>
        <v>824.65499999999997</v>
      </c>
      <c r="DK69" s="197">
        <f>'Arable NPV'!$G149</f>
        <v>255.07731473684206</v>
      </c>
      <c r="DL69" s="197">
        <f>'Arable NPV'!$H149</f>
        <v>778.68036799999993</v>
      </c>
      <c r="DM69" s="197">
        <f>'Arable NPV'!$I149-'Arable NPV'!$I149</f>
        <v>0</v>
      </c>
      <c r="DN69" s="197">
        <f t="shared" si="189"/>
        <v>494.65500000000003</v>
      </c>
      <c r="DO69" s="197">
        <f t="shared" si="190"/>
        <v>824.65499999999997</v>
      </c>
      <c r="DP69" s="196">
        <f t="shared" si="191"/>
        <v>414.26577498985313</v>
      </c>
      <c r="DQ69" s="197">
        <f t="shared" si="192"/>
        <v>276.36980470560593</v>
      </c>
      <c r="DR69" s="197">
        <f t="shared" si="193"/>
        <v>0</v>
      </c>
      <c r="DS69" s="197">
        <f t="shared" si="194"/>
        <v>414.26577498985313</v>
      </c>
      <c r="DT69" s="199">
        <f t="shared" si="195"/>
        <v>690.635579695459</v>
      </c>
      <c r="DU69" s="196">
        <f t="shared" si="196"/>
        <v>5840.2286636994249</v>
      </c>
      <c r="DV69" s="197">
        <f t="shared" si="196"/>
        <v>2117.6731764798024</v>
      </c>
      <c r="DW69" s="197">
        <f t="shared" si="196"/>
        <v>0</v>
      </c>
      <c r="DX69" s="197">
        <f t="shared" si="196"/>
        <v>5840.2286636994249</v>
      </c>
      <c r="DY69" s="199">
        <f t="shared" si="196"/>
        <v>7957.9018401792273</v>
      </c>
    </row>
    <row r="70" spans="2:129" x14ac:dyDescent="0.3">
      <c r="B70" s="204">
        <f t="shared" si="197"/>
        <v>8</v>
      </c>
      <c r="C70" s="219" t="s">
        <v>28</v>
      </c>
      <c r="D70" s="760">
        <f>'Arable Inputs'!$H$18</f>
        <v>9.4</v>
      </c>
      <c r="E70" s="760">
        <f>'Arable Inputs'!$H$25</f>
        <v>94.285714285714292</v>
      </c>
      <c r="H70" s="762">
        <f>D70*E70</f>
        <v>886.28571428571433</v>
      </c>
      <c r="I70" s="197">
        <f>'Arable NPV'!$E150</f>
        <v>330</v>
      </c>
      <c r="J70" s="197">
        <f t="shared" si="145"/>
        <v>1216.2857142857142</v>
      </c>
      <c r="K70" s="197">
        <f>'Arable NPV'!$G150</f>
        <v>566.71194999999989</v>
      </c>
      <c r="L70" s="197">
        <f>'Arable NPV'!$H150</f>
        <v>691.46913599999993</v>
      </c>
      <c r="M70" s="197">
        <f t="shared" si="146"/>
        <v>1258.1810859999998</v>
      </c>
      <c r="N70" s="197">
        <f t="shared" si="147"/>
        <v>-371.89537171428549</v>
      </c>
      <c r="O70" s="197">
        <f t="shared" si="148"/>
        <v>-41.895371714285602</v>
      </c>
      <c r="P70" s="196">
        <f t="shared" si="149"/>
        <v>720.63139091059531</v>
      </c>
      <c r="Q70" s="197">
        <f t="shared" si="150"/>
        <v>268.32019874330672</v>
      </c>
      <c r="R70" s="197">
        <f t="shared" si="151"/>
        <v>1023.016360759362</v>
      </c>
      <c r="S70" s="197">
        <f t="shared" si="152"/>
        <v>-302.38496984876673</v>
      </c>
      <c r="T70" s="199">
        <f t="shared" si="153"/>
        <v>-34.064771105460075</v>
      </c>
      <c r="U70" s="196">
        <f t="shared" si="154"/>
        <v>6560.8600546100206</v>
      </c>
      <c r="V70" s="197">
        <f t="shared" si="154"/>
        <v>2385.9933752231091</v>
      </c>
      <c r="W70" s="197">
        <f t="shared" si="154"/>
        <v>8692.460651904732</v>
      </c>
      <c r="X70" s="197">
        <f t="shared" si="154"/>
        <v>-2131.6005972947114</v>
      </c>
      <c r="Y70" s="199">
        <f t="shared" si="154"/>
        <v>254.39277792839721</v>
      </c>
      <c r="Z70" s="197"/>
      <c r="AB70" s="204">
        <f t="shared" si="198"/>
        <v>8</v>
      </c>
      <c r="AC70" s="219" t="s">
        <v>28</v>
      </c>
      <c r="AD70" s="760">
        <f>'Arable Inputs'!$H$18</f>
        <v>9.4</v>
      </c>
      <c r="AE70" s="760">
        <f>'Arable Inputs'!$H$25</f>
        <v>94.285714285714292</v>
      </c>
      <c r="AH70" s="762">
        <f>AD70*AE70</f>
        <v>886.28571428571433</v>
      </c>
      <c r="AI70" s="197">
        <f>'Arable NPV'!$E150</f>
        <v>330</v>
      </c>
      <c r="AJ70" s="197">
        <f t="shared" si="155"/>
        <v>1216.2857142857142</v>
      </c>
      <c r="AK70" s="197">
        <f>'Arable NPV'!$G150</f>
        <v>566.71194999999989</v>
      </c>
      <c r="AL70" s="197">
        <f>'Arable NPV'!$H150</f>
        <v>691.46913599999993</v>
      </c>
      <c r="AM70" s="197">
        <f>'Arable NPV'!$I150+0.5*'Arable NPV'!$I150</f>
        <v>1887.2716289999998</v>
      </c>
      <c r="AN70" s="197">
        <f t="shared" si="156"/>
        <v>-1000.9859147142855</v>
      </c>
      <c r="AO70" s="197">
        <f t="shared" si="157"/>
        <v>-670.98591471428563</v>
      </c>
      <c r="AP70" s="196">
        <f t="shared" si="158"/>
        <v>720.63139091059531</v>
      </c>
      <c r="AQ70" s="197">
        <f t="shared" si="159"/>
        <v>268.32019874330672</v>
      </c>
      <c r="AR70" s="197">
        <f t="shared" si="160"/>
        <v>1534.5245411390431</v>
      </c>
      <c r="AS70" s="197">
        <f t="shared" si="161"/>
        <v>-813.89315022844778</v>
      </c>
      <c r="AT70" s="199">
        <f t="shared" si="162"/>
        <v>-545.57295148514117</v>
      </c>
      <c r="AU70" s="196">
        <f t="shared" si="163"/>
        <v>6560.8600546100206</v>
      </c>
      <c r="AV70" s="197">
        <f t="shared" si="163"/>
        <v>2385.9933752231091</v>
      </c>
      <c r="AW70" s="197">
        <f t="shared" si="163"/>
        <v>13038.690977857097</v>
      </c>
      <c r="AX70" s="197">
        <f t="shared" si="163"/>
        <v>-6477.8309232470774</v>
      </c>
      <c r="AY70" s="199">
        <f t="shared" si="164"/>
        <v>-4091.8375480239683</v>
      </c>
      <c r="BB70" s="204">
        <f t="shared" si="199"/>
        <v>8</v>
      </c>
      <c r="BC70" s="219" t="s">
        <v>28</v>
      </c>
      <c r="BD70" s="760">
        <f>'Arable Inputs'!$H$18</f>
        <v>9.4</v>
      </c>
      <c r="BE70" s="760">
        <f>'Arable Inputs'!$H$25</f>
        <v>94.285714285714292</v>
      </c>
      <c r="BH70" s="762">
        <f>BD70*BE70</f>
        <v>886.28571428571433</v>
      </c>
      <c r="BI70" s="197">
        <f>'Arable NPV'!$E150</f>
        <v>330</v>
      </c>
      <c r="BJ70" s="197">
        <f t="shared" si="165"/>
        <v>1216.2857142857142</v>
      </c>
      <c r="BK70" s="197">
        <f>'Arable NPV'!$G150</f>
        <v>566.71194999999989</v>
      </c>
      <c r="BL70" s="197">
        <f>'Arable NPV'!$H150</f>
        <v>691.46913599999993</v>
      </c>
      <c r="BM70" s="197">
        <f>'Arable NPV'!$I150-0.5*'Arable NPV'!$I150</f>
        <v>629.09054299999991</v>
      </c>
      <c r="BN70" s="197">
        <f t="shared" si="166"/>
        <v>257.19517128571442</v>
      </c>
      <c r="BO70" s="197">
        <f t="shared" si="167"/>
        <v>587.19517128571431</v>
      </c>
      <c r="BP70" s="196">
        <f t="shared" si="168"/>
        <v>720.63139091059531</v>
      </c>
      <c r="BQ70" s="197">
        <f t="shared" si="169"/>
        <v>268.32019874330672</v>
      </c>
      <c r="BR70" s="197">
        <f t="shared" si="170"/>
        <v>511.50818037968099</v>
      </c>
      <c r="BS70" s="197">
        <f t="shared" si="171"/>
        <v>209.12321053091429</v>
      </c>
      <c r="BT70" s="199">
        <f t="shared" si="172"/>
        <v>477.44340927422093</v>
      </c>
      <c r="BU70" s="196">
        <f t="shared" si="173"/>
        <v>6560.8600546100206</v>
      </c>
      <c r="BV70" s="197">
        <f t="shared" si="173"/>
        <v>2385.9933752231091</v>
      </c>
      <c r="BW70" s="197">
        <f t="shared" si="173"/>
        <v>4346.230325952366</v>
      </c>
      <c r="BX70" s="197">
        <f t="shared" si="174"/>
        <v>2214.6297286576541</v>
      </c>
      <c r="BY70" s="199">
        <f t="shared" si="175"/>
        <v>4600.6231038807628</v>
      </c>
      <c r="CB70" s="204">
        <f t="shared" si="200"/>
        <v>8</v>
      </c>
      <c r="CC70" s="219" t="s">
        <v>28</v>
      </c>
      <c r="CD70" s="760">
        <f>'Arable Inputs'!$H$18</f>
        <v>9.4</v>
      </c>
      <c r="CE70" s="760">
        <f>'Arable Inputs'!$H$25</f>
        <v>94.285714285714292</v>
      </c>
      <c r="CH70" s="762">
        <f>CD70*CE70</f>
        <v>886.28571428571433</v>
      </c>
      <c r="CI70" s="197">
        <f>'Arable NPV'!$E150</f>
        <v>330</v>
      </c>
      <c r="CJ70" s="197">
        <f t="shared" si="176"/>
        <v>1216.2857142857142</v>
      </c>
      <c r="CK70" s="197">
        <f>'Arable NPV'!$G150</f>
        <v>566.71194999999989</v>
      </c>
      <c r="CL70" s="197">
        <f>'Arable NPV'!$H150</f>
        <v>691.46913599999993</v>
      </c>
      <c r="CM70" s="197">
        <f>'Arable NPV'!$I150+'Arable NPV'!$I150</f>
        <v>2516.3621719999996</v>
      </c>
      <c r="CN70" s="197">
        <f t="shared" si="177"/>
        <v>-1630.0764577142854</v>
      </c>
      <c r="CO70" s="197">
        <f t="shared" si="178"/>
        <v>-1300.0764577142854</v>
      </c>
      <c r="CP70" s="196">
        <f t="shared" si="179"/>
        <v>720.63139091059531</v>
      </c>
      <c r="CQ70" s="197">
        <f t="shared" si="180"/>
        <v>268.32019874330672</v>
      </c>
      <c r="CR70" s="197">
        <f t="shared" si="181"/>
        <v>2046.032721518724</v>
      </c>
      <c r="CS70" s="197">
        <f t="shared" si="182"/>
        <v>-1325.4013306081288</v>
      </c>
      <c r="CT70" s="199">
        <f t="shared" si="183"/>
        <v>-1057.0811318648221</v>
      </c>
      <c r="CU70" s="196">
        <f t="shared" si="184"/>
        <v>6560.8600546100206</v>
      </c>
      <c r="CV70" s="197">
        <f t="shared" si="184"/>
        <v>2385.9933752231091</v>
      </c>
      <c r="CW70" s="197">
        <f t="shared" si="185"/>
        <v>17384.921303809464</v>
      </c>
      <c r="CX70" s="197">
        <f t="shared" si="186"/>
        <v>-10824.061249199443</v>
      </c>
      <c r="CY70" s="199">
        <f t="shared" si="187"/>
        <v>-8438.0678739763352</v>
      </c>
      <c r="DB70" s="204">
        <f t="shared" si="201"/>
        <v>8</v>
      </c>
      <c r="DC70" s="219" t="s">
        <v>28</v>
      </c>
      <c r="DD70" s="760">
        <f>'Arable Inputs'!$H$18</f>
        <v>9.4</v>
      </c>
      <c r="DE70" s="760">
        <f>'Arable Inputs'!$H$25</f>
        <v>94.285714285714292</v>
      </c>
      <c r="DH70" s="762">
        <f>DD70*DE70</f>
        <v>886.28571428571433</v>
      </c>
      <c r="DI70" s="197">
        <f>'Arable NPV'!$E150</f>
        <v>330</v>
      </c>
      <c r="DJ70" s="197">
        <f t="shared" si="188"/>
        <v>1216.2857142857142</v>
      </c>
      <c r="DK70" s="197">
        <f>'Arable NPV'!$G150</f>
        <v>566.71194999999989</v>
      </c>
      <c r="DL70" s="197">
        <f>'Arable NPV'!$H150</f>
        <v>691.46913599999993</v>
      </c>
      <c r="DM70" s="197">
        <f>'Arable NPV'!$I150-'Arable NPV'!$I150</f>
        <v>0</v>
      </c>
      <c r="DN70" s="197">
        <f t="shared" si="189"/>
        <v>886.28571428571433</v>
      </c>
      <c r="DO70" s="197">
        <f t="shared" si="190"/>
        <v>1216.2857142857142</v>
      </c>
      <c r="DP70" s="196">
        <f t="shared" si="191"/>
        <v>720.63139091059531</v>
      </c>
      <c r="DQ70" s="197">
        <f t="shared" si="192"/>
        <v>268.32019874330672</v>
      </c>
      <c r="DR70" s="197">
        <f t="shared" si="193"/>
        <v>0</v>
      </c>
      <c r="DS70" s="197">
        <f t="shared" si="194"/>
        <v>720.63139091059531</v>
      </c>
      <c r="DT70" s="199">
        <f t="shared" si="195"/>
        <v>988.95158965390192</v>
      </c>
      <c r="DU70" s="196">
        <f t="shared" si="196"/>
        <v>6560.8600546100206</v>
      </c>
      <c r="DV70" s="197">
        <f t="shared" si="196"/>
        <v>2385.9933752231091</v>
      </c>
      <c r="DW70" s="197">
        <f t="shared" si="196"/>
        <v>0</v>
      </c>
      <c r="DX70" s="197">
        <f t="shared" si="196"/>
        <v>6560.8600546100206</v>
      </c>
      <c r="DY70" s="199">
        <f t="shared" si="196"/>
        <v>8946.8534298331288</v>
      </c>
    </row>
    <row r="71" spans="2:129" x14ac:dyDescent="0.3">
      <c r="B71" s="204">
        <f t="shared" si="197"/>
        <v>9</v>
      </c>
      <c r="C71" s="219" t="s">
        <v>5</v>
      </c>
      <c r="D71" s="760">
        <f>'Arable Inputs'!$F$18</f>
        <v>2.6</v>
      </c>
      <c r="E71" s="760">
        <f>'Arable Inputs'!$F$25</f>
        <v>196.99</v>
      </c>
      <c r="F71" s="760">
        <f>'Arable Inputs'!$F$19</f>
        <v>2.6</v>
      </c>
      <c r="G71" s="760">
        <f>'Arable Inputs'!$F$26</f>
        <v>42.374999999999993</v>
      </c>
      <c r="H71" s="762">
        <f>D71*E71+F71*G71</f>
        <v>622.34900000000005</v>
      </c>
      <c r="I71" s="197">
        <f>'Arable NPV'!$E151</f>
        <v>330</v>
      </c>
      <c r="J71" s="197">
        <f t="shared" si="145"/>
        <v>952.34900000000005</v>
      </c>
      <c r="K71" s="197">
        <f>'Arable NPV'!$G151</f>
        <v>327.77441459954235</v>
      </c>
      <c r="L71" s="197">
        <f>'Arable NPV'!$H151</f>
        <v>704.91322685714283</v>
      </c>
      <c r="M71" s="197">
        <f t="shared" si="146"/>
        <v>1032.6876414566852</v>
      </c>
      <c r="N71" s="197">
        <f t="shared" si="147"/>
        <v>-410.3386414566852</v>
      </c>
      <c r="O71" s="197">
        <f t="shared" si="148"/>
        <v>-80.338641456685195</v>
      </c>
      <c r="P71" s="196">
        <f t="shared" si="149"/>
        <v>491.28804756604364</v>
      </c>
      <c r="Q71" s="197">
        <f t="shared" si="150"/>
        <v>260.50504732359883</v>
      </c>
      <c r="R71" s="197">
        <f t="shared" si="151"/>
        <v>815.21316032778611</v>
      </c>
      <c r="S71" s="197">
        <f t="shared" si="152"/>
        <v>-323.92511276174247</v>
      </c>
      <c r="T71" s="199">
        <f t="shared" si="153"/>
        <v>-63.420065438143681</v>
      </c>
      <c r="U71" s="196">
        <f t="shared" si="154"/>
        <v>7052.1481021760646</v>
      </c>
      <c r="V71" s="197">
        <f t="shared" si="154"/>
        <v>2646.4984225467078</v>
      </c>
      <c r="W71" s="197">
        <f t="shared" si="154"/>
        <v>9507.6738122325187</v>
      </c>
      <c r="X71" s="197">
        <f t="shared" si="154"/>
        <v>-2455.525710056454</v>
      </c>
      <c r="Y71" s="199">
        <f t="shared" si="154"/>
        <v>190.97271249025351</v>
      </c>
      <c r="Z71" s="197"/>
      <c r="AB71" s="204">
        <f t="shared" si="198"/>
        <v>9</v>
      </c>
      <c r="AC71" s="219" t="s">
        <v>5</v>
      </c>
      <c r="AD71" s="760">
        <f>'Arable Inputs'!$F$18</f>
        <v>2.6</v>
      </c>
      <c r="AE71" s="760">
        <f>'Arable Inputs'!$F$25</f>
        <v>196.99</v>
      </c>
      <c r="AF71" s="760">
        <f>'Arable Inputs'!$F$19</f>
        <v>2.6</v>
      </c>
      <c r="AG71" s="760">
        <f>'Arable Inputs'!$F$26</f>
        <v>42.374999999999993</v>
      </c>
      <c r="AH71" s="762">
        <f>AD71*AE71+AF71*AG71</f>
        <v>622.34900000000005</v>
      </c>
      <c r="AI71" s="197">
        <f>'Arable NPV'!$E151</f>
        <v>330</v>
      </c>
      <c r="AJ71" s="197">
        <f t="shared" si="155"/>
        <v>952.34900000000005</v>
      </c>
      <c r="AK71" s="197">
        <f>'Arable NPV'!$G151</f>
        <v>327.77441459954235</v>
      </c>
      <c r="AL71" s="197">
        <f>'Arable NPV'!$H151</f>
        <v>704.91322685714283</v>
      </c>
      <c r="AM71" s="197">
        <f>'Arable NPV'!$I151+0.5*'Arable NPV'!$I151</f>
        <v>1549.031462185028</v>
      </c>
      <c r="AN71" s="197">
        <f t="shared" si="156"/>
        <v>-926.68246218502793</v>
      </c>
      <c r="AO71" s="197">
        <f t="shared" si="157"/>
        <v>-596.68246218502793</v>
      </c>
      <c r="AP71" s="196">
        <f t="shared" si="158"/>
        <v>491.28804756604364</v>
      </c>
      <c r="AQ71" s="197">
        <f t="shared" si="159"/>
        <v>260.50504732359883</v>
      </c>
      <c r="AR71" s="197">
        <f t="shared" si="160"/>
        <v>1222.8197404916793</v>
      </c>
      <c r="AS71" s="197">
        <f t="shared" si="161"/>
        <v>-731.53169292563564</v>
      </c>
      <c r="AT71" s="199">
        <f t="shared" si="162"/>
        <v>-471.02664560203687</v>
      </c>
      <c r="AU71" s="196">
        <f t="shared" si="163"/>
        <v>7052.1481021760646</v>
      </c>
      <c r="AV71" s="197">
        <f t="shared" si="163"/>
        <v>2646.4984225467078</v>
      </c>
      <c r="AW71" s="197">
        <f t="shared" si="163"/>
        <v>14261.510718348776</v>
      </c>
      <c r="AX71" s="197">
        <f t="shared" si="163"/>
        <v>-7209.3626161727134</v>
      </c>
      <c r="AY71" s="199">
        <f t="shared" si="164"/>
        <v>-4562.8641936260055</v>
      </c>
      <c r="BB71" s="204">
        <f t="shared" si="199"/>
        <v>9</v>
      </c>
      <c r="BC71" s="219" t="s">
        <v>5</v>
      </c>
      <c r="BD71" s="760">
        <f>'Arable Inputs'!$F$18</f>
        <v>2.6</v>
      </c>
      <c r="BE71" s="760">
        <f>'Arable Inputs'!$F$25</f>
        <v>196.99</v>
      </c>
      <c r="BF71" s="760">
        <f>'Arable Inputs'!$F$19</f>
        <v>2.6</v>
      </c>
      <c r="BG71" s="760">
        <f>'Arable Inputs'!$F$26</f>
        <v>42.374999999999993</v>
      </c>
      <c r="BH71" s="762">
        <f>BD71*BE71+BF71*BG71</f>
        <v>622.34900000000005</v>
      </c>
      <c r="BI71" s="197">
        <f>'Arable NPV'!$E151</f>
        <v>330</v>
      </c>
      <c r="BJ71" s="197">
        <f t="shared" si="165"/>
        <v>952.34900000000005</v>
      </c>
      <c r="BK71" s="197">
        <f>'Arable NPV'!$G151</f>
        <v>327.77441459954235</v>
      </c>
      <c r="BL71" s="197">
        <f>'Arable NPV'!$H151</f>
        <v>704.91322685714283</v>
      </c>
      <c r="BM71" s="197">
        <f>'Arable NPV'!$I151-0.5*'Arable NPV'!$I151</f>
        <v>516.34382072834262</v>
      </c>
      <c r="BN71" s="197">
        <f t="shared" si="166"/>
        <v>106.00517927165743</v>
      </c>
      <c r="BO71" s="197">
        <f t="shared" si="167"/>
        <v>436.00517927165743</v>
      </c>
      <c r="BP71" s="196">
        <f t="shared" si="168"/>
        <v>491.28804756604364</v>
      </c>
      <c r="BQ71" s="197">
        <f t="shared" si="169"/>
        <v>260.50504732359883</v>
      </c>
      <c r="BR71" s="197">
        <f t="shared" si="170"/>
        <v>407.60658016389306</v>
      </c>
      <c r="BS71" s="197">
        <f t="shared" si="171"/>
        <v>83.681467402150588</v>
      </c>
      <c r="BT71" s="199">
        <f t="shared" si="172"/>
        <v>344.18651472574942</v>
      </c>
      <c r="BU71" s="196">
        <f t="shared" si="173"/>
        <v>7052.1481021760646</v>
      </c>
      <c r="BV71" s="197">
        <f t="shared" si="173"/>
        <v>2646.4984225467078</v>
      </c>
      <c r="BW71" s="197">
        <f t="shared" si="173"/>
        <v>4753.8369061162593</v>
      </c>
      <c r="BX71" s="197">
        <f t="shared" si="174"/>
        <v>2298.3111960598048</v>
      </c>
      <c r="BY71" s="199">
        <f t="shared" si="175"/>
        <v>4944.8096186065122</v>
      </c>
      <c r="CB71" s="204">
        <f t="shared" si="200"/>
        <v>9</v>
      </c>
      <c r="CC71" s="219" t="s">
        <v>5</v>
      </c>
      <c r="CD71" s="760">
        <f>'Arable Inputs'!$F$18</f>
        <v>2.6</v>
      </c>
      <c r="CE71" s="760">
        <f>'Arable Inputs'!$F$25</f>
        <v>196.99</v>
      </c>
      <c r="CF71" s="760">
        <f>'Arable Inputs'!$F$19</f>
        <v>2.6</v>
      </c>
      <c r="CG71" s="760">
        <f>'Arable Inputs'!$F$26</f>
        <v>42.374999999999993</v>
      </c>
      <c r="CH71" s="762">
        <f>CD71*CE71+CF71*CG71</f>
        <v>622.34900000000005</v>
      </c>
      <c r="CI71" s="197">
        <f>'Arable NPV'!$E151</f>
        <v>330</v>
      </c>
      <c r="CJ71" s="197">
        <f t="shared" si="176"/>
        <v>952.34900000000005</v>
      </c>
      <c r="CK71" s="197">
        <f>'Arable NPV'!$G151</f>
        <v>327.77441459954235</v>
      </c>
      <c r="CL71" s="197">
        <f>'Arable NPV'!$H151</f>
        <v>704.91322685714283</v>
      </c>
      <c r="CM71" s="197">
        <f>'Arable NPV'!$I151+'Arable NPV'!$I151</f>
        <v>2065.3752829133705</v>
      </c>
      <c r="CN71" s="197">
        <f t="shared" si="177"/>
        <v>-1443.0262829133703</v>
      </c>
      <c r="CO71" s="197">
        <f t="shared" si="178"/>
        <v>-1113.0262829133703</v>
      </c>
      <c r="CP71" s="196">
        <f t="shared" si="179"/>
        <v>491.28804756604364</v>
      </c>
      <c r="CQ71" s="197">
        <f t="shared" si="180"/>
        <v>260.50504732359883</v>
      </c>
      <c r="CR71" s="197">
        <f t="shared" si="181"/>
        <v>1630.4263206555722</v>
      </c>
      <c r="CS71" s="197">
        <f t="shared" si="182"/>
        <v>-1139.1382730895286</v>
      </c>
      <c r="CT71" s="199">
        <f t="shared" si="183"/>
        <v>-878.63322576592975</v>
      </c>
      <c r="CU71" s="196">
        <f t="shared" si="184"/>
        <v>7052.1481021760646</v>
      </c>
      <c r="CV71" s="197">
        <f t="shared" si="184"/>
        <v>2646.4984225467078</v>
      </c>
      <c r="CW71" s="197">
        <f t="shared" si="185"/>
        <v>19015.347624465037</v>
      </c>
      <c r="CX71" s="197">
        <f t="shared" si="186"/>
        <v>-11963.199522288973</v>
      </c>
      <c r="CY71" s="199">
        <f t="shared" si="187"/>
        <v>-9316.7010997422658</v>
      </c>
      <c r="DB71" s="204">
        <f t="shared" si="201"/>
        <v>9</v>
      </c>
      <c r="DC71" s="219" t="s">
        <v>5</v>
      </c>
      <c r="DD71" s="760">
        <f>'Arable Inputs'!$F$18</f>
        <v>2.6</v>
      </c>
      <c r="DE71" s="760">
        <f>'Arable Inputs'!$F$25</f>
        <v>196.99</v>
      </c>
      <c r="DF71" s="760">
        <f>'Arable Inputs'!$F$19</f>
        <v>2.6</v>
      </c>
      <c r="DG71" s="760">
        <f>'Arable Inputs'!$F$26</f>
        <v>42.374999999999993</v>
      </c>
      <c r="DH71" s="762">
        <f>DD71*DE71+DF71*DG71</f>
        <v>622.34900000000005</v>
      </c>
      <c r="DI71" s="197">
        <f>'Arable NPV'!$E151</f>
        <v>330</v>
      </c>
      <c r="DJ71" s="197">
        <f t="shared" si="188"/>
        <v>952.34900000000005</v>
      </c>
      <c r="DK71" s="197">
        <f>'Arable NPV'!$G151</f>
        <v>327.77441459954235</v>
      </c>
      <c r="DL71" s="197">
        <f>'Arable NPV'!$H151</f>
        <v>704.91322685714283</v>
      </c>
      <c r="DM71" s="197">
        <f>'Arable NPV'!$I151-'Arable NPV'!$I151</f>
        <v>0</v>
      </c>
      <c r="DN71" s="197">
        <f t="shared" si="189"/>
        <v>622.34900000000005</v>
      </c>
      <c r="DO71" s="197">
        <f t="shared" si="190"/>
        <v>952.34900000000005</v>
      </c>
      <c r="DP71" s="196">
        <f t="shared" si="191"/>
        <v>491.28804756604364</v>
      </c>
      <c r="DQ71" s="197">
        <f t="shared" si="192"/>
        <v>260.50504732359883</v>
      </c>
      <c r="DR71" s="197">
        <f t="shared" si="193"/>
        <v>0</v>
      </c>
      <c r="DS71" s="197">
        <f t="shared" si="194"/>
        <v>491.28804756604364</v>
      </c>
      <c r="DT71" s="199">
        <f t="shared" si="195"/>
        <v>751.79309488964248</v>
      </c>
      <c r="DU71" s="196">
        <f t="shared" si="196"/>
        <v>7052.1481021760646</v>
      </c>
      <c r="DV71" s="197">
        <f t="shared" si="196"/>
        <v>2646.4984225467078</v>
      </c>
      <c r="DW71" s="197">
        <f t="shared" si="196"/>
        <v>0</v>
      </c>
      <c r="DX71" s="197">
        <f t="shared" si="196"/>
        <v>7052.1481021760646</v>
      </c>
      <c r="DY71" s="199">
        <f t="shared" si="196"/>
        <v>9698.6465247227716</v>
      </c>
    </row>
    <row r="72" spans="2:129" x14ac:dyDescent="0.3">
      <c r="B72" s="204">
        <f t="shared" si="197"/>
        <v>10</v>
      </c>
      <c r="C72" s="219" t="s">
        <v>559</v>
      </c>
      <c r="D72" s="760">
        <f>'Arable Inputs'!$E$18</f>
        <v>3.1</v>
      </c>
      <c r="E72" s="760">
        <f>'Arable Inputs'!$E$25</f>
        <v>310.75</v>
      </c>
      <c r="H72" s="762">
        <f>D72*E72</f>
        <v>963.32500000000005</v>
      </c>
      <c r="I72" s="197">
        <f>'Arable NPV'!$E152</f>
        <v>330</v>
      </c>
      <c r="J72" s="197">
        <f t="shared" si="145"/>
        <v>1293.325</v>
      </c>
      <c r="K72" s="197">
        <f>'Arable NPV'!$G152</f>
        <v>300.32802631578949</v>
      </c>
      <c r="L72" s="197">
        <f>'Arable NPV'!$H152</f>
        <v>547.62448399999994</v>
      </c>
      <c r="M72" s="197">
        <f t="shared" si="146"/>
        <v>847.95251031578937</v>
      </c>
      <c r="N72" s="197">
        <f t="shared" si="147"/>
        <v>115.37248968421068</v>
      </c>
      <c r="O72" s="197">
        <f t="shared" si="148"/>
        <v>445.37248968421068</v>
      </c>
      <c r="P72" s="196">
        <f t="shared" si="149"/>
        <v>738.30839868492444</v>
      </c>
      <c r="Q72" s="197">
        <f t="shared" si="150"/>
        <v>252.91752167339689</v>
      </c>
      <c r="R72" s="197">
        <f t="shared" si="151"/>
        <v>649.88499213880289</v>
      </c>
      <c r="S72" s="197">
        <f t="shared" si="152"/>
        <v>88.423406546121555</v>
      </c>
      <c r="T72" s="199">
        <f t="shared" si="153"/>
        <v>341.34092821951845</v>
      </c>
      <c r="U72" s="196">
        <f t="shared" si="154"/>
        <v>7790.4565008609889</v>
      </c>
      <c r="V72" s="197">
        <f t="shared" si="154"/>
        <v>2899.4159442201048</v>
      </c>
      <c r="W72" s="197">
        <f t="shared" si="154"/>
        <v>10157.558804371321</v>
      </c>
      <c r="X72" s="197">
        <f t="shared" si="154"/>
        <v>-2367.1023035103326</v>
      </c>
      <c r="Y72" s="199">
        <f t="shared" si="154"/>
        <v>532.31364070977202</v>
      </c>
      <c r="Z72" s="197"/>
      <c r="AB72" s="204">
        <f t="shared" si="198"/>
        <v>10</v>
      </c>
      <c r="AC72" s="219" t="s">
        <v>559</v>
      </c>
      <c r="AD72" s="760">
        <f>'Arable Inputs'!$E$18</f>
        <v>3.1</v>
      </c>
      <c r="AE72" s="760">
        <f>'Arable Inputs'!$E$25</f>
        <v>310.75</v>
      </c>
      <c r="AH72" s="762">
        <f>AD72*AE72</f>
        <v>963.32500000000005</v>
      </c>
      <c r="AI72" s="197">
        <f>'Arable NPV'!$E152</f>
        <v>330</v>
      </c>
      <c r="AJ72" s="197">
        <f t="shared" si="155"/>
        <v>1293.325</v>
      </c>
      <c r="AK72" s="197">
        <f>'Arable NPV'!$G152</f>
        <v>300.32802631578949</v>
      </c>
      <c r="AL72" s="197">
        <f>'Arable NPV'!$H152</f>
        <v>547.62448399999994</v>
      </c>
      <c r="AM72" s="197">
        <f>'Arable NPV'!$I152+0.5*'Arable NPV'!$I152</f>
        <v>1271.9287654736841</v>
      </c>
      <c r="AN72" s="197">
        <f t="shared" si="156"/>
        <v>-308.60376547368401</v>
      </c>
      <c r="AO72" s="197">
        <f t="shared" si="157"/>
        <v>21.396234526315993</v>
      </c>
      <c r="AP72" s="196">
        <f t="shared" si="158"/>
        <v>738.30839868492444</v>
      </c>
      <c r="AQ72" s="197">
        <f t="shared" si="159"/>
        <v>252.91752167339689</v>
      </c>
      <c r="AR72" s="197">
        <f t="shared" si="160"/>
        <v>974.82748820820439</v>
      </c>
      <c r="AS72" s="197">
        <f t="shared" si="161"/>
        <v>-236.51908952327989</v>
      </c>
      <c r="AT72" s="199">
        <f t="shared" si="162"/>
        <v>16.398432150116996</v>
      </c>
      <c r="AU72" s="196">
        <f t="shared" si="163"/>
        <v>7790.4565008609889</v>
      </c>
      <c r="AV72" s="197">
        <f t="shared" si="163"/>
        <v>2899.4159442201048</v>
      </c>
      <c r="AW72" s="197">
        <f t="shared" si="163"/>
        <v>15236.33820655698</v>
      </c>
      <c r="AX72" s="197">
        <f t="shared" si="163"/>
        <v>-7445.8817056959933</v>
      </c>
      <c r="AY72" s="199">
        <f t="shared" si="164"/>
        <v>-4546.4657614758889</v>
      </c>
      <c r="BB72" s="204">
        <f t="shared" si="199"/>
        <v>10</v>
      </c>
      <c r="BC72" s="219" t="s">
        <v>559</v>
      </c>
      <c r="BD72" s="760">
        <f>'Arable Inputs'!$E$18</f>
        <v>3.1</v>
      </c>
      <c r="BE72" s="760">
        <f>'Arable Inputs'!$E$25</f>
        <v>310.75</v>
      </c>
      <c r="BH72" s="762">
        <f>BD72*BE72</f>
        <v>963.32500000000005</v>
      </c>
      <c r="BI72" s="197">
        <f>'Arable NPV'!$E152</f>
        <v>330</v>
      </c>
      <c r="BJ72" s="197">
        <f t="shared" si="165"/>
        <v>1293.325</v>
      </c>
      <c r="BK72" s="197">
        <f>'Arable NPV'!$G152</f>
        <v>300.32802631578949</v>
      </c>
      <c r="BL72" s="197">
        <f>'Arable NPV'!$H152</f>
        <v>547.62448399999994</v>
      </c>
      <c r="BM72" s="197">
        <f>'Arable NPV'!$I152-0.5*'Arable NPV'!$I152</f>
        <v>423.97625515789468</v>
      </c>
      <c r="BN72" s="197">
        <f t="shared" si="166"/>
        <v>539.34874484210536</v>
      </c>
      <c r="BO72" s="197">
        <f t="shared" si="167"/>
        <v>869.34874484210536</v>
      </c>
      <c r="BP72" s="196">
        <f t="shared" si="168"/>
        <v>738.30839868492444</v>
      </c>
      <c r="BQ72" s="197">
        <f t="shared" si="169"/>
        <v>252.91752167339689</v>
      </c>
      <c r="BR72" s="197">
        <f t="shared" si="170"/>
        <v>324.94249606940144</v>
      </c>
      <c r="BS72" s="197">
        <f t="shared" si="171"/>
        <v>413.365902615523</v>
      </c>
      <c r="BT72" s="199">
        <f t="shared" si="172"/>
        <v>666.28342428891995</v>
      </c>
      <c r="BU72" s="196">
        <f t="shared" si="173"/>
        <v>7790.4565008609889</v>
      </c>
      <c r="BV72" s="197">
        <f t="shared" si="173"/>
        <v>2899.4159442201048</v>
      </c>
      <c r="BW72" s="197">
        <f t="shared" si="173"/>
        <v>5078.7794021856607</v>
      </c>
      <c r="BX72" s="197">
        <f t="shared" si="174"/>
        <v>2711.6770986753277</v>
      </c>
      <c r="BY72" s="199">
        <f t="shared" si="175"/>
        <v>5611.0930428954325</v>
      </c>
      <c r="CB72" s="204">
        <f t="shared" si="200"/>
        <v>10</v>
      </c>
      <c r="CC72" s="219" t="s">
        <v>559</v>
      </c>
      <c r="CD72" s="760">
        <f>'Arable Inputs'!$E$18</f>
        <v>3.1</v>
      </c>
      <c r="CE72" s="760">
        <f>'Arable Inputs'!$E$25</f>
        <v>310.75</v>
      </c>
      <c r="CH72" s="762">
        <f>CD72*CE72</f>
        <v>963.32500000000005</v>
      </c>
      <c r="CI72" s="197">
        <f>'Arable NPV'!$E152</f>
        <v>330</v>
      </c>
      <c r="CJ72" s="197">
        <f t="shared" si="176"/>
        <v>1293.325</v>
      </c>
      <c r="CK72" s="197">
        <f>'Arable NPV'!$G152</f>
        <v>300.32802631578949</v>
      </c>
      <c r="CL72" s="197">
        <f>'Arable NPV'!$H152</f>
        <v>547.62448399999994</v>
      </c>
      <c r="CM72" s="197">
        <f>'Arable NPV'!$I152+'Arable NPV'!$I152</f>
        <v>1695.9050206315787</v>
      </c>
      <c r="CN72" s="197">
        <f t="shared" si="177"/>
        <v>-732.58002063157869</v>
      </c>
      <c r="CO72" s="197">
        <f t="shared" si="178"/>
        <v>-402.58002063157869</v>
      </c>
      <c r="CP72" s="196">
        <f t="shared" si="179"/>
        <v>738.30839868492444</v>
      </c>
      <c r="CQ72" s="197">
        <f t="shared" si="180"/>
        <v>252.91752167339689</v>
      </c>
      <c r="CR72" s="197">
        <f t="shared" si="181"/>
        <v>1299.7699842776058</v>
      </c>
      <c r="CS72" s="197">
        <f t="shared" si="182"/>
        <v>-561.46158559268133</v>
      </c>
      <c r="CT72" s="199">
        <f t="shared" si="183"/>
        <v>-308.54406391928444</v>
      </c>
      <c r="CU72" s="196">
        <f t="shared" si="184"/>
        <v>7790.4565008609889</v>
      </c>
      <c r="CV72" s="197">
        <f t="shared" si="184"/>
        <v>2899.4159442201048</v>
      </c>
      <c r="CW72" s="197">
        <f t="shared" si="185"/>
        <v>20315.117608742643</v>
      </c>
      <c r="CX72" s="197">
        <f t="shared" si="186"/>
        <v>-12524.661107881653</v>
      </c>
      <c r="CY72" s="199">
        <f t="shared" si="187"/>
        <v>-9625.2451636615497</v>
      </c>
      <c r="DB72" s="204">
        <f t="shared" si="201"/>
        <v>10</v>
      </c>
      <c r="DC72" s="219" t="s">
        <v>559</v>
      </c>
      <c r="DD72" s="760">
        <f>'Arable Inputs'!$E$18</f>
        <v>3.1</v>
      </c>
      <c r="DE72" s="760">
        <f>'Arable Inputs'!$E$25</f>
        <v>310.75</v>
      </c>
      <c r="DH72" s="762">
        <f>DD72*DE72</f>
        <v>963.32500000000005</v>
      </c>
      <c r="DI72" s="197">
        <f>'Arable NPV'!$E152</f>
        <v>330</v>
      </c>
      <c r="DJ72" s="197">
        <f t="shared" si="188"/>
        <v>1293.325</v>
      </c>
      <c r="DK72" s="197">
        <f>'Arable NPV'!$G152</f>
        <v>300.32802631578949</v>
      </c>
      <c r="DL72" s="197">
        <f>'Arable NPV'!$H152</f>
        <v>547.62448399999994</v>
      </c>
      <c r="DM72" s="197">
        <f>'Arable NPV'!$I152-'Arable NPV'!$I152</f>
        <v>0</v>
      </c>
      <c r="DN72" s="197">
        <f t="shared" si="189"/>
        <v>963.32500000000005</v>
      </c>
      <c r="DO72" s="197">
        <f t="shared" si="190"/>
        <v>1293.325</v>
      </c>
      <c r="DP72" s="196">
        <f t="shared" si="191"/>
        <v>738.30839868492444</v>
      </c>
      <c r="DQ72" s="197">
        <f t="shared" si="192"/>
        <v>252.91752167339689</v>
      </c>
      <c r="DR72" s="197">
        <f t="shared" si="193"/>
        <v>0</v>
      </c>
      <c r="DS72" s="197">
        <f t="shared" si="194"/>
        <v>738.30839868492444</v>
      </c>
      <c r="DT72" s="199">
        <f t="shared" si="195"/>
        <v>991.22592035832133</v>
      </c>
      <c r="DU72" s="196">
        <f t="shared" si="196"/>
        <v>7790.4565008609889</v>
      </c>
      <c r="DV72" s="197">
        <f t="shared" si="196"/>
        <v>2899.4159442201048</v>
      </c>
      <c r="DW72" s="197">
        <f t="shared" si="196"/>
        <v>0</v>
      </c>
      <c r="DX72" s="197">
        <f t="shared" si="196"/>
        <v>7790.4565008609889</v>
      </c>
      <c r="DY72" s="199">
        <f t="shared" si="196"/>
        <v>10689.872445081093</v>
      </c>
    </row>
    <row r="73" spans="2:129" x14ac:dyDescent="0.3">
      <c r="B73" s="204">
        <f t="shared" si="197"/>
        <v>11</v>
      </c>
      <c r="C73" s="219" t="s">
        <v>4</v>
      </c>
      <c r="D73" s="760">
        <f>'Arable Inputs'!$D$18</f>
        <v>5.5</v>
      </c>
      <c r="E73" s="760">
        <f>'Arable Inputs'!$D$25</f>
        <v>210</v>
      </c>
      <c r="F73" s="760">
        <f>'Arable Inputs'!$D$19</f>
        <v>3.9</v>
      </c>
      <c r="G73" s="760">
        <f>'Arable Inputs'!$D$26</f>
        <v>73.449999999999989</v>
      </c>
      <c r="H73" s="762">
        <f>D73*E73+F73*G73</f>
        <v>1441.4549999999999</v>
      </c>
      <c r="I73" s="197">
        <f>'Arable NPV'!$E153</f>
        <v>330</v>
      </c>
      <c r="J73" s="197">
        <f t="shared" si="145"/>
        <v>1771.4549999999999</v>
      </c>
      <c r="K73" s="197">
        <f>'Arable NPV'!$G153</f>
        <v>622.34710631578946</v>
      </c>
      <c r="L73" s="197">
        <f>'Arable NPV'!$H153</f>
        <v>943.00233600000001</v>
      </c>
      <c r="M73" s="197">
        <f t="shared" si="146"/>
        <v>1565.3494423157895</v>
      </c>
      <c r="N73" s="197">
        <f t="shared" si="147"/>
        <v>-123.89444231578955</v>
      </c>
      <c r="O73" s="197">
        <f t="shared" si="148"/>
        <v>206.10555768421045</v>
      </c>
      <c r="P73" s="196">
        <f t="shared" si="149"/>
        <v>1072.577894097459</v>
      </c>
      <c r="Q73" s="197">
        <f t="shared" si="150"/>
        <v>245.55099191591933</v>
      </c>
      <c r="R73" s="197">
        <f t="shared" si="151"/>
        <v>1164.7669947141612</v>
      </c>
      <c r="S73" s="197">
        <f t="shared" si="152"/>
        <v>-92.189100616702333</v>
      </c>
      <c r="T73" s="199">
        <f t="shared" si="153"/>
        <v>153.36189129921698</v>
      </c>
      <c r="U73" s="196">
        <f t="shared" si="154"/>
        <v>8863.0343949584476</v>
      </c>
      <c r="V73" s="197">
        <f t="shared" si="154"/>
        <v>3144.9669361360243</v>
      </c>
      <c r="W73" s="197">
        <f t="shared" si="154"/>
        <v>11322.325799085484</v>
      </c>
      <c r="X73" s="197">
        <f t="shared" si="154"/>
        <v>-2459.2914041270351</v>
      </c>
      <c r="Y73" s="199">
        <f t="shared" si="154"/>
        <v>685.67553200898897</v>
      </c>
      <c r="Z73" s="197"/>
      <c r="AB73" s="204">
        <f t="shared" si="198"/>
        <v>11</v>
      </c>
      <c r="AC73" s="219" t="s">
        <v>4</v>
      </c>
      <c r="AD73" s="760">
        <f>'Arable Inputs'!$D$18</f>
        <v>5.5</v>
      </c>
      <c r="AE73" s="760">
        <f>'Arable Inputs'!$D$25</f>
        <v>210</v>
      </c>
      <c r="AF73" s="760">
        <f>'Arable Inputs'!$D$19</f>
        <v>3.9</v>
      </c>
      <c r="AG73" s="760">
        <f>'Arable Inputs'!$D$26</f>
        <v>73.449999999999989</v>
      </c>
      <c r="AH73" s="762">
        <f>AD73*AE73+AF73*AG73</f>
        <v>1441.4549999999999</v>
      </c>
      <c r="AI73" s="197">
        <f>'Arable NPV'!$E153</f>
        <v>330</v>
      </c>
      <c r="AJ73" s="197">
        <f t="shared" si="155"/>
        <v>1771.4549999999999</v>
      </c>
      <c r="AK73" s="197">
        <f>'Arable NPV'!$G153</f>
        <v>622.34710631578946</v>
      </c>
      <c r="AL73" s="197">
        <f>'Arable NPV'!$H153</f>
        <v>943.00233600000001</v>
      </c>
      <c r="AM73" s="197">
        <f>'Arable NPV'!$I153+0.5*'Arable NPV'!$I153</f>
        <v>2348.024163473684</v>
      </c>
      <c r="AN73" s="197">
        <f t="shared" si="156"/>
        <v>-906.56916347368406</v>
      </c>
      <c r="AO73" s="197">
        <f t="shared" si="157"/>
        <v>-576.56916347368406</v>
      </c>
      <c r="AP73" s="196">
        <f t="shared" si="158"/>
        <v>1072.577894097459</v>
      </c>
      <c r="AQ73" s="197">
        <f t="shared" si="159"/>
        <v>245.55099191591933</v>
      </c>
      <c r="AR73" s="197">
        <f t="shared" si="160"/>
        <v>1747.1504920712418</v>
      </c>
      <c r="AS73" s="197">
        <f t="shared" si="161"/>
        <v>-674.57259797378276</v>
      </c>
      <c r="AT73" s="199">
        <f t="shared" si="162"/>
        <v>-429.02160605786349</v>
      </c>
      <c r="AU73" s="196">
        <f t="shared" si="163"/>
        <v>8863.0343949584476</v>
      </c>
      <c r="AV73" s="197">
        <f t="shared" si="163"/>
        <v>3144.9669361360243</v>
      </c>
      <c r="AW73" s="197">
        <f t="shared" si="163"/>
        <v>16983.488698628222</v>
      </c>
      <c r="AX73" s="197">
        <f t="shared" si="163"/>
        <v>-8120.454303669776</v>
      </c>
      <c r="AY73" s="199">
        <f t="shared" si="164"/>
        <v>-4975.4873675337521</v>
      </c>
      <c r="BB73" s="204">
        <f t="shared" si="199"/>
        <v>11</v>
      </c>
      <c r="BC73" s="219" t="s">
        <v>4</v>
      </c>
      <c r="BD73" s="760">
        <f>'Arable Inputs'!$D$18</f>
        <v>5.5</v>
      </c>
      <c r="BE73" s="760">
        <f>'Arable Inputs'!$D$25</f>
        <v>210</v>
      </c>
      <c r="BF73" s="760">
        <f>'Arable Inputs'!$D$19</f>
        <v>3.9</v>
      </c>
      <c r="BG73" s="760">
        <f>'Arable Inputs'!$D$26</f>
        <v>73.449999999999989</v>
      </c>
      <c r="BH73" s="762">
        <f>BD73*BE73+BF73*BG73</f>
        <v>1441.4549999999999</v>
      </c>
      <c r="BI73" s="197">
        <f>'Arable NPV'!$E153</f>
        <v>330</v>
      </c>
      <c r="BJ73" s="197">
        <f t="shared" si="165"/>
        <v>1771.4549999999999</v>
      </c>
      <c r="BK73" s="197">
        <f>'Arable NPV'!$G153</f>
        <v>622.34710631578946</v>
      </c>
      <c r="BL73" s="197">
        <f>'Arable NPV'!$H153</f>
        <v>943.00233600000001</v>
      </c>
      <c r="BM73" s="197">
        <f>'Arable NPV'!$I153-0.5*'Arable NPV'!$I153</f>
        <v>782.67472115789474</v>
      </c>
      <c r="BN73" s="197">
        <f t="shared" si="166"/>
        <v>658.78027884210519</v>
      </c>
      <c r="BO73" s="197">
        <f t="shared" si="167"/>
        <v>988.78027884210519</v>
      </c>
      <c r="BP73" s="196">
        <f t="shared" si="168"/>
        <v>1072.577894097459</v>
      </c>
      <c r="BQ73" s="197">
        <f t="shared" si="169"/>
        <v>245.55099191591933</v>
      </c>
      <c r="BR73" s="197">
        <f t="shared" si="170"/>
        <v>582.38349735708061</v>
      </c>
      <c r="BS73" s="197">
        <f t="shared" si="171"/>
        <v>490.19439674037829</v>
      </c>
      <c r="BT73" s="199">
        <f t="shared" si="172"/>
        <v>735.74538865629768</v>
      </c>
      <c r="BU73" s="196">
        <f t="shared" si="173"/>
        <v>8863.0343949584476</v>
      </c>
      <c r="BV73" s="197">
        <f t="shared" si="173"/>
        <v>3144.9669361360243</v>
      </c>
      <c r="BW73" s="197">
        <f t="shared" si="173"/>
        <v>5661.1628995427418</v>
      </c>
      <c r="BX73" s="197">
        <f t="shared" si="174"/>
        <v>3201.8714954157058</v>
      </c>
      <c r="BY73" s="199">
        <f t="shared" si="175"/>
        <v>6346.8384315517305</v>
      </c>
      <c r="CB73" s="204">
        <f t="shared" si="200"/>
        <v>11</v>
      </c>
      <c r="CC73" s="219" t="s">
        <v>4</v>
      </c>
      <c r="CD73" s="760">
        <f>'Arable Inputs'!$D$18</f>
        <v>5.5</v>
      </c>
      <c r="CE73" s="760">
        <f>'Arable Inputs'!$D$25</f>
        <v>210</v>
      </c>
      <c r="CF73" s="760">
        <f>'Arable Inputs'!$D$19</f>
        <v>3.9</v>
      </c>
      <c r="CG73" s="760">
        <f>'Arable Inputs'!$D$26</f>
        <v>73.449999999999989</v>
      </c>
      <c r="CH73" s="762">
        <f>CD73*CE73+CF73*CG73</f>
        <v>1441.4549999999999</v>
      </c>
      <c r="CI73" s="197">
        <f>'Arable NPV'!$E153</f>
        <v>330</v>
      </c>
      <c r="CJ73" s="197">
        <f t="shared" si="176"/>
        <v>1771.4549999999999</v>
      </c>
      <c r="CK73" s="197">
        <f>'Arable NPV'!$G153</f>
        <v>622.34710631578946</v>
      </c>
      <c r="CL73" s="197">
        <f>'Arable NPV'!$H153</f>
        <v>943.00233600000001</v>
      </c>
      <c r="CM73" s="197">
        <f>'Arable NPV'!$I153+'Arable NPV'!$I153</f>
        <v>3130.6988846315789</v>
      </c>
      <c r="CN73" s="197">
        <f t="shared" si="177"/>
        <v>-1689.243884631579</v>
      </c>
      <c r="CO73" s="197">
        <f t="shared" si="178"/>
        <v>-1359.243884631579</v>
      </c>
      <c r="CP73" s="196">
        <f t="shared" si="179"/>
        <v>1072.577894097459</v>
      </c>
      <c r="CQ73" s="197">
        <f t="shared" si="180"/>
        <v>245.55099191591933</v>
      </c>
      <c r="CR73" s="197">
        <f t="shared" si="181"/>
        <v>2329.5339894283225</v>
      </c>
      <c r="CS73" s="197">
        <f t="shared" si="182"/>
        <v>-1256.9560953308637</v>
      </c>
      <c r="CT73" s="199">
        <f t="shared" si="183"/>
        <v>-1011.4051034149443</v>
      </c>
      <c r="CU73" s="196">
        <f t="shared" si="184"/>
        <v>8863.0343949584476</v>
      </c>
      <c r="CV73" s="197">
        <f t="shared" si="184"/>
        <v>3144.9669361360243</v>
      </c>
      <c r="CW73" s="197">
        <f t="shared" si="185"/>
        <v>22644.651598170967</v>
      </c>
      <c r="CX73" s="197">
        <f t="shared" si="186"/>
        <v>-13781.617203212518</v>
      </c>
      <c r="CY73" s="199">
        <f t="shared" si="187"/>
        <v>-10636.650267076493</v>
      </c>
      <c r="DB73" s="204">
        <f t="shared" si="201"/>
        <v>11</v>
      </c>
      <c r="DC73" s="219" t="s">
        <v>4</v>
      </c>
      <c r="DD73" s="760">
        <f>'Arable Inputs'!$D$18</f>
        <v>5.5</v>
      </c>
      <c r="DE73" s="760">
        <f>'Arable Inputs'!$D$25</f>
        <v>210</v>
      </c>
      <c r="DF73" s="760">
        <f>'Arable Inputs'!$D$19</f>
        <v>3.9</v>
      </c>
      <c r="DG73" s="760">
        <f>'Arable Inputs'!$D$26</f>
        <v>73.449999999999989</v>
      </c>
      <c r="DH73" s="762">
        <f>DD73*DE73+DF73*DG73</f>
        <v>1441.4549999999999</v>
      </c>
      <c r="DI73" s="197">
        <f>'Arable NPV'!$E153</f>
        <v>330</v>
      </c>
      <c r="DJ73" s="197">
        <f t="shared" si="188"/>
        <v>1771.4549999999999</v>
      </c>
      <c r="DK73" s="197">
        <f>'Arable NPV'!$G153</f>
        <v>622.34710631578946</v>
      </c>
      <c r="DL73" s="197">
        <f>'Arable NPV'!$H153</f>
        <v>943.00233600000001</v>
      </c>
      <c r="DM73" s="197">
        <f>'Arable NPV'!$I153-'Arable NPV'!$I153</f>
        <v>0</v>
      </c>
      <c r="DN73" s="197">
        <f t="shared" si="189"/>
        <v>1441.4549999999999</v>
      </c>
      <c r="DO73" s="197">
        <f t="shared" si="190"/>
        <v>1771.4549999999999</v>
      </c>
      <c r="DP73" s="196">
        <f t="shared" si="191"/>
        <v>1072.577894097459</v>
      </c>
      <c r="DQ73" s="197">
        <f t="shared" si="192"/>
        <v>245.55099191591933</v>
      </c>
      <c r="DR73" s="197">
        <f t="shared" si="193"/>
        <v>0</v>
      </c>
      <c r="DS73" s="197">
        <f t="shared" si="194"/>
        <v>1072.577894097459</v>
      </c>
      <c r="DT73" s="199">
        <f t="shared" si="195"/>
        <v>1318.1288860133782</v>
      </c>
      <c r="DU73" s="196">
        <f t="shared" si="196"/>
        <v>8863.0343949584476</v>
      </c>
      <c r="DV73" s="197">
        <f t="shared" si="196"/>
        <v>3144.9669361360243</v>
      </c>
      <c r="DW73" s="197">
        <f t="shared" si="196"/>
        <v>0</v>
      </c>
      <c r="DX73" s="197">
        <f t="shared" si="196"/>
        <v>8863.0343949584476</v>
      </c>
      <c r="DY73" s="199">
        <f t="shared" si="196"/>
        <v>12008.001331094471</v>
      </c>
    </row>
    <row r="74" spans="2:129" x14ac:dyDescent="0.3">
      <c r="B74" s="204">
        <f t="shared" si="197"/>
        <v>12</v>
      </c>
      <c r="C74" s="219" t="s">
        <v>560</v>
      </c>
      <c r="D74" s="760">
        <f>'Arable Inputs'!$G$18</f>
        <v>2.1</v>
      </c>
      <c r="E74" s="760">
        <f>'Arable Inputs'!$G$25</f>
        <v>235.55</v>
      </c>
      <c r="H74" s="762">
        <f>D74*E74</f>
        <v>494.65500000000003</v>
      </c>
      <c r="I74" s="197">
        <f>'Arable NPV'!$E154</f>
        <v>330</v>
      </c>
      <c r="J74" s="197">
        <f t="shared" si="145"/>
        <v>824.65499999999997</v>
      </c>
      <c r="K74" s="197">
        <f>'Arable NPV'!$G154</f>
        <v>255.07731473684206</v>
      </c>
      <c r="L74" s="197">
        <f>'Arable NPV'!$H154</f>
        <v>778.68036799999993</v>
      </c>
      <c r="M74" s="197">
        <f t="shared" si="146"/>
        <v>1033.7576827368421</v>
      </c>
      <c r="N74" s="197">
        <f t="shared" si="147"/>
        <v>-539.1026827368421</v>
      </c>
      <c r="O74" s="197">
        <f t="shared" si="148"/>
        <v>-209.1026827368421</v>
      </c>
      <c r="P74" s="196">
        <f t="shared" si="149"/>
        <v>357.34929657596081</v>
      </c>
      <c r="Q74" s="197">
        <f t="shared" si="150"/>
        <v>238.39902127759154</v>
      </c>
      <c r="R74" s="197">
        <f t="shared" si="151"/>
        <v>746.80854485652776</v>
      </c>
      <c r="S74" s="197">
        <f t="shared" si="152"/>
        <v>-389.45924828056701</v>
      </c>
      <c r="T74" s="199">
        <f t="shared" si="153"/>
        <v>-151.06022700297544</v>
      </c>
      <c r="U74" s="196">
        <f t="shared" si="154"/>
        <v>9220.3836915344091</v>
      </c>
      <c r="V74" s="197">
        <f t="shared" si="154"/>
        <v>3383.3659574136159</v>
      </c>
      <c r="W74" s="197">
        <f t="shared" si="154"/>
        <v>12069.134343942011</v>
      </c>
      <c r="X74" s="197">
        <f t="shared" si="154"/>
        <v>-2848.750652407602</v>
      </c>
      <c r="Y74" s="199">
        <f t="shared" si="154"/>
        <v>534.6153050060135</v>
      </c>
      <c r="Z74" s="197"/>
      <c r="AB74" s="204">
        <f t="shared" si="198"/>
        <v>12</v>
      </c>
      <c r="AC74" s="219" t="s">
        <v>560</v>
      </c>
      <c r="AD74" s="760">
        <f>'Arable Inputs'!$G$18</f>
        <v>2.1</v>
      </c>
      <c r="AE74" s="760">
        <f>'Arable Inputs'!$G$25</f>
        <v>235.55</v>
      </c>
      <c r="AH74" s="762">
        <f>AD74*AE74</f>
        <v>494.65500000000003</v>
      </c>
      <c r="AI74" s="197">
        <f>'Arable NPV'!$E154</f>
        <v>330</v>
      </c>
      <c r="AJ74" s="197">
        <f t="shared" si="155"/>
        <v>824.65499999999997</v>
      </c>
      <c r="AK74" s="197">
        <f>'Arable NPV'!$G154</f>
        <v>255.07731473684206</v>
      </c>
      <c r="AL74" s="197">
        <f>'Arable NPV'!$H154</f>
        <v>778.68036799999993</v>
      </c>
      <c r="AM74" s="197">
        <f>'Arable NPV'!$I154+0.5*'Arable NPV'!$I154</f>
        <v>1550.6365241052631</v>
      </c>
      <c r="AN74" s="197">
        <f t="shared" si="156"/>
        <v>-1055.9815241052631</v>
      </c>
      <c r="AO74" s="197">
        <f t="shared" si="157"/>
        <v>-725.98152410526313</v>
      </c>
      <c r="AP74" s="196">
        <f t="shared" si="158"/>
        <v>357.34929657596081</v>
      </c>
      <c r="AQ74" s="197">
        <f t="shared" si="159"/>
        <v>238.39902127759154</v>
      </c>
      <c r="AR74" s="197">
        <f t="shared" si="160"/>
        <v>1120.2128172847915</v>
      </c>
      <c r="AS74" s="197">
        <f t="shared" si="161"/>
        <v>-762.86352070883083</v>
      </c>
      <c r="AT74" s="199">
        <f t="shared" si="162"/>
        <v>-524.46449943123935</v>
      </c>
      <c r="AU74" s="196">
        <f t="shared" si="163"/>
        <v>9220.3836915344091</v>
      </c>
      <c r="AV74" s="197">
        <f t="shared" si="163"/>
        <v>3383.3659574136159</v>
      </c>
      <c r="AW74" s="197">
        <f t="shared" si="163"/>
        <v>18103.701515913013</v>
      </c>
      <c r="AX74" s="197">
        <f t="shared" si="163"/>
        <v>-8883.317824378606</v>
      </c>
      <c r="AY74" s="199">
        <f t="shared" si="164"/>
        <v>-5499.9518669649915</v>
      </c>
      <c r="BB74" s="204">
        <f t="shared" si="199"/>
        <v>12</v>
      </c>
      <c r="BC74" s="219" t="s">
        <v>560</v>
      </c>
      <c r="BD74" s="760">
        <f>'Arable Inputs'!$G$18</f>
        <v>2.1</v>
      </c>
      <c r="BE74" s="760">
        <f>'Arable Inputs'!$G$25</f>
        <v>235.55</v>
      </c>
      <c r="BH74" s="762">
        <f>BD74*BE74</f>
        <v>494.65500000000003</v>
      </c>
      <c r="BI74" s="197">
        <f>'Arable NPV'!$E154</f>
        <v>330</v>
      </c>
      <c r="BJ74" s="197">
        <f t="shared" si="165"/>
        <v>824.65499999999997</v>
      </c>
      <c r="BK74" s="197">
        <f>'Arable NPV'!$G154</f>
        <v>255.07731473684206</v>
      </c>
      <c r="BL74" s="197">
        <f>'Arable NPV'!$H154</f>
        <v>778.68036799999993</v>
      </c>
      <c r="BM74" s="197">
        <f>'Arable NPV'!$I154-0.5*'Arable NPV'!$I154</f>
        <v>516.87884136842104</v>
      </c>
      <c r="BN74" s="197">
        <f t="shared" si="166"/>
        <v>-22.223841368421006</v>
      </c>
      <c r="BO74" s="197">
        <f t="shared" si="167"/>
        <v>307.77615863157894</v>
      </c>
      <c r="BP74" s="196">
        <f t="shared" si="168"/>
        <v>357.34929657596081</v>
      </c>
      <c r="BQ74" s="197">
        <f t="shared" si="169"/>
        <v>238.39902127759154</v>
      </c>
      <c r="BR74" s="197">
        <f t="shared" si="170"/>
        <v>373.40427242826388</v>
      </c>
      <c r="BS74" s="197">
        <f t="shared" si="171"/>
        <v>-16.054975852303087</v>
      </c>
      <c r="BT74" s="199">
        <f t="shared" si="172"/>
        <v>222.34404542528844</v>
      </c>
      <c r="BU74" s="196">
        <f t="shared" si="173"/>
        <v>9220.3836915344091</v>
      </c>
      <c r="BV74" s="197">
        <f t="shared" si="173"/>
        <v>3383.3659574136159</v>
      </c>
      <c r="BW74" s="197">
        <f t="shared" si="173"/>
        <v>6034.5671719710053</v>
      </c>
      <c r="BX74" s="197">
        <f t="shared" si="174"/>
        <v>3185.8165195634028</v>
      </c>
      <c r="BY74" s="199">
        <f t="shared" si="175"/>
        <v>6569.1824769770192</v>
      </c>
      <c r="CB74" s="204">
        <f t="shared" si="200"/>
        <v>12</v>
      </c>
      <c r="CC74" s="219" t="s">
        <v>560</v>
      </c>
      <c r="CD74" s="760">
        <f>'Arable Inputs'!$G$18</f>
        <v>2.1</v>
      </c>
      <c r="CE74" s="760">
        <f>'Arable Inputs'!$G$25</f>
        <v>235.55</v>
      </c>
      <c r="CH74" s="762">
        <f>CD74*CE74</f>
        <v>494.65500000000003</v>
      </c>
      <c r="CI74" s="197">
        <f>'Arable NPV'!$E154</f>
        <v>330</v>
      </c>
      <c r="CJ74" s="197">
        <f t="shared" si="176"/>
        <v>824.65499999999997</v>
      </c>
      <c r="CK74" s="197">
        <f>'Arable NPV'!$G154</f>
        <v>255.07731473684206</v>
      </c>
      <c r="CL74" s="197">
        <f>'Arable NPV'!$H154</f>
        <v>778.68036799999993</v>
      </c>
      <c r="CM74" s="197">
        <f>'Arable NPV'!$I154+'Arable NPV'!$I154</f>
        <v>2067.5153654736841</v>
      </c>
      <c r="CN74" s="197">
        <f t="shared" si="177"/>
        <v>-1572.8603654736842</v>
      </c>
      <c r="CO74" s="197">
        <f t="shared" si="178"/>
        <v>-1242.8603654736842</v>
      </c>
      <c r="CP74" s="196">
        <f t="shared" si="179"/>
        <v>357.34929657596081</v>
      </c>
      <c r="CQ74" s="197">
        <f t="shared" si="180"/>
        <v>238.39902127759154</v>
      </c>
      <c r="CR74" s="197">
        <f t="shared" si="181"/>
        <v>1493.6170897130555</v>
      </c>
      <c r="CS74" s="197">
        <f t="shared" si="182"/>
        <v>-1136.2677931370947</v>
      </c>
      <c r="CT74" s="199">
        <f t="shared" si="183"/>
        <v>-897.86877185950323</v>
      </c>
      <c r="CU74" s="196">
        <f t="shared" si="184"/>
        <v>9220.3836915344091</v>
      </c>
      <c r="CV74" s="197">
        <f t="shared" si="184"/>
        <v>3383.3659574136159</v>
      </c>
      <c r="CW74" s="197">
        <f t="shared" si="185"/>
        <v>24138.268687884021</v>
      </c>
      <c r="CX74" s="197">
        <f t="shared" si="186"/>
        <v>-14917.884996349612</v>
      </c>
      <c r="CY74" s="199">
        <f t="shared" si="187"/>
        <v>-11534.519038935996</v>
      </c>
      <c r="DB74" s="204">
        <f t="shared" si="201"/>
        <v>12</v>
      </c>
      <c r="DC74" s="219" t="s">
        <v>560</v>
      </c>
      <c r="DD74" s="760">
        <f>'Arable Inputs'!$G$18</f>
        <v>2.1</v>
      </c>
      <c r="DE74" s="760">
        <f>'Arable Inputs'!$G$25</f>
        <v>235.55</v>
      </c>
      <c r="DH74" s="762">
        <f>DD74*DE74</f>
        <v>494.65500000000003</v>
      </c>
      <c r="DI74" s="197">
        <f>'Arable NPV'!$E154</f>
        <v>330</v>
      </c>
      <c r="DJ74" s="197">
        <f t="shared" si="188"/>
        <v>824.65499999999997</v>
      </c>
      <c r="DK74" s="197">
        <f>'Arable NPV'!$G154</f>
        <v>255.07731473684206</v>
      </c>
      <c r="DL74" s="197">
        <f>'Arable NPV'!$H154</f>
        <v>778.68036799999993</v>
      </c>
      <c r="DM74" s="197">
        <f>'Arable NPV'!$I154-'Arable NPV'!$I154</f>
        <v>0</v>
      </c>
      <c r="DN74" s="197">
        <f t="shared" si="189"/>
        <v>494.65500000000003</v>
      </c>
      <c r="DO74" s="197">
        <f t="shared" si="190"/>
        <v>824.65499999999997</v>
      </c>
      <c r="DP74" s="196">
        <f t="shared" si="191"/>
        <v>357.34929657596081</v>
      </c>
      <c r="DQ74" s="197">
        <f t="shared" si="192"/>
        <v>238.39902127759154</v>
      </c>
      <c r="DR74" s="197">
        <f t="shared" si="193"/>
        <v>0</v>
      </c>
      <c r="DS74" s="197">
        <f t="shared" si="194"/>
        <v>357.34929657596081</v>
      </c>
      <c r="DT74" s="199">
        <f t="shared" si="195"/>
        <v>595.74831785355229</v>
      </c>
      <c r="DU74" s="196">
        <f t="shared" si="196"/>
        <v>9220.3836915344091</v>
      </c>
      <c r="DV74" s="197">
        <f t="shared" si="196"/>
        <v>3383.3659574136159</v>
      </c>
      <c r="DW74" s="197">
        <f t="shared" si="196"/>
        <v>0</v>
      </c>
      <c r="DX74" s="197">
        <f t="shared" si="196"/>
        <v>9220.3836915344091</v>
      </c>
      <c r="DY74" s="199">
        <f t="shared" si="196"/>
        <v>12603.749648948024</v>
      </c>
    </row>
    <row r="75" spans="2:129" x14ac:dyDescent="0.3">
      <c r="B75" s="204">
        <f t="shared" si="197"/>
        <v>13</v>
      </c>
      <c r="C75" s="219" t="s">
        <v>28</v>
      </c>
      <c r="D75" s="760">
        <f>'Arable Inputs'!$H$18</f>
        <v>9.4</v>
      </c>
      <c r="E75" s="760">
        <f>'Arable Inputs'!$H$25</f>
        <v>94.285714285714292</v>
      </c>
      <c r="H75" s="762">
        <f>D75*E75</f>
        <v>886.28571428571433</v>
      </c>
      <c r="I75" s="197">
        <f>'Arable NPV'!$E155</f>
        <v>330</v>
      </c>
      <c r="J75" s="197">
        <f t="shared" si="145"/>
        <v>1216.2857142857142</v>
      </c>
      <c r="K75" s="197">
        <f>'Arable NPV'!$G155</f>
        <v>566.71194999999989</v>
      </c>
      <c r="L75" s="197">
        <f>'Arable NPV'!$H155</f>
        <v>691.46913599999993</v>
      </c>
      <c r="M75" s="197">
        <f t="shared" si="146"/>
        <v>1258.1810859999998</v>
      </c>
      <c r="N75" s="197">
        <f t="shared" si="147"/>
        <v>-371.89537171428549</v>
      </c>
      <c r="O75" s="197">
        <f t="shared" si="148"/>
        <v>-41.895371714285602</v>
      </c>
      <c r="P75" s="196">
        <f t="shared" si="149"/>
        <v>621.622968102458</v>
      </c>
      <c r="Q75" s="197">
        <f t="shared" si="150"/>
        <v>231.45536046368116</v>
      </c>
      <c r="R75" s="197">
        <f t="shared" si="151"/>
        <v>882.46289935974482</v>
      </c>
      <c r="S75" s="197">
        <f t="shared" si="152"/>
        <v>-260.83993125728682</v>
      </c>
      <c r="T75" s="199">
        <f t="shared" si="153"/>
        <v>-29.384570793605715</v>
      </c>
      <c r="U75" s="196">
        <f t="shared" si="154"/>
        <v>9842.006659636867</v>
      </c>
      <c r="V75" s="197">
        <f t="shared" si="154"/>
        <v>3614.8213178772971</v>
      </c>
      <c r="W75" s="197">
        <f t="shared" si="154"/>
        <v>12951.597243301756</v>
      </c>
      <c r="X75" s="197">
        <f t="shared" si="154"/>
        <v>-3109.590583664889</v>
      </c>
      <c r="Y75" s="199">
        <f t="shared" si="154"/>
        <v>505.23073421240781</v>
      </c>
      <c r="Z75" s="197"/>
      <c r="AB75" s="204">
        <f t="shared" si="198"/>
        <v>13</v>
      </c>
      <c r="AC75" s="219" t="s">
        <v>28</v>
      </c>
      <c r="AD75" s="760">
        <f>'Arable Inputs'!$H$18</f>
        <v>9.4</v>
      </c>
      <c r="AE75" s="760">
        <f>'Arable Inputs'!$H$25</f>
        <v>94.285714285714292</v>
      </c>
      <c r="AH75" s="762">
        <f>AD75*AE75</f>
        <v>886.28571428571433</v>
      </c>
      <c r="AI75" s="197">
        <f>'Arable NPV'!$E155</f>
        <v>330</v>
      </c>
      <c r="AJ75" s="197">
        <f t="shared" si="155"/>
        <v>1216.2857142857142</v>
      </c>
      <c r="AK75" s="197">
        <f>'Arable NPV'!$G155</f>
        <v>566.71194999999989</v>
      </c>
      <c r="AL75" s="197">
        <f>'Arable NPV'!$H155</f>
        <v>691.46913599999993</v>
      </c>
      <c r="AM75" s="197">
        <f>'Arable NPV'!$I155+0.5*'Arable NPV'!$I155</f>
        <v>1887.2716289999998</v>
      </c>
      <c r="AN75" s="197">
        <f t="shared" si="156"/>
        <v>-1000.9859147142855</v>
      </c>
      <c r="AO75" s="197">
        <f t="shared" si="157"/>
        <v>-670.98591471428563</v>
      </c>
      <c r="AP75" s="196">
        <f t="shared" si="158"/>
        <v>621.622968102458</v>
      </c>
      <c r="AQ75" s="197">
        <f t="shared" si="159"/>
        <v>231.45536046368116</v>
      </c>
      <c r="AR75" s="197">
        <f t="shared" si="160"/>
        <v>1323.6943490396172</v>
      </c>
      <c r="AS75" s="197">
        <f t="shared" si="161"/>
        <v>-702.07138093715923</v>
      </c>
      <c r="AT75" s="199">
        <f t="shared" si="162"/>
        <v>-470.61602047347822</v>
      </c>
      <c r="AU75" s="196">
        <f t="shared" si="163"/>
        <v>9842.006659636867</v>
      </c>
      <c r="AV75" s="197">
        <f t="shared" si="163"/>
        <v>3614.8213178772971</v>
      </c>
      <c r="AW75" s="197">
        <f t="shared" si="163"/>
        <v>19427.395864952632</v>
      </c>
      <c r="AX75" s="197">
        <f t="shared" si="163"/>
        <v>-9585.3892053157651</v>
      </c>
      <c r="AY75" s="199">
        <f t="shared" si="164"/>
        <v>-5970.5678874384694</v>
      </c>
      <c r="BB75" s="204">
        <f t="shared" si="199"/>
        <v>13</v>
      </c>
      <c r="BC75" s="219" t="s">
        <v>28</v>
      </c>
      <c r="BD75" s="760">
        <f>'Arable Inputs'!$H$18</f>
        <v>9.4</v>
      </c>
      <c r="BE75" s="760">
        <f>'Arable Inputs'!$H$25</f>
        <v>94.285714285714292</v>
      </c>
      <c r="BH75" s="762">
        <f>BD75*BE75</f>
        <v>886.28571428571433</v>
      </c>
      <c r="BI75" s="197">
        <f>'Arable NPV'!$E155</f>
        <v>330</v>
      </c>
      <c r="BJ75" s="197">
        <f t="shared" si="165"/>
        <v>1216.2857142857142</v>
      </c>
      <c r="BK75" s="197">
        <f>'Arable NPV'!$G155</f>
        <v>566.71194999999989</v>
      </c>
      <c r="BL75" s="197">
        <f>'Arable NPV'!$H155</f>
        <v>691.46913599999993</v>
      </c>
      <c r="BM75" s="197">
        <f>'Arable NPV'!$I155-0.5*'Arable NPV'!$I155</f>
        <v>629.09054299999991</v>
      </c>
      <c r="BN75" s="197">
        <f t="shared" si="166"/>
        <v>257.19517128571442</v>
      </c>
      <c r="BO75" s="197">
        <f t="shared" si="167"/>
        <v>587.19517128571431</v>
      </c>
      <c r="BP75" s="196">
        <f t="shared" si="168"/>
        <v>621.622968102458</v>
      </c>
      <c r="BQ75" s="197">
        <f t="shared" si="169"/>
        <v>231.45536046368116</v>
      </c>
      <c r="BR75" s="197">
        <f t="shared" si="170"/>
        <v>441.23144967987241</v>
      </c>
      <c r="BS75" s="197">
        <f t="shared" si="171"/>
        <v>180.39151842258559</v>
      </c>
      <c r="BT75" s="199">
        <f t="shared" si="172"/>
        <v>411.84687888626667</v>
      </c>
      <c r="BU75" s="196">
        <f t="shared" si="173"/>
        <v>9842.006659636867</v>
      </c>
      <c r="BV75" s="197">
        <f t="shared" si="173"/>
        <v>3614.8213178772971</v>
      </c>
      <c r="BW75" s="197">
        <f t="shared" si="173"/>
        <v>6475.798621650878</v>
      </c>
      <c r="BX75" s="197">
        <f t="shared" si="174"/>
        <v>3366.2080379859885</v>
      </c>
      <c r="BY75" s="199">
        <f t="shared" si="175"/>
        <v>6981.0293558632857</v>
      </c>
      <c r="CB75" s="204">
        <f t="shared" si="200"/>
        <v>13</v>
      </c>
      <c r="CC75" s="219" t="s">
        <v>28</v>
      </c>
      <c r="CD75" s="760">
        <f>'Arable Inputs'!$H$18</f>
        <v>9.4</v>
      </c>
      <c r="CE75" s="760">
        <f>'Arable Inputs'!$H$25</f>
        <v>94.285714285714292</v>
      </c>
      <c r="CH75" s="762">
        <f>CD75*CE75</f>
        <v>886.28571428571433</v>
      </c>
      <c r="CI75" s="197">
        <f>'Arable NPV'!$E155</f>
        <v>330</v>
      </c>
      <c r="CJ75" s="197">
        <f t="shared" si="176"/>
        <v>1216.2857142857142</v>
      </c>
      <c r="CK75" s="197">
        <f>'Arable NPV'!$G155</f>
        <v>566.71194999999989</v>
      </c>
      <c r="CL75" s="197">
        <f>'Arable NPV'!$H155</f>
        <v>691.46913599999993</v>
      </c>
      <c r="CM75" s="197">
        <f>'Arable NPV'!$I155+'Arable NPV'!$I155</f>
        <v>2516.3621719999996</v>
      </c>
      <c r="CN75" s="197">
        <f t="shared" si="177"/>
        <v>-1630.0764577142854</v>
      </c>
      <c r="CO75" s="197">
        <f t="shared" si="178"/>
        <v>-1300.0764577142854</v>
      </c>
      <c r="CP75" s="196">
        <f t="shared" si="179"/>
        <v>621.622968102458</v>
      </c>
      <c r="CQ75" s="197">
        <f t="shared" si="180"/>
        <v>231.45536046368116</v>
      </c>
      <c r="CR75" s="197">
        <f t="shared" si="181"/>
        <v>1764.9257987194896</v>
      </c>
      <c r="CS75" s="197">
        <f t="shared" si="182"/>
        <v>-1143.3028306170318</v>
      </c>
      <c r="CT75" s="199">
        <f t="shared" si="183"/>
        <v>-911.84747015335051</v>
      </c>
      <c r="CU75" s="196">
        <f t="shared" si="184"/>
        <v>9842.006659636867</v>
      </c>
      <c r="CV75" s="197">
        <f t="shared" si="184"/>
        <v>3614.8213178772971</v>
      </c>
      <c r="CW75" s="197">
        <f t="shared" si="185"/>
        <v>25903.194486603512</v>
      </c>
      <c r="CX75" s="197">
        <f t="shared" si="186"/>
        <v>-16061.187826966645</v>
      </c>
      <c r="CY75" s="199">
        <f t="shared" si="187"/>
        <v>-12446.366509089346</v>
      </c>
      <c r="DB75" s="204">
        <f t="shared" si="201"/>
        <v>13</v>
      </c>
      <c r="DC75" s="219" t="s">
        <v>28</v>
      </c>
      <c r="DD75" s="760">
        <f>'Arable Inputs'!$H$18</f>
        <v>9.4</v>
      </c>
      <c r="DE75" s="760">
        <f>'Arable Inputs'!$H$25</f>
        <v>94.285714285714292</v>
      </c>
      <c r="DH75" s="762">
        <f>DD75*DE75</f>
        <v>886.28571428571433</v>
      </c>
      <c r="DI75" s="197">
        <f>'Arable NPV'!$E155</f>
        <v>330</v>
      </c>
      <c r="DJ75" s="197">
        <f t="shared" si="188"/>
        <v>1216.2857142857142</v>
      </c>
      <c r="DK75" s="197">
        <f>'Arable NPV'!$G155</f>
        <v>566.71194999999989</v>
      </c>
      <c r="DL75" s="197">
        <f>'Arable NPV'!$H155</f>
        <v>691.46913599999993</v>
      </c>
      <c r="DM75" s="197">
        <f>'Arable NPV'!$I155-'Arable NPV'!$I155</f>
        <v>0</v>
      </c>
      <c r="DN75" s="197">
        <f t="shared" si="189"/>
        <v>886.28571428571433</v>
      </c>
      <c r="DO75" s="197">
        <f t="shared" si="190"/>
        <v>1216.2857142857142</v>
      </c>
      <c r="DP75" s="196">
        <f t="shared" si="191"/>
        <v>621.622968102458</v>
      </c>
      <c r="DQ75" s="197">
        <f t="shared" si="192"/>
        <v>231.45536046368116</v>
      </c>
      <c r="DR75" s="197">
        <f t="shared" si="193"/>
        <v>0</v>
      </c>
      <c r="DS75" s="197">
        <f t="shared" si="194"/>
        <v>621.622968102458</v>
      </c>
      <c r="DT75" s="199">
        <f t="shared" si="195"/>
        <v>853.07832856613913</v>
      </c>
      <c r="DU75" s="196">
        <f t="shared" si="196"/>
        <v>9842.006659636867</v>
      </c>
      <c r="DV75" s="197">
        <f t="shared" si="196"/>
        <v>3614.8213178772971</v>
      </c>
      <c r="DW75" s="197">
        <f t="shared" si="196"/>
        <v>0</v>
      </c>
      <c r="DX75" s="197">
        <f t="shared" si="196"/>
        <v>9842.006659636867</v>
      </c>
      <c r="DY75" s="199">
        <f t="shared" si="196"/>
        <v>13456.827977514164</v>
      </c>
    </row>
    <row r="76" spans="2:129" x14ac:dyDescent="0.3">
      <c r="B76" s="204">
        <f t="shared" si="197"/>
        <v>14</v>
      </c>
      <c r="C76" s="219" t="s">
        <v>5</v>
      </c>
      <c r="D76" s="760">
        <f>'Arable Inputs'!$F$18</f>
        <v>2.6</v>
      </c>
      <c r="E76" s="760">
        <f>'Arable Inputs'!$F$25</f>
        <v>196.99</v>
      </c>
      <c r="F76" s="760">
        <f>'Arable Inputs'!$F$19</f>
        <v>2.6</v>
      </c>
      <c r="G76" s="760">
        <f>'Arable Inputs'!$F$26</f>
        <v>42.374999999999993</v>
      </c>
      <c r="H76" s="762">
        <f>D76*E76+F76*G76</f>
        <v>622.34900000000005</v>
      </c>
      <c r="I76" s="197">
        <f>'Arable NPV'!$E156</f>
        <v>330</v>
      </c>
      <c r="J76" s="197">
        <f t="shared" si="145"/>
        <v>952.34900000000005</v>
      </c>
      <c r="K76" s="197">
        <f>'Arable NPV'!$G156</f>
        <v>327.77441459954235</v>
      </c>
      <c r="L76" s="197">
        <f>'Arable NPV'!$H156</f>
        <v>704.91322685714283</v>
      </c>
      <c r="M76" s="197">
        <f t="shared" si="146"/>
        <v>1032.6876414566852</v>
      </c>
      <c r="N76" s="197">
        <f t="shared" si="147"/>
        <v>-410.3386414566852</v>
      </c>
      <c r="O76" s="197">
        <f t="shared" si="148"/>
        <v>-80.338641456685195</v>
      </c>
      <c r="P76" s="196">
        <f t="shared" si="149"/>
        <v>423.78938549341433</v>
      </c>
      <c r="Q76" s="197">
        <f t="shared" si="150"/>
        <v>224.71394219774871</v>
      </c>
      <c r="R76" s="197">
        <f t="shared" si="151"/>
        <v>703.21003324432422</v>
      </c>
      <c r="S76" s="197">
        <f t="shared" si="152"/>
        <v>-279.42064775090995</v>
      </c>
      <c r="T76" s="199">
        <f t="shared" si="153"/>
        <v>-54.706705553161257</v>
      </c>
      <c r="U76" s="196">
        <f t="shared" si="154"/>
        <v>10265.796045130281</v>
      </c>
      <c r="V76" s="197">
        <f t="shared" si="154"/>
        <v>3839.5352600750457</v>
      </c>
      <c r="W76" s="197">
        <f t="shared" si="154"/>
        <v>13654.80727654608</v>
      </c>
      <c r="X76" s="197">
        <f t="shared" si="154"/>
        <v>-3389.0112314157991</v>
      </c>
      <c r="Y76" s="199">
        <f t="shared" si="154"/>
        <v>450.52402865924654</v>
      </c>
      <c r="Z76" s="197"/>
      <c r="AB76" s="204">
        <f t="shared" si="198"/>
        <v>14</v>
      </c>
      <c r="AC76" s="219" t="s">
        <v>5</v>
      </c>
      <c r="AD76" s="760">
        <f>'Arable Inputs'!$F$18</f>
        <v>2.6</v>
      </c>
      <c r="AE76" s="760">
        <f>'Arable Inputs'!$F$25</f>
        <v>196.99</v>
      </c>
      <c r="AF76" s="760">
        <f>'Arable Inputs'!$F$19</f>
        <v>2.6</v>
      </c>
      <c r="AG76" s="760">
        <f>'Arable Inputs'!$F$26</f>
        <v>42.374999999999993</v>
      </c>
      <c r="AH76" s="762">
        <f>AD76*AE76+AF76*AG76</f>
        <v>622.34900000000005</v>
      </c>
      <c r="AI76" s="197">
        <f>'Arable NPV'!$E156</f>
        <v>330</v>
      </c>
      <c r="AJ76" s="197">
        <f t="shared" si="155"/>
        <v>952.34900000000005</v>
      </c>
      <c r="AK76" s="197">
        <f>'Arable NPV'!$G156</f>
        <v>327.77441459954235</v>
      </c>
      <c r="AL76" s="197">
        <f>'Arable NPV'!$H156</f>
        <v>704.91322685714283</v>
      </c>
      <c r="AM76" s="197">
        <f>'Arable NPV'!$I156+0.5*'Arable NPV'!$I156</f>
        <v>1549.031462185028</v>
      </c>
      <c r="AN76" s="197">
        <f t="shared" si="156"/>
        <v>-926.68246218502793</v>
      </c>
      <c r="AO76" s="197">
        <f t="shared" si="157"/>
        <v>-596.68246218502793</v>
      </c>
      <c r="AP76" s="196">
        <f t="shared" si="158"/>
        <v>423.78938549341433</v>
      </c>
      <c r="AQ76" s="197">
        <f t="shared" si="159"/>
        <v>224.71394219774871</v>
      </c>
      <c r="AR76" s="197">
        <f t="shared" si="160"/>
        <v>1054.8150498664866</v>
      </c>
      <c r="AS76" s="197">
        <f t="shared" si="161"/>
        <v>-631.02566437307223</v>
      </c>
      <c r="AT76" s="199">
        <f t="shared" si="162"/>
        <v>-406.3117221753235</v>
      </c>
      <c r="AU76" s="196">
        <f t="shared" si="163"/>
        <v>10265.796045130281</v>
      </c>
      <c r="AV76" s="197">
        <f t="shared" si="163"/>
        <v>3839.5352600750457</v>
      </c>
      <c r="AW76" s="197">
        <f t="shared" si="163"/>
        <v>20482.210914819119</v>
      </c>
      <c r="AX76" s="197">
        <f t="shared" si="163"/>
        <v>-10216.414869688837</v>
      </c>
      <c r="AY76" s="199">
        <f t="shared" si="164"/>
        <v>-6376.879609613793</v>
      </c>
      <c r="BB76" s="204">
        <f t="shared" si="199"/>
        <v>14</v>
      </c>
      <c r="BC76" s="219" t="s">
        <v>5</v>
      </c>
      <c r="BD76" s="760">
        <f>'Arable Inputs'!$F$18</f>
        <v>2.6</v>
      </c>
      <c r="BE76" s="760">
        <f>'Arable Inputs'!$F$25</f>
        <v>196.99</v>
      </c>
      <c r="BF76" s="760">
        <f>'Arable Inputs'!$F$19</f>
        <v>2.6</v>
      </c>
      <c r="BG76" s="760">
        <f>'Arable Inputs'!$F$26</f>
        <v>42.374999999999993</v>
      </c>
      <c r="BH76" s="762">
        <f>BD76*BE76+BF76*BG76</f>
        <v>622.34900000000005</v>
      </c>
      <c r="BI76" s="197">
        <f>'Arable NPV'!$E156</f>
        <v>330</v>
      </c>
      <c r="BJ76" s="197">
        <f t="shared" si="165"/>
        <v>952.34900000000005</v>
      </c>
      <c r="BK76" s="197">
        <f>'Arable NPV'!$G156</f>
        <v>327.77441459954235</v>
      </c>
      <c r="BL76" s="197">
        <f>'Arable NPV'!$H156</f>
        <v>704.91322685714283</v>
      </c>
      <c r="BM76" s="197">
        <f>'Arable NPV'!$I156-0.5*'Arable NPV'!$I156</f>
        <v>516.34382072834262</v>
      </c>
      <c r="BN76" s="197">
        <f t="shared" si="166"/>
        <v>106.00517927165743</v>
      </c>
      <c r="BO76" s="197">
        <f t="shared" si="167"/>
        <v>436.00517927165743</v>
      </c>
      <c r="BP76" s="196">
        <f t="shared" si="168"/>
        <v>423.78938549341433</v>
      </c>
      <c r="BQ76" s="197">
        <f t="shared" si="169"/>
        <v>224.71394219774871</v>
      </c>
      <c r="BR76" s="197">
        <f t="shared" si="170"/>
        <v>351.60501662216211</v>
      </c>
      <c r="BS76" s="197">
        <f t="shared" si="171"/>
        <v>72.184368871252175</v>
      </c>
      <c r="BT76" s="199">
        <f t="shared" si="172"/>
        <v>296.8983110690009</v>
      </c>
      <c r="BU76" s="196">
        <f t="shared" si="173"/>
        <v>10265.796045130281</v>
      </c>
      <c r="BV76" s="197">
        <f t="shared" si="173"/>
        <v>3839.5352600750457</v>
      </c>
      <c r="BW76" s="197">
        <f t="shared" si="173"/>
        <v>6827.4036382730401</v>
      </c>
      <c r="BX76" s="197">
        <f t="shared" si="174"/>
        <v>3438.3924068572405</v>
      </c>
      <c r="BY76" s="199">
        <f t="shared" si="175"/>
        <v>7277.9276669322862</v>
      </c>
      <c r="CB76" s="204">
        <f t="shared" si="200"/>
        <v>14</v>
      </c>
      <c r="CC76" s="219" t="s">
        <v>5</v>
      </c>
      <c r="CD76" s="760">
        <f>'Arable Inputs'!$F$18</f>
        <v>2.6</v>
      </c>
      <c r="CE76" s="760">
        <f>'Arable Inputs'!$F$25</f>
        <v>196.99</v>
      </c>
      <c r="CF76" s="760">
        <f>'Arable Inputs'!$F$19</f>
        <v>2.6</v>
      </c>
      <c r="CG76" s="760">
        <f>'Arable Inputs'!$F$26</f>
        <v>42.374999999999993</v>
      </c>
      <c r="CH76" s="762">
        <f>CD76*CE76+CF76*CG76</f>
        <v>622.34900000000005</v>
      </c>
      <c r="CI76" s="197">
        <f>'Arable NPV'!$E156</f>
        <v>330</v>
      </c>
      <c r="CJ76" s="197">
        <f t="shared" si="176"/>
        <v>952.34900000000005</v>
      </c>
      <c r="CK76" s="197">
        <f>'Arable NPV'!$G156</f>
        <v>327.77441459954235</v>
      </c>
      <c r="CL76" s="197">
        <f>'Arable NPV'!$H156</f>
        <v>704.91322685714283</v>
      </c>
      <c r="CM76" s="197">
        <f>'Arable NPV'!$I156+'Arable NPV'!$I156</f>
        <v>2065.3752829133705</v>
      </c>
      <c r="CN76" s="197">
        <f t="shared" si="177"/>
        <v>-1443.0262829133703</v>
      </c>
      <c r="CO76" s="197">
        <f t="shared" si="178"/>
        <v>-1113.0262829133703</v>
      </c>
      <c r="CP76" s="196">
        <f t="shared" si="179"/>
        <v>423.78938549341433</v>
      </c>
      <c r="CQ76" s="197">
        <f t="shared" si="180"/>
        <v>224.71394219774871</v>
      </c>
      <c r="CR76" s="197">
        <f t="shared" si="181"/>
        <v>1406.4200664886484</v>
      </c>
      <c r="CS76" s="197">
        <f t="shared" si="182"/>
        <v>-982.63068099523412</v>
      </c>
      <c r="CT76" s="199">
        <f t="shared" si="183"/>
        <v>-757.91673879748544</v>
      </c>
      <c r="CU76" s="196">
        <f t="shared" si="184"/>
        <v>10265.796045130281</v>
      </c>
      <c r="CV76" s="197">
        <f t="shared" si="184"/>
        <v>3839.5352600750457</v>
      </c>
      <c r="CW76" s="197">
        <f t="shared" si="185"/>
        <v>27309.61455309216</v>
      </c>
      <c r="CX76" s="197">
        <f t="shared" si="186"/>
        <v>-17043.818507961878</v>
      </c>
      <c r="CY76" s="199">
        <f t="shared" si="187"/>
        <v>-13204.283247886831</v>
      </c>
      <c r="DB76" s="204">
        <f t="shared" si="201"/>
        <v>14</v>
      </c>
      <c r="DC76" s="219" t="s">
        <v>5</v>
      </c>
      <c r="DD76" s="760">
        <f>'Arable Inputs'!$F$18</f>
        <v>2.6</v>
      </c>
      <c r="DE76" s="760">
        <f>'Arable Inputs'!$F$25</f>
        <v>196.99</v>
      </c>
      <c r="DF76" s="760">
        <f>'Arable Inputs'!$F$19</f>
        <v>2.6</v>
      </c>
      <c r="DG76" s="760">
        <f>'Arable Inputs'!$F$26</f>
        <v>42.374999999999993</v>
      </c>
      <c r="DH76" s="762">
        <f>DD76*DE76+DF76*DG76</f>
        <v>622.34900000000005</v>
      </c>
      <c r="DI76" s="197">
        <f>'Arable NPV'!$E156</f>
        <v>330</v>
      </c>
      <c r="DJ76" s="197">
        <f t="shared" si="188"/>
        <v>952.34900000000005</v>
      </c>
      <c r="DK76" s="197">
        <f>'Arable NPV'!$G156</f>
        <v>327.77441459954235</v>
      </c>
      <c r="DL76" s="197">
        <f>'Arable NPV'!$H156</f>
        <v>704.91322685714283</v>
      </c>
      <c r="DM76" s="197">
        <f>'Arable NPV'!$I156-'Arable NPV'!$I156</f>
        <v>0</v>
      </c>
      <c r="DN76" s="197">
        <f t="shared" si="189"/>
        <v>622.34900000000005</v>
      </c>
      <c r="DO76" s="197">
        <f t="shared" si="190"/>
        <v>952.34900000000005</v>
      </c>
      <c r="DP76" s="196">
        <f t="shared" si="191"/>
        <v>423.78938549341433</v>
      </c>
      <c r="DQ76" s="197">
        <f t="shared" si="192"/>
        <v>224.71394219774871</v>
      </c>
      <c r="DR76" s="197">
        <f t="shared" si="193"/>
        <v>0</v>
      </c>
      <c r="DS76" s="197">
        <f t="shared" si="194"/>
        <v>423.78938549341433</v>
      </c>
      <c r="DT76" s="199">
        <f t="shared" si="195"/>
        <v>648.50332769116301</v>
      </c>
      <c r="DU76" s="196">
        <f t="shared" si="196"/>
        <v>10265.796045130281</v>
      </c>
      <c r="DV76" s="197">
        <f t="shared" si="196"/>
        <v>3839.5352600750457</v>
      </c>
      <c r="DW76" s="197">
        <f t="shared" si="196"/>
        <v>0</v>
      </c>
      <c r="DX76" s="197">
        <f t="shared" si="196"/>
        <v>10265.796045130281</v>
      </c>
      <c r="DY76" s="199">
        <f t="shared" si="196"/>
        <v>14105.331305205327</v>
      </c>
    </row>
    <row r="77" spans="2:129" x14ac:dyDescent="0.3">
      <c r="B77" s="204">
        <f t="shared" si="197"/>
        <v>15</v>
      </c>
      <c r="C77" s="219" t="s">
        <v>559</v>
      </c>
      <c r="D77" s="760">
        <f>'Arable Inputs'!$E$18</f>
        <v>3.1</v>
      </c>
      <c r="E77" s="760">
        <f>'Arable Inputs'!$E$25</f>
        <v>310.75</v>
      </c>
      <c r="H77" s="762">
        <f>D77*E77</f>
        <v>963.32500000000005</v>
      </c>
      <c r="I77" s="197">
        <f>'Arable NPV'!$E157</f>
        <v>330</v>
      </c>
      <c r="J77" s="197">
        <f t="shared" si="145"/>
        <v>1293.325</v>
      </c>
      <c r="K77" s="197">
        <f>'Arable NPV'!$G157</f>
        <v>300.32802631578949</v>
      </c>
      <c r="L77" s="197">
        <f>'Arable NPV'!$H157</f>
        <v>547.62448399999994</v>
      </c>
      <c r="M77" s="197">
        <f t="shared" si="146"/>
        <v>847.95251031578937</v>
      </c>
      <c r="N77" s="197">
        <f t="shared" si="147"/>
        <v>115.37248968421068</v>
      </c>
      <c r="O77" s="197">
        <f t="shared" si="148"/>
        <v>445.37248968421068</v>
      </c>
      <c r="P77" s="196">
        <f t="shared" si="149"/>
        <v>636.87131029022146</v>
      </c>
      <c r="Q77" s="197">
        <f t="shared" si="150"/>
        <v>218.16887592014436</v>
      </c>
      <c r="R77" s="197">
        <f t="shared" si="151"/>
        <v>560.59650305836476</v>
      </c>
      <c r="S77" s="197">
        <f t="shared" si="152"/>
        <v>76.274807231856641</v>
      </c>
      <c r="T77" s="199">
        <f t="shared" si="153"/>
        <v>294.44368315200097</v>
      </c>
      <c r="U77" s="196">
        <f t="shared" si="154"/>
        <v>10902.667355420503</v>
      </c>
      <c r="V77" s="197">
        <f t="shared" si="154"/>
        <v>4057.70413599519</v>
      </c>
      <c r="W77" s="197">
        <f t="shared" si="154"/>
        <v>14215.403779604445</v>
      </c>
      <c r="X77" s="197">
        <f t="shared" si="154"/>
        <v>-3312.7364241839423</v>
      </c>
      <c r="Y77" s="199">
        <f t="shared" si="154"/>
        <v>744.96771181124745</v>
      </c>
      <c r="Z77" s="197"/>
      <c r="AB77" s="204">
        <f t="shared" si="198"/>
        <v>15</v>
      </c>
      <c r="AC77" s="219" t="s">
        <v>559</v>
      </c>
      <c r="AD77" s="760">
        <f>'Arable Inputs'!$E$18</f>
        <v>3.1</v>
      </c>
      <c r="AE77" s="760">
        <f>'Arable Inputs'!$E$25</f>
        <v>310.75</v>
      </c>
      <c r="AH77" s="762">
        <f>AD77*AE77</f>
        <v>963.32500000000005</v>
      </c>
      <c r="AI77" s="197">
        <f>'Arable NPV'!$E157</f>
        <v>330</v>
      </c>
      <c r="AJ77" s="197">
        <f t="shared" si="155"/>
        <v>1293.325</v>
      </c>
      <c r="AK77" s="197">
        <f>'Arable NPV'!$G157</f>
        <v>300.32802631578949</v>
      </c>
      <c r="AL77" s="197">
        <f>'Arable NPV'!$H157</f>
        <v>547.62448399999994</v>
      </c>
      <c r="AM77" s="197">
        <f>'Arable NPV'!$I157+0.5*'Arable NPV'!$I157</f>
        <v>1271.9287654736841</v>
      </c>
      <c r="AN77" s="197">
        <f t="shared" si="156"/>
        <v>-308.60376547368401</v>
      </c>
      <c r="AO77" s="197">
        <f t="shared" si="157"/>
        <v>21.396234526315993</v>
      </c>
      <c r="AP77" s="196">
        <f t="shared" si="158"/>
        <v>636.87131029022146</v>
      </c>
      <c r="AQ77" s="197">
        <f t="shared" si="159"/>
        <v>218.16887592014436</v>
      </c>
      <c r="AR77" s="197">
        <f t="shared" si="160"/>
        <v>840.89475458754714</v>
      </c>
      <c r="AS77" s="197">
        <f t="shared" si="161"/>
        <v>-204.02344429732574</v>
      </c>
      <c r="AT77" s="199">
        <f t="shared" si="162"/>
        <v>14.145431622818613</v>
      </c>
      <c r="AU77" s="196">
        <f t="shared" si="163"/>
        <v>10902.667355420503</v>
      </c>
      <c r="AV77" s="197">
        <f t="shared" si="163"/>
        <v>4057.70413599519</v>
      </c>
      <c r="AW77" s="197">
        <f t="shared" si="163"/>
        <v>21323.105669406665</v>
      </c>
      <c r="AX77" s="197">
        <f t="shared" si="163"/>
        <v>-10420.438313986162</v>
      </c>
      <c r="AY77" s="199">
        <f t="shared" si="164"/>
        <v>-6362.7341779909748</v>
      </c>
      <c r="BB77" s="204">
        <f t="shared" si="199"/>
        <v>15</v>
      </c>
      <c r="BC77" s="219" t="s">
        <v>559</v>
      </c>
      <c r="BD77" s="760">
        <f>'Arable Inputs'!$E$18</f>
        <v>3.1</v>
      </c>
      <c r="BE77" s="760">
        <f>'Arable Inputs'!$E$25</f>
        <v>310.75</v>
      </c>
      <c r="BH77" s="762">
        <f>BD77*BE77</f>
        <v>963.32500000000005</v>
      </c>
      <c r="BI77" s="197">
        <f>'Arable NPV'!$E157</f>
        <v>330</v>
      </c>
      <c r="BJ77" s="197">
        <f t="shared" si="165"/>
        <v>1293.325</v>
      </c>
      <c r="BK77" s="197">
        <f>'Arable NPV'!$G157</f>
        <v>300.32802631578949</v>
      </c>
      <c r="BL77" s="197">
        <f>'Arable NPV'!$H157</f>
        <v>547.62448399999994</v>
      </c>
      <c r="BM77" s="197">
        <f>'Arable NPV'!$I157-0.5*'Arable NPV'!$I157</f>
        <v>423.97625515789468</v>
      </c>
      <c r="BN77" s="197">
        <f t="shared" si="166"/>
        <v>539.34874484210536</v>
      </c>
      <c r="BO77" s="197">
        <f t="shared" si="167"/>
        <v>869.34874484210536</v>
      </c>
      <c r="BP77" s="196">
        <f t="shared" si="168"/>
        <v>636.87131029022146</v>
      </c>
      <c r="BQ77" s="197">
        <f t="shared" si="169"/>
        <v>218.16887592014436</v>
      </c>
      <c r="BR77" s="197">
        <f t="shared" si="170"/>
        <v>280.29825152918238</v>
      </c>
      <c r="BS77" s="197">
        <f t="shared" si="171"/>
        <v>356.57305876103902</v>
      </c>
      <c r="BT77" s="199">
        <f t="shared" si="172"/>
        <v>574.74193468118335</v>
      </c>
      <c r="BU77" s="196">
        <f t="shared" si="173"/>
        <v>10902.667355420503</v>
      </c>
      <c r="BV77" s="197">
        <f t="shared" si="173"/>
        <v>4057.70413599519</v>
      </c>
      <c r="BW77" s="197">
        <f t="shared" si="173"/>
        <v>7107.7018898022225</v>
      </c>
      <c r="BX77" s="197">
        <f t="shared" si="174"/>
        <v>3794.9654656182797</v>
      </c>
      <c r="BY77" s="199">
        <f t="shared" si="175"/>
        <v>7852.6696016134692</v>
      </c>
      <c r="CB77" s="204">
        <f t="shared" si="200"/>
        <v>15</v>
      </c>
      <c r="CC77" s="219" t="s">
        <v>559</v>
      </c>
      <c r="CD77" s="760">
        <f>'Arable Inputs'!$E$18</f>
        <v>3.1</v>
      </c>
      <c r="CE77" s="760">
        <f>'Arable Inputs'!$E$25</f>
        <v>310.75</v>
      </c>
      <c r="CH77" s="762">
        <f>CD77*CE77</f>
        <v>963.32500000000005</v>
      </c>
      <c r="CI77" s="197">
        <f>'Arable NPV'!$E157</f>
        <v>330</v>
      </c>
      <c r="CJ77" s="197">
        <f t="shared" si="176"/>
        <v>1293.325</v>
      </c>
      <c r="CK77" s="197">
        <f>'Arable NPV'!$G157</f>
        <v>300.32802631578949</v>
      </c>
      <c r="CL77" s="197">
        <f>'Arable NPV'!$H157</f>
        <v>547.62448399999994</v>
      </c>
      <c r="CM77" s="197">
        <f>'Arable NPV'!$I157+'Arable NPV'!$I157</f>
        <v>1695.9050206315787</v>
      </c>
      <c r="CN77" s="197">
        <f t="shared" si="177"/>
        <v>-732.58002063157869</v>
      </c>
      <c r="CO77" s="197">
        <f t="shared" si="178"/>
        <v>-402.58002063157869</v>
      </c>
      <c r="CP77" s="196">
        <f t="shared" si="179"/>
        <v>636.87131029022146</v>
      </c>
      <c r="CQ77" s="197">
        <f t="shared" si="180"/>
        <v>218.16887592014436</v>
      </c>
      <c r="CR77" s="197">
        <f t="shared" si="181"/>
        <v>1121.1930061167295</v>
      </c>
      <c r="CS77" s="197">
        <f t="shared" si="182"/>
        <v>-484.32169582650812</v>
      </c>
      <c r="CT77" s="199">
        <f t="shared" si="183"/>
        <v>-266.15281990636379</v>
      </c>
      <c r="CU77" s="196">
        <f t="shared" si="184"/>
        <v>10902.667355420503</v>
      </c>
      <c r="CV77" s="197">
        <f t="shared" si="184"/>
        <v>4057.70413599519</v>
      </c>
      <c r="CW77" s="197">
        <f t="shared" si="185"/>
        <v>28430.80755920889</v>
      </c>
      <c r="CX77" s="197">
        <f t="shared" si="186"/>
        <v>-17528.140203788385</v>
      </c>
      <c r="CY77" s="199">
        <f t="shared" si="187"/>
        <v>-13470.436067793195</v>
      </c>
      <c r="DB77" s="204">
        <f t="shared" si="201"/>
        <v>15</v>
      </c>
      <c r="DC77" s="219" t="s">
        <v>559</v>
      </c>
      <c r="DD77" s="760">
        <f>'Arable Inputs'!$E$18</f>
        <v>3.1</v>
      </c>
      <c r="DE77" s="760">
        <f>'Arable Inputs'!$E$25</f>
        <v>310.75</v>
      </c>
      <c r="DH77" s="762">
        <f>DD77*DE77</f>
        <v>963.32500000000005</v>
      </c>
      <c r="DI77" s="197">
        <f>'Arable NPV'!$E157</f>
        <v>330</v>
      </c>
      <c r="DJ77" s="197">
        <f t="shared" si="188"/>
        <v>1293.325</v>
      </c>
      <c r="DK77" s="197">
        <f>'Arable NPV'!$G157</f>
        <v>300.32802631578949</v>
      </c>
      <c r="DL77" s="197">
        <f>'Arable NPV'!$H157</f>
        <v>547.62448399999994</v>
      </c>
      <c r="DM77" s="197">
        <f>'Arable NPV'!$I157-'Arable NPV'!$I157</f>
        <v>0</v>
      </c>
      <c r="DN77" s="197">
        <f t="shared" si="189"/>
        <v>963.32500000000005</v>
      </c>
      <c r="DO77" s="197">
        <f t="shared" si="190"/>
        <v>1293.325</v>
      </c>
      <c r="DP77" s="196">
        <f t="shared" si="191"/>
        <v>636.87131029022146</v>
      </c>
      <c r="DQ77" s="197">
        <f t="shared" si="192"/>
        <v>218.16887592014436</v>
      </c>
      <c r="DR77" s="197">
        <f t="shared" si="193"/>
        <v>0</v>
      </c>
      <c r="DS77" s="197">
        <f t="shared" si="194"/>
        <v>636.87131029022146</v>
      </c>
      <c r="DT77" s="199">
        <f t="shared" si="195"/>
        <v>855.04018621036573</v>
      </c>
      <c r="DU77" s="196">
        <f t="shared" si="196"/>
        <v>10902.667355420503</v>
      </c>
      <c r="DV77" s="197">
        <f t="shared" si="196"/>
        <v>4057.70413599519</v>
      </c>
      <c r="DW77" s="197">
        <f t="shared" si="196"/>
        <v>0</v>
      </c>
      <c r="DX77" s="197">
        <f t="shared" si="196"/>
        <v>10902.667355420503</v>
      </c>
      <c r="DY77" s="199">
        <f t="shared" si="196"/>
        <v>14960.371491415694</v>
      </c>
    </row>
    <row r="78" spans="2:129" x14ac:dyDescent="0.3">
      <c r="B78" s="206">
        <f t="shared" si="197"/>
        <v>16</v>
      </c>
      <c r="C78" s="220" t="s">
        <v>4</v>
      </c>
      <c r="D78" s="761">
        <f>'Arable Inputs'!$D$18</f>
        <v>5.5</v>
      </c>
      <c r="E78" s="761">
        <f>'Arable Inputs'!$D$25</f>
        <v>210</v>
      </c>
      <c r="F78" s="761">
        <f>'Arable Inputs'!$D$19</f>
        <v>3.9</v>
      </c>
      <c r="G78" s="761">
        <f>'Arable Inputs'!$D$26</f>
        <v>73.449999999999989</v>
      </c>
      <c r="H78" s="207">
        <f>D78*E78+F78*G78</f>
        <v>1441.4549999999999</v>
      </c>
      <c r="I78" s="207">
        <f>'Arable NPV'!$E158</f>
        <v>330</v>
      </c>
      <c r="J78" s="207">
        <f t="shared" si="145"/>
        <v>1771.4549999999999</v>
      </c>
      <c r="K78" s="207">
        <f>'Arable NPV'!$G158</f>
        <v>622.34710631578946</v>
      </c>
      <c r="L78" s="207">
        <f>'Arable NPV'!$H158</f>
        <v>943.00233600000001</v>
      </c>
      <c r="M78" s="207">
        <f t="shared" si="146"/>
        <v>1565.3494423157895</v>
      </c>
      <c r="N78" s="207">
        <f t="shared" si="147"/>
        <v>-123.89444231578955</v>
      </c>
      <c r="O78" s="207">
        <f t="shared" si="148"/>
        <v>206.10555768421045</v>
      </c>
      <c r="P78" s="208">
        <f t="shared" si="149"/>
        <v>925.21511338473567</v>
      </c>
      <c r="Q78" s="207">
        <f t="shared" si="150"/>
        <v>211.81444264091684</v>
      </c>
      <c r="R78" s="207">
        <f t="shared" si="151"/>
        <v>1004.7382414011786</v>
      </c>
      <c r="S78" s="207">
        <f t="shared" si="152"/>
        <v>-79.523128016442982</v>
      </c>
      <c r="T78" s="209">
        <f>O78/(1+$B$4)^(B78-1)</f>
        <v>132.29131462447384</v>
      </c>
      <c r="U78" s="208">
        <f t="shared" si="154"/>
        <v>11827.882468805239</v>
      </c>
      <c r="V78" s="207">
        <f t="shared" si="154"/>
        <v>4269.5185786361071</v>
      </c>
      <c r="W78" s="207">
        <f t="shared" si="154"/>
        <v>15220.142021005624</v>
      </c>
      <c r="X78" s="207">
        <f t="shared" si="154"/>
        <v>-3392.2595522003853</v>
      </c>
      <c r="Y78" s="209">
        <f t="shared" si="154"/>
        <v>877.25902643572135</v>
      </c>
      <c r="Z78" s="197"/>
      <c r="AB78" s="206">
        <f t="shared" si="198"/>
        <v>16</v>
      </c>
      <c r="AC78" s="220" t="s">
        <v>4</v>
      </c>
      <c r="AD78" s="761">
        <f>'Arable Inputs'!$D$18</f>
        <v>5.5</v>
      </c>
      <c r="AE78" s="761">
        <f>'Arable Inputs'!$D$25</f>
        <v>210</v>
      </c>
      <c r="AF78" s="761">
        <f>'Arable Inputs'!$D$19</f>
        <v>3.9</v>
      </c>
      <c r="AG78" s="761">
        <f>'Arable Inputs'!$D$26</f>
        <v>73.449999999999989</v>
      </c>
      <c r="AH78" s="207">
        <f>AD78*AE78+AF78*AG78</f>
        <v>1441.4549999999999</v>
      </c>
      <c r="AI78" s="207">
        <f>'Arable NPV'!$E158</f>
        <v>330</v>
      </c>
      <c r="AJ78" s="207">
        <f t="shared" si="155"/>
        <v>1771.4549999999999</v>
      </c>
      <c r="AK78" s="207">
        <f>'Arable NPV'!$G158</f>
        <v>622.34710631578946</v>
      </c>
      <c r="AL78" s="207">
        <f>'Arable NPV'!$H158</f>
        <v>943.00233600000001</v>
      </c>
      <c r="AM78" s="207">
        <f>'Arable NPV'!$I158+0.5*'Arable NPV'!$I158</f>
        <v>2348.024163473684</v>
      </c>
      <c r="AN78" s="207">
        <f t="shared" si="156"/>
        <v>-906.56916347368406</v>
      </c>
      <c r="AO78" s="207">
        <f t="shared" si="157"/>
        <v>-576.56916347368406</v>
      </c>
      <c r="AP78" s="208">
        <f t="shared" si="158"/>
        <v>925.21511338473567</v>
      </c>
      <c r="AQ78" s="207">
        <f t="shared" si="159"/>
        <v>211.81444264091684</v>
      </c>
      <c r="AR78" s="207">
        <f t="shared" si="160"/>
        <v>1507.1073621017679</v>
      </c>
      <c r="AS78" s="207">
        <f t="shared" si="161"/>
        <v>-581.8922487170322</v>
      </c>
      <c r="AT78" s="209">
        <f>AO78/(1+$B$4)^(AB78-1)</f>
        <v>-370.07780607611534</v>
      </c>
      <c r="AU78" s="208">
        <f t="shared" si="163"/>
        <v>11827.882468805239</v>
      </c>
      <c r="AV78" s="207">
        <f t="shared" si="163"/>
        <v>4269.5185786361071</v>
      </c>
      <c r="AW78" s="207">
        <f t="shared" si="163"/>
        <v>22830.213031508432</v>
      </c>
      <c r="AX78" s="207">
        <f t="shared" si="163"/>
        <v>-11002.330562703195</v>
      </c>
      <c r="AY78" s="209">
        <f t="shared" si="164"/>
        <v>-6732.8119840670897</v>
      </c>
      <c r="BB78" s="206">
        <f t="shared" si="199"/>
        <v>16</v>
      </c>
      <c r="BC78" s="220" t="s">
        <v>4</v>
      </c>
      <c r="BD78" s="761">
        <f>'Arable Inputs'!$D$18</f>
        <v>5.5</v>
      </c>
      <c r="BE78" s="761">
        <f>'Arable Inputs'!$D$25</f>
        <v>210</v>
      </c>
      <c r="BF78" s="761">
        <f>'Arable Inputs'!$D$19</f>
        <v>3.9</v>
      </c>
      <c r="BG78" s="761">
        <f>'Arable Inputs'!$D$26</f>
        <v>73.449999999999989</v>
      </c>
      <c r="BH78" s="207">
        <f>BD78*BE78+BF78*BG78</f>
        <v>1441.4549999999999</v>
      </c>
      <c r="BI78" s="207">
        <f>'Arable NPV'!$E158</f>
        <v>330</v>
      </c>
      <c r="BJ78" s="207">
        <f t="shared" si="165"/>
        <v>1771.4549999999999</v>
      </c>
      <c r="BK78" s="207">
        <f>'Arable NPV'!$G158</f>
        <v>622.34710631578946</v>
      </c>
      <c r="BL78" s="207">
        <f>'Arable NPV'!$H158</f>
        <v>943.00233600000001</v>
      </c>
      <c r="BM78" s="207">
        <f>'Arable NPV'!$I158-0.5*'Arable NPV'!$I158</f>
        <v>782.67472115789474</v>
      </c>
      <c r="BN78" s="207">
        <f t="shared" si="166"/>
        <v>658.78027884210519</v>
      </c>
      <c r="BO78" s="207">
        <f t="shared" si="167"/>
        <v>988.78027884210519</v>
      </c>
      <c r="BP78" s="208">
        <f t="shared" si="168"/>
        <v>925.21511338473567</v>
      </c>
      <c r="BQ78" s="207">
        <f t="shared" si="169"/>
        <v>211.81444264091684</v>
      </c>
      <c r="BR78" s="207">
        <f t="shared" si="170"/>
        <v>502.36912070058929</v>
      </c>
      <c r="BS78" s="207">
        <f t="shared" si="171"/>
        <v>422.84599268414632</v>
      </c>
      <c r="BT78" s="209">
        <f>BO78/(1+$B$4)^(BB78-1)</f>
        <v>634.66043532506319</v>
      </c>
      <c r="BU78" s="208">
        <f t="shared" si="173"/>
        <v>11827.882468805239</v>
      </c>
      <c r="BV78" s="207">
        <f t="shared" si="173"/>
        <v>4269.5185786361071</v>
      </c>
      <c r="BW78" s="207">
        <f t="shared" si="173"/>
        <v>7610.071010502812</v>
      </c>
      <c r="BX78" s="207">
        <f t="shared" si="174"/>
        <v>4217.8114583024262</v>
      </c>
      <c r="BY78" s="209">
        <f t="shared" si="175"/>
        <v>8487.3300369385324</v>
      </c>
      <c r="CB78" s="206">
        <f t="shared" si="200"/>
        <v>16</v>
      </c>
      <c r="CC78" s="220" t="s">
        <v>4</v>
      </c>
      <c r="CD78" s="761">
        <f>'Arable Inputs'!$D$18</f>
        <v>5.5</v>
      </c>
      <c r="CE78" s="761">
        <f>'Arable Inputs'!$D$25</f>
        <v>210</v>
      </c>
      <c r="CF78" s="761">
        <f>'Arable Inputs'!$D$19</f>
        <v>3.9</v>
      </c>
      <c r="CG78" s="761">
        <f>'Arable Inputs'!$D$26</f>
        <v>73.449999999999989</v>
      </c>
      <c r="CH78" s="207">
        <f>CD78*CE78+CF78*CG78</f>
        <v>1441.4549999999999</v>
      </c>
      <c r="CI78" s="207">
        <f>'Arable NPV'!$E158</f>
        <v>330</v>
      </c>
      <c r="CJ78" s="207">
        <f t="shared" si="176"/>
        <v>1771.4549999999999</v>
      </c>
      <c r="CK78" s="207">
        <f>'Arable NPV'!$G158</f>
        <v>622.34710631578946</v>
      </c>
      <c r="CL78" s="207">
        <f>'Arable NPV'!$H158</f>
        <v>943.00233600000001</v>
      </c>
      <c r="CM78" s="207">
        <f>'Arable NPV'!$I158+'Arable NPV'!$I158</f>
        <v>3130.6988846315789</v>
      </c>
      <c r="CN78" s="207">
        <f t="shared" si="177"/>
        <v>-1689.243884631579</v>
      </c>
      <c r="CO78" s="207">
        <f t="shared" si="178"/>
        <v>-1359.243884631579</v>
      </c>
      <c r="CP78" s="208">
        <f t="shared" si="179"/>
        <v>925.21511338473567</v>
      </c>
      <c r="CQ78" s="207">
        <f t="shared" si="180"/>
        <v>211.81444264091684</v>
      </c>
      <c r="CR78" s="207">
        <f t="shared" si="181"/>
        <v>2009.4764828023572</v>
      </c>
      <c r="CS78" s="207">
        <f t="shared" si="182"/>
        <v>-1084.2613694176216</v>
      </c>
      <c r="CT78" s="209">
        <f>CO78/(1+$B$4)^(CB78-1)</f>
        <v>-872.4469267767048</v>
      </c>
      <c r="CU78" s="208">
        <f t="shared" si="184"/>
        <v>11827.882468805239</v>
      </c>
      <c r="CV78" s="207">
        <f t="shared" si="184"/>
        <v>4269.5185786361071</v>
      </c>
      <c r="CW78" s="207">
        <f t="shared" si="185"/>
        <v>30440.284042011248</v>
      </c>
      <c r="CX78" s="207">
        <f t="shared" si="186"/>
        <v>-18612.401573206007</v>
      </c>
      <c r="CY78" s="209">
        <f t="shared" si="187"/>
        <v>-14342.8829945699</v>
      </c>
      <c r="DB78" s="206">
        <f t="shared" si="201"/>
        <v>16</v>
      </c>
      <c r="DC78" s="220" t="s">
        <v>4</v>
      </c>
      <c r="DD78" s="761">
        <f>'Arable Inputs'!$D$18</f>
        <v>5.5</v>
      </c>
      <c r="DE78" s="761">
        <f>'Arable Inputs'!$D$25</f>
        <v>210</v>
      </c>
      <c r="DF78" s="761">
        <f>'Arable Inputs'!$D$19</f>
        <v>3.9</v>
      </c>
      <c r="DG78" s="761">
        <f>'Arable Inputs'!$D$26</f>
        <v>73.449999999999989</v>
      </c>
      <c r="DH78" s="207">
        <f>DD78*DE78+DF78*DG78</f>
        <v>1441.4549999999999</v>
      </c>
      <c r="DI78" s="207">
        <f>'Arable NPV'!$E158</f>
        <v>330</v>
      </c>
      <c r="DJ78" s="207">
        <f t="shared" si="188"/>
        <v>1771.4549999999999</v>
      </c>
      <c r="DK78" s="207">
        <f>'Arable NPV'!$G158</f>
        <v>622.34710631578946</v>
      </c>
      <c r="DL78" s="207">
        <f>'Arable NPV'!$H158</f>
        <v>943.00233600000001</v>
      </c>
      <c r="DM78" s="207">
        <f>'Arable NPV'!$I158-'Arable NPV'!$I158</f>
        <v>0</v>
      </c>
      <c r="DN78" s="207">
        <f t="shared" si="189"/>
        <v>1441.4549999999999</v>
      </c>
      <c r="DO78" s="207">
        <f t="shared" si="190"/>
        <v>1771.4549999999999</v>
      </c>
      <c r="DP78" s="208">
        <f t="shared" si="191"/>
        <v>925.21511338473567</v>
      </c>
      <c r="DQ78" s="207">
        <f t="shared" si="192"/>
        <v>211.81444264091684</v>
      </c>
      <c r="DR78" s="207">
        <f t="shared" si="193"/>
        <v>0</v>
      </c>
      <c r="DS78" s="207">
        <f t="shared" si="194"/>
        <v>925.21511338473567</v>
      </c>
      <c r="DT78" s="209">
        <f>DO78/(1+$B$4)^(DB78-1)</f>
        <v>1137.0295560256525</v>
      </c>
      <c r="DU78" s="208">
        <f t="shared" si="196"/>
        <v>11827.882468805239</v>
      </c>
      <c r="DV78" s="207">
        <f t="shared" si="196"/>
        <v>4269.5185786361071</v>
      </c>
      <c r="DW78" s="207">
        <f t="shared" si="196"/>
        <v>0</v>
      </c>
      <c r="DX78" s="207">
        <f t="shared" si="196"/>
        <v>11827.882468805239</v>
      </c>
      <c r="DY78" s="209">
        <f t="shared" si="196"/>
        <v>16097.401047441346</v>
      </c>
    </row>
    <row r="84" spans="2:119" x14ac:dyDescent="0.3">
      <c r="B84" s="211" t="s">
        <v>91</v>
      </c>
      <c r="C84" s="763" t="s">
        <v>404</v>
      </c>
      <c r="D84" s="269" t="s">
        <v>395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Z84" s="211" t="s">
        <v>91</v>
      </c>
      <c r="AA84" s="211" t="s">
        <v>322</v>
      </c>
      <c r="AB84" s="769"/>
      <c r="AC84" s="194"/>
      <c r="AD84" s="193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X84" s="211" t="s">
        <v>91</v>
      </c>
      <c r="AY84" s="211" t="s">
        <v>323</v>
      </c>
      <c r="AZ84" s="231"/>
      <c r="BA84" s="194"/>
      <c r="BB84" s="193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V84" s="211" t="s">
        <v>91</v>
      </c>
      <c r="BW84" s="211" t="s">
        <v>324</v>
      </c>
      <c r="BX84" s="231"/>
      <c r="BY84" s="194"/>
      <c r="BZ84" s="193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O84" s="102"/>
      <c r="CP84" s="102"/>
      <c r="CQ84" s="102"/>
      <c r="CT84" s="211" t="s">
        <v>91</v>
      </c>
      <c r="CU84" s="211" t="s">
        <v>325</v>
      </c>
      <c r="CV84" s="231"/>
      <c r="CW84" s="194"/>
      <c r="CX84" s="193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  <c r="DL84" s="102"/>
      <c r="DM84" s="102"/>
      <c r="DN84" s="102"/>
      <c r="DO84" s="102"/>
    </row>
    <row r="85" spans="2:119" x14ac:dyDescent="0.3">
      <c r="B85" s="203"/>
      <c r="C85" s="148"/>
      <c r="D85" s="148"/>
      <c r="E85" s="1108"/>
      <c r="F85" s="1108"/>
      <c r="G85" s="1108"/>
      <c r="H85" s="148"/>
      <c r="I85" s="931"/>
      <c r="J85" s="1108"/>
      <c r="K85" s="1108"/>
      <c r="L85" s="148"/>
      <c r="M85" s="148"/>
      <c r="N85" s="1109" t="s">
        <v>270</v>
      </c>
      <c r="O85" s="1110"/>
      <c r="P85" s="1110"/>
      <c r="Q85" s="1110"/>
      <c r="R85" s="1111"/>
      <c r="S85" s="1109" t="s">
        <v>271</v>
      </c>
      <c r="T85" s="1110"/>
      <c r="U85" s="1110"/>
      <c r="V85" s="1110"/>
      <c r="W85" s="1111"/>
      <c r="X85" s="1001"/>
      <c r="Z85" s="203"/>
      <c r="AA85" s="148"/>
      <c r="AB85" s="148"/>
      <c r="AC85" s="992"/>
      <c r="AD85" s="992"/>
      <c r="AE85" s="992"/>
      <c r="AF85" s="148"/>
      <c r="AG85" s="931"/>
      <c r="AH85" s="992"/>
      <c r="AI85" s="992"/>
      <c r="AJ85" s="148"/>
      <c r="AK85" s="148"/>
      <c r="AL85" s="993" t="s">
        <v>270</v>
      </c>
      <c r="AM85" s="994"/>
      <c r="AN85" s="994"/>
      <c r="AO85" s="994"/>
      <c r="AP85" s="995"/>
      <c r="AQ85" s="993" t="s">
        <v>271</v>
      </c>
      <c r="AR85" s="994"/>
      <c r="AS85" s="994"/>
      <c r="AT85" s="994"/>
      <c r="AU85" s="995"/>
      <c r="AX85" s="203"/>
      <c r="AY85" s="148"/>
      <c r="AZ85" s="148"/>
      <c r="BA85" s="992"/>
      <c r="BB85" s="992"/>
      <c r="BC85" s="992"/>
      <c r="BD85" s="148"/>
      <c r="BE85" s="931"/>
      <c r="BF85" s="992"/>
      <c r="BG85" s="992"/>
      <c r="BH85" s="148"/>
      <c r="BI85" s="148"/>
      <c r="BJ85" s="993" t="s">
        <v>270</v>
      </c>
      <c r="BK85" s="994"/>
      <c r="BL85" s="994"/>
      <c r="BM85" s="994"/>
      <c r="BN85" s="995"/>
      <c r="BO85" s="993" t="s">
        <v>271</v>
      </c>
      <c r="BP85" s="994"/>
      <c r="BQ85" s="994"/>
      <c r="BR85" s="994"/>
      <c r="BS85" s="995"/>
      <c r="BV85" s="203"/>
      <c r="BW85" s="148"/>
      <c r="BX85" s="148"/>
      <c r="BY85" s="992"/>
      <c r="BZ85" s="992"/>
      <c r="CA85" s="992"/>
      <c r="CB85" s="148"/>
      <c r="CC85" s="931"/>
      <c r="CD85" s="992"/>
      <c r="CE85" s="992"/>
      <c r="CF85" s="148"/>
      <c r="CG85" s="148"/>
      <c r="CH85" s="993" t="s">
        <v>270</v>
      </c>
      <c r="CI85" s="994"/>
      <c r="CJ85" s="994"/>
      <c r="CK85" s="994"/>
      <c r="CL85" s="995"/>
      <c r="CM85" s="993" t="s">
        <v>271</v>
      </c>
      <c r="CN85" s="994"/>
      <c r="CO85" s="994"/>
      <c r="CP85" s="994"/>
      <c r="CQ85" s="995"/>
      <c r="CT85" s="203"/>
      <c r="CU85" s="148"/>
      <c r="CV85" s="148"/>
      <c r="CW85" s="992"/>
      <c r="CX85" s="992"/>
      <c r="CY85" s="992"/>
      <c r="CZ85" s="148"/>
      <c r="DA85" s="931"/>
      <c r="DB85" s="992"/>
      <c r="DC85" s="992"/>
      <c r="DD85" s="148"/>
      <c r="DE85" s="148"/>
      <c r="DF85" s="993" t="s">
        <v>270</v>
      </c>
      <c r="DG85" s="994"/>
      <c r="DH85" s="994"/>
      <c r="DI85" s="994"/>
      <c r="DJ85" s="995"/>
      <c r="DK85" s="993" t="s">
        <v>271</v>
      </c>
      <c r="DL85" s="994"/>
      <c r="DM85" s="994"/>
      <c r="DN85" s="994"/>
      <c r="DO85" s="995"/>
    </row>
    <row r="86" spans="2:119" ht="51" x14ac:dyDescent="0.3">
      <c r="B86" s="204" t="s">
        <v>272</v>
      </c>
      <c r="C86" s="205" t="s">
        <v>289</v>
      </c>
      <c r="D86" s="205" t="s">
        <v>290</v>
      </c>
      <c r="E86" s="171" t="s">
        <v>676</v>
      </c>
      <c r="F86" s="171" t="s">
        <v>672</v>
      </c>
      <c r="G86" s="171" t="s">
        <v>677</v>
      </c>
      <c r="H86" s="205" t="s">
        <v>287</v>
      </c>
      <c r="I86" s="935" t="str">
        <f>'Energy NPV'!U11</f>
        <v>Total Recurring Costs</v>
      </c>
      <c r="J86" s="205" t="s">
        <v>291</v>
      </c>
      <c r="K86" s="171" t="s">
        <v>276</v>
      </c>
      <c r="L86" s="171" t="s">
        <v>678</v>
      </c>
      <c r="M86" s="171" t="s">
        <v>679</v>
      </c>
      <c r="N86" s="195" t="s">
        <v>277</v>
      </c>
      <c r="O86" s="171" t="s">
        <v>680</v>
      </c>
      <c r="P86" s="171" t="s">
        <v>278</v>
      </c>
      <c r="Q86" s="171" t="s">
        <v>681</v>
      </c>
      <c r="R86" s="198" t="s">
        <v>279</v>
      </c>
      <c r="S86" s="195" t="s">
        <v>280</v>
      </c>
      <c r="T86" s="171" t="s">
        <v>682</v>
      </c>
      <c r="U86" s="171" t="s">
        <v>281</v>
      </c>
      <c r="V86" s="171" t="s">
        <v>683</v>
      </c>
      <c r="W86" s="198" t="s">
        <v>282</v>
      </c>
      <c r="X86" s="171"/>
      <c r="Z86" s="204" t="s">
        <v>272</v>
      </c>
      <c r="AA86" s="205" t="s">
        <v>289</v>
      </c>
      <c r="AB86" s="205" t="s">
        <v>290</v>
      </c>
      <c r="AC86" s="171" t="s">
        <v>676</v>
      </c>
      <c r="AD86" s="171" t="s">
        <v>672</v>
      </c>
      <c r="AE86" s="171" t="s">
        <v>677</v>
      </c>
      <c r="AF86" s="205" t="s">
        <v>287</v>
      </c>
      <c r="AG86" s="935" t="str">
        <f>'Energy NPV'!U11</f>
        <v>Total Recurring Costs</v>
      </c>
      <c r="AH86" s="205" t="s">
        <v>291</v>
      </c>
      <c r="AI86" s="171" t="s">
        <v>276</v>
      </c>
      <c r="AJ86" s="171" t="s">
        <v>678</v>
      </c>
      <c r="AK86" s="171" t="s">
        <v>679</v>
      </c>
      <c r="AL86" s="195" t="s">
        <v>277</v>
      </c>
      <c r="AM86" s="171" t="s">
        <v>680</v>
      </c>
      <c r="AN86" s="171" t="s">
        <v>278</v>
      </c>
      <c r="AO86" s="171" t="s">
        <v>681</v>
      </c>
      <c r="AP86" s="198" t="s">
        <v>279</v>
      </c>
      <c r="AQ86" s="195" t="s">
        <v>280</v>
      </c>
      <c r="AR86" s="171" t="s">
        <v>682</v>
      </c>
      <c r="AS86" s="171" t="s">
        <v>281</v>
      </c>
      <c r="AT86" s="171" t="s">
        <v>683</v>
      </c>
      <c r="AU86" s="198" t="s">
        <v>282</v>
      </c>
      <c r="AX86" s="204" t="s">
        <v>272</v>
      </c>
      <c r="AY86" s="205" t="s">
        <v>289</v>
      </c>
      <c r="AZ86" s="205" t="s">
        <v>290</v>
      </c>
      <c r="BA86" s="171" t="s">
        <v>676</v>
      </c>
      <c r="BB86" s="171" t="s">
        <v>672</v>
      </c>
      <c r="BC86" s="171" t="s">
        <v>677</v>
      </c>
      <c r="BD86" s="205" t="s">
        <v>287</v>
      </c>
      <c r="BE86" s="935" t="str">
        <f>'Energy NPV'!U11</f>
        <v>Total Recurring Costs</v>
      </c>
      <c r="BF86" s="205" t="s">
        <v>291</v>
      </c>
      <c r="BG86" s="171" t="s">
        <v>276</v>
      </c>
      <c r="BH86" s="171" t="s">
        <v>678</v>
      </c>
      <c r="BI86" s="171" t="s">
        <v>679</v>
      </c>
      <c r="BJ86" s="195" t="s">
        <v>277</v>
      </c>
      <c r="BK86" s="171" t="s">
        <v>680</v>
      </c>
      <c r="BL86" s="171" t="s">
        <v>278</v>
      </c>
      <c r="BM86" s="171" t="s">
        <v>681</v>
      </c>
      <c r="BN86" s="198" t="s">
        <v>279</v>
      </c>
      <c r="BO86" s="195" t="s">
        <v>280</v>
      </c>
      <c r="BP86" s="171" t="s">
        <v>682</v>
      </c>
      <c r="BQ86" s="171" t="s">
        <v>281</v>
      </c>
      <c r="BR86" s="171" t="s">
        <v>683</v>
      </c>
      <c r="BS86" s="198" t="s">
        <v>282</v>
      </c>
      <c r="BV86" s="204" t="s">
        <v>272</v>
      </c>
      <c r="BW86" s="205" t="s">
        <v>289</v>
      </c>
      <c r="BX86" s="205" t="s">
        <v>290</v>
      </c>
      <c r="BY86" s="171" t="s">
        <v>676</v>
      </c>
      <c r="BZ86" s="171" t="s">
        <v>672</v>
      </c>
      <c r="CA86" s="171" t="s">
        <v>677</v>
      </c>
      <c r="CB86" s="205" t="s">
        <v>287</v>
      </c>
      <c r="CC86" s="935" t="str">
        <f>'Energy NPV'!U11</f>
        <v>Total Recurring Costs</v>
      </c>
      <c r="CD86" s="205" t="s">
        <v>291</v>
      </c>
      <c r="CE86" s="171" t="s">
        <v>276</v>
      </c>
      <c r="CF86" s="171" t="s">
        <v>678</v>
      </c>
      <c r="CG86" s="171" t="s">
        <v>679</v>
      </c>
      <c r="CH86" s="195" t="s">
        <v>277</v>
      </c>
      <c r="CI86" s="171" t="s">
        <v>680</v>
      </c>
      <c r="CJ86" s="171" t="s">
        <v>278</v>
      </c>
      <c r="CK86" s="171" t="s">
        <v>681</v>
      </c>
      <c r="CL86" s="198" t="s">
        <v>279</v>
      </c>
      <c r="CM86" s="195" t="s">
        <v>280</v>
      </c>
      <c r="CN86" s="171" t="s">
        <v>682</v>
      </c>
      <c r="CO86" s="171" t="s">
        <v>281</v>
      </c>
      <c r="CP86" s="171" t="s">
        <v>683</v>
      </c>
      <c r="CQ86" s="198" t="s">
        <v>282</v>
      </c>
      <c r="CT86" s="204" t="s">
        <v>272</v>
      </c>
      <c r="CU86" s="205" t="s">
        <v>289</v>
      </c>
      <c r="CV86" s="205" t="s">
        <v>290</v>
      </c>
      <c r="CW86" s="171" t="s">
        <v>676</v>
      </c>
      <c r="CX86" s="171" t="s">
        <v>672</v>
      </c>
      <c r="CY86" s="171" t="s">
        <v>677</v>
      </c>
      <c r="CZ86" s="205" t="s">
        <v>287</v>
      </c>
      <c r="DA86" s="935" t="str">
        <f>'Energy NPV'!U11</f>
        <v>Total Recurring Costs</v>
      </c>
      <c r="DB86" s="205" t="s">
        <v>291</v>
      </c>
      <c r="DC86" s="171" t="s">
        <v>276</v>
      </c>
      <c r="DD86" s="171" t="s">
        <v>678</v>
      </c>
      <c r="DE86" s="171" t="s">
        <v>679</v>
      </c>
      <c r="DF86" s="195" t="s">
        <v>277</v>
      </c>
      <c r="DG86" s="171" t="s">
        <v>680</v>
      </c>
      <c r="DH86" s="171" t="s">
        <v>278</v>
      </c>
      <c r="DI86" s="171" t="s">
        <v>681</v>
      </c>
      <c r="DJ86" s="198" t="s">
        <v>279</v>
      </c>
      <c r="DK86" s="195" t="s">
        <v>280</v>
      </c>
      <c r="DL86" s="171" t="s">
        <v>682</v>
      </c>
      <c r="DM86" s="171" t="s">
        <v>281</v>
      </c>
      <c r="DN86" s="171" t="s">
        <v>683</v>
      </c>
      <c r="DO86" s="198" t="s">
        <v>282</v>
      </c>
    </row>
    <row r="87" spans="2:119" x14ac:dyDescent="0.3">
      <c r="B87" s="173"/>
      <c r="C87" s="226" t="s">
        <v>332</v>
      </c>
      <c r="D87" s="226" t="s">
        <v>569</v>
      </c>
      <c r="E87" s="201" t="s">
        <v>567</v>
      </c>
      <c r="F87" s="201" t="s">
        <v>567</v>
      </c>
      <c r="G87" s="201" t="s">
        <v>567</v>
      </c>
      <c r="H87" s="201" t="s">
        <v>567</v>
      </c>
      <c r="I87" s="969" t="str">
        <f>'Energy NPV'!U12</f>
        <v>(€ ha-1)</v>
      </c>
      <c r="J87" s="201" t="s">
        <v>567</v>
      </c>
      <c r="K87" s="201" t="s">
        <v>567</v>
      </c>
      <c r="L87" s="201" t="s">
        <v>567</v>
      </c>
      <c r="M87" s="202" t="s">
        <v>567</v>
      </c>
      <c r="N87" s="201" t="s">
        <v>567</v>
      </c>
      <c r="O87" s="201" t="s">
        <v>567</v>
      </c>
      <c r="P87" s="201" t="s">
        <v>567</v>
      </c>
      <c r="Q87" s="201" t="s">
        <v>567</v>
      </c>
      <c r="R87" s="202" t="s">
        <v>567</v>
      </c>
      <c r="S87" s="201" t="s">
        <v>567</v>
      </c>
      <c r="T87" s="201" t="s">
        <v>567</v>
      </c>
      <c r="U87" s="201" t="s">
        <v>567</v>
      </c>
      <c r="V87" s="201" t="s">
        <v>567</v>
      </c>
      <c r="W87" s="202" t="s">
        <v>567</v>
      </c>
      <c r="X87" s="1002"/>
      <c r="Z87" s="173"/>
      <c r="AA87" s="226" t="s">
        <v>332</v>
      </c>
      <c r="AB87" s="226" t="s">
        <v>569</v>
      </c>
      <c r="AC87" s="201" t="s">
        <v>567</v>
      </c>
      <c r="AD87" s="201" t="s">
        <v>567</v>
      </c>
      <c r="AE87" s="201" t="s">
        <v>567</v>
      </c>
      <c r="AF87" s="201" t="s">
        <v>567</v>
      </c>
      <c r="AG87" s="969" t="str">
        <f>'Energy NPV'!U12</f>
        <v>(€ ha-1)</v>
      </c>
      <c r="AH87" s="201" t="s">
        <v>567</v>
      </c>
      <c r="AI87" s="201" t="s">
        <v>567</v>
      </c>
      <c r="AJ87" s="201" t="s">
        <v>567</v>
      </c>
      <c r="AK87" s="202" t="s">
        <v>567</v>
      </c>
      <c r="AL87" s="201" t="s">
        <v>567</v>
      </c>
      <c r="AM87" s="201" t="s">
        <v>567</v>
      </c>
      <c r="AN87" s="201" t="s">
        <v>567</v>
      </c>
      <c r="AO87" s="201" t="s">
        <v>567</v>
      </c>
      <c r="AP87" s="202" t="s">
        <v>567</v>
      </c>
      <c r="AQ87" s="201" t="s">
        <v>567</v>
      </c>
      <c r="AR87" s="201" t="s">
        <v>567</v>
      </c>
      <c r="AS87" s="201" t="s">
        <v>567</v>
      </c>
      <c r="AT87" s="201" t="s">
        <v>567</v>
      </c>
      <c r="AU87" s="202" t="s">
        <v>567</v>
      </c>
      <c r="AX87" s="173"/>
      <c r="AY87" s="226" t="s">
        <v>332</v>
      </c>
      <c r="AZ87" s="226" t="s">
        <v>569</v>
      </c>
      <c r="BA87" s="201" t="s">
        <v>567</v>
      </c>
      <c r="BB87" s="201" t="s">
        <v>567</v>
      </c>
      <c r="BC87" s="201" t="s">
        <v>567</v>
      </c>
      <c r="BD87" s="201" t="s">
        <v>567</v>
      </c>
      <c r="BE87" s="969" t="str">
        <f>'Energy NPV'!U12</f>
        <v>(€ ha-1)</v>
      </c>
      <c r="BF87" s="201" t="s">
        <v>567</v>
      </c>
      <c r="BG87" s="201" t="s">
        <v>567</v>
      </c>
      <c r="BH87" s="201" t="s">
        <v>567</v>
      </c>
      <c r="BI87" s="202" t="s">
        <v>567</v>
      </c>
      <c r="BJ87" s="201" t="s">
        <v>567</v>
      </c>
      <c r="BK87" s="201" t="s">
        <v>567</v>
      </c>
      <c r="BL87" s="201" t="s">
        <v>567</v>
      </c>
      <c r="BM87" s="201" t="s">
        <v>567</v>
      </c>
      <c r="BN87" s="202" t="s">
        <v>567</v>
      </c>
      <c r="BO87" s="201" t="s">
        <v>567</v>
      </c>
      <c r="BP87" s="201" t="s">
        <v>567</v>
      </c>
      <c r="BQ87" s="201" t="s">
        <v>567</v>
      </c>
      <c r="BR87" s="201" t="s">
        <v>567</v>
      </c>
      <c r="BS87" s="202" t="s">
        <v>567</v>
      </c>
      <c r="BV87" s="173"/>
      <c r="BW87" s="226" t="s">
        <v>332</v>
      </c>
      <c r="BX87" s="226" t="s">
        <v>569</v>
      </c>
      <c r="BY87" s="201" t="s">
        <v>567</v>
      </c>
      <c r="BZ87" s="201" t="s">
        <v>567</v>
      </c>
      <c r="CA87" s="201" t="s">
        <v>567</v>
      </c>
      <c r="CB87" s="201" t="s">
        <v>567</v>
      </c>
      <c r="CC87" s="969" t="str">
        <f>'Energy NPV'!U12</f>
        <v>(€ ha-1)</v>
      </c>
      <c r="CD87" s="201" t="s">
        <v>567</v>
      </c>
      <c r="CE87" s="201" t="s">
        <v>567</v>
      </c>
      <c r="CF87" s="201" t="s">
        <v>567</v>
      </c>
      <c r="CG87" s="202" t="s">
        <v>567</v>
      </c>
      <c r="CH87" s="201" t="s">
        <v>567</v>
      </c>
      <c r="CI87" s="201" t="s">
        <v>567</v>
      </c>
      <c r="CJ87" s="201" t="s">
        <v>567</v>
      </c>
      <c r="CK87" s="201" t="s">
        <v>567</v>
      </c>
      <c r="CL87" s="202" t="s">
        <v>567</v>
      </c>
      <c r="CM87" s="201" t="s">
        <v>567</v>
      </c>
      <c r="CN87" s="201" t="s">
        <v>567</v>
      </c>
      <c r="CO87" s="201" t="s">
        <v>567</v>
      </c>
      <c r="CP87" s="201" t="s">
        <v>567</v>
      </c>
      <c r="CQ87" s="202" t="s">
        <v>567</v>
      </c>
      <c r="CT87" s="173"/>
      <c r="CU87" s="226" t="s">
        <v>332</v>
      </c>
      <c r="CV87" s="226" t="s">
        <v>569</v>
      </c>
      <c r="CW87" s="201" t="s">
        <v>567</v>
      </c>
      <c r="CX87" s="201" t="s">
        <v>567</v>
      </c>
      <c r="CY87" s="201" t="s">
        <v>567</v>
      </c>
      <c r="CZ87" s="201" t="s">
        <v>567</v>
      </c>
      <c r="DA87" s="969" t="str">
        <f>'Energy NPV'!U12</f>
        <v>(€ ha-1)</v>
      </c>
      <c r="DB87" s="201" t="s">
        <v>567</v>
      </c>
      <c r="DC87" s="201" t="s">
        <v>567</v>
      </c>
      <c r="DD87" s="201" t="s">
        <v>567</v>
      </c>
      <c r="DE87" s="202" t="s">
        <v>567</v>
      </c>
      <c r="DF87" s="201" t="s">
        <v>567</v>
      </c>
      <c r="DG87" s="201" t="s">
        <v>567</v>
      </c>
      <c r="DH87" s="201" t="s">
        <v>567</v>
      </c>
      <c r="DI87" s="201" t="s">
        <v>567</v>
      </c>
      <c r="DJ87" s="202" t="s">
        <v>567</v>
      </c>
      <c r="DK87" s="201" t="s">
        <v>567</v>
      </c>
      <c r="DL87" s="201" t="s">
        <v>567</v>
      </c>
      <c r="DM87" s="201" t="s">
        <v>567</v>
      </c>
      <c r="DN87" s="201" t="s">
        <v>567</v>
      </c>
      <c r="DO87" s="202" t="s">
        <v>567</v>
      </c>
    </row>
    <row r="88" spans="2:119" x14ac:dyDescent="0.3">
      <c r="B88" s="204">
        <v>1</v>
      </c>
      <c r="C88" s="759">
        <f>'Energy NPV'!$D13</f>
        <v>0</v>
      </c>
      <c r="D88" s="197">
        <f>'Energy margins'!$E$12</f>
        <v>43.75</v>
      </c>
      <c r="E88" s="197">
        <f>C88*D88</f>
        <v>0</v>
      </c>
      <c r="F88" s="197">
        <f>'Margins summary'!$Q$14</f>
        <v>330</v>
      </c>
      <c r="G88" s="197">
        <f>E88+F88</f>
        <v>330</v>
      </c>
      <c r="H88" s="197">
        <f>'Margins summary'!$P$20</f>
        <v>1887.233334</v>
      </c>
      <c r="I88" s="918">
        <f>'Energy NPV'!U13</f>
        <v>0</v>
      </c>
      <c r="J88" s="197"/>
      <c r="K88" s="197">
        <f>H88+I88+J88</f>
        <v>1887.233334</v>
      </c>
      <c r="L88" s="197">
        <f t="shared" ref="L88:L103" si="202">E88-K88</f>
        <v>-1887.233334</v>
      </c>
      <c r="M88" s="197">
        <f t="shared" ref="M88:M103" si="203">G88-K88</f>
        <v>-1557.233334</v>
      </c>
      <c r="N88" s="1033">
        <f>E88/((1+$B$4)^(B88-1))</f>
        <v>0</v>
      </c>
      <c r="O88" s="213">
        <f>F88/((1+$B$4)^(B88-1))</f>
        <v>330</v>
      </c>
      <c r="P88" s="213">
        <f>K88/((1+$B$4)^(B88-1))</f>
        <v>1887.233334</v>
      </c>
      <c r="Q88" s="213">
        <f>L88/((1+$B$4)^(B88-1))</f>
        <v>-1887.233334</v>
      </c>
      <c r="R88" s="929">
        <f>M88/((1+$B$4)^(B88-1))</f>
        <v>-1557.233334</v>
      </c>
      <c r="S88" s="196">
        <f>N88</f>
        <v>0</v>
      </c>
      <c r="T88" s="197">
        <f>O88</f>
        <v>330</v>
      </c>
      <c r="U88" s="197">
        <f>P88</f>
        <v>1887.233334</v>
      </c>
      <c r="V88" s="197">
        <f>Q88</f>
        <v>-1887.233334</v>
      </c>
      <c r="W88" s="199">
        <f>R88</f>
        <v>-1557.233334</v>
      </c>
      <c r="X88" s="197"/>
      <c r="Z88" s="204">
        <v>1</v>
      </c>
      <c r="AA88" s="759">
        <f>'Energy NPV'!$D13</f>
        <v>0</v>
      </c>
      <c r="AB88" s="197">
        <f>'Energy margins'!$E$12</f>
        <v>43.75</v>
      </c>
      <c r="AC88" s="197">
        <f>AA88*AB88</f>
        <v>0</v>
      </c>
      <c r="AD88" s="197">
        <f>'Margins summary'!$Q$14</f>
        <v>330</v>
      </c>
      <c r="AE88" s="197">
        <f>AC88+AD88</f>
        <v>330</v>
      </c>
      <c r="AF88" s="197">
        <f>'Margins summary'!$P$20</f>
        <v>1887.233334</v>
      </c>
      <c r="AG88" s="918">
        <f>'Energy NPV'!U13</f>
        <v>0</v>
      </c>
      <c r="AH88" s="197"/>
      <c r="AI88" s="197">
        <f>(AF88+AG88+AH88)+0.5*(AF88+AG88+AH88)</f>
        <v>2830.8500009999998</v>
      </c>
      <c r="AJ88" s="197">
        <f t="shared" ref="AJ88:AJ103" si="204">AC88-AI88</f>
        <v>-2830.8500009999998</v>
      </c>
      <c r="AK88" s="197">
        <f t="shared" ref="AK88:AK103" si="205">AE88-AI88</f>
        <v>-2500.8500009999998</v>
      </c>
      <c r="AL88" s="1033">
        <f>AC88/((1+$B$4)^(Z88-1))</f>
        <v>0</v>
      </c>
      <c r="AM88" s="213">
        <f>AD88/((1+$B$4)^(Z88-1))</f>
        <v>330</v>
      </c>
      <c r="AN88" s="213">
        <f>AI88/((1+$B$4)^(Z88-1))</f>
        <v>2830.8500009999998</v>
      </c>
      <c r="AO88" s="213">
        <f>AJ88/((1+$B$4)^(Z88-1))</f>
        <v>-2830.8500009999998</v>
      </c>
      <c r="AP88" s="929">
        <f>AK88/((1+$B$4)^(Z88-1))</f>
        <v>-2500.8500009999998</v>
      </c>
      <c r="AQ88" s="196">
        <f>AL88</f>
        <v>0</v>
      </c>
      <c r="AR88" s="197">
        <f>AM88</f>
        <v>330</v>
      </c>
      <c r="AS88" s="197">
        <f>AN88</f>
        <v>2830.8500009999998</v>
      </c>
      <c r="AT88" s="197">
        <f>AO88</f>
        <v>-2830.8500009999998</v>
      </c>
      <c r="AU88" s="199">
        <f>AP88</f>
        <v>-2500.8500009999998</v>
      </c>
      <c r="AX88" s="204">
        <v>1</v>
      </c>
      <c r="AY88" s="759">
        <f>'Energy NPV'!$D13</f>
        <v>0</v>
      </c>
      <c r="AZ88" s="197">
        <f>'Energy margins'!$E$12</f>
        <v>43.75</v>
      </c>
      <c r="BA88" s="197">
        <f>AY88*AZ88</f>
        <v>0</v>
      </c>
      <c r="BB88" s="197">
        <f>'Margins summary'!$Q$14</f>
        <v>330</v>
      </c>
      <c r="BC88" s="197">
        <f>BA88+BB88</f>
        <v>330</v>
      </c>
      <c r="BD88" s="197">
        <f>'Margins summary'!$P$20</f>
        <v>1887.233334</v>
      </c>
      <c r="BE88" s="918">
        <f>'Energy NPV'!U13</f>
        <v>0</v>
      </c>
      <c r="BF88" s="197"/>
      <c r="BG88" s="197">
        <f>(BD88+BE88+BF88)-0.5*(BD88+BE88+BF88)</f>
        <v>943.61666700000001</v>
      </c>
      <c r="BH88" s="197">
        <f t="shared" ref="BH88:BH103" si="206">BA88-BG88</f>
        <v>-943.61666700000001</v>
      </c>
      <c r="BI88" s="197">
        <f t="shared" ref="BI88:BI103" si="207">BC88-BG88</f>
        <v>-613.61666700000001</v>
      </c>
      <c r="BJ88" s="1033">
        <f>BA88/((1+$B$4)^(AX88-1))</f>
        <v>0</v>
      </c>
      <c r="BK88" s="213">
        <f>BB88/((1+$B$4)^(AX88-1))</f>
        <v>330</v>
      </c>
      <c r="BL88" s="213">
        <f>BG88/((1+$B$4)^(AX88-1))</f>
        <v>943.61666700000001</v>
      </c>
      <c r="BM88" s="213">
        <f>BH88/((1+$B$4)^(AX88-1))</f>
        <v>-943.61666700000001</v>
      </c>
      <c r="BN88" s="929">
        <f>BI88/((1+$B$4)^(AX88-1))</f>
        <v>-613.61666700000001</v>
      </c>
      <c r="BO88" s="196">
        <f>BJ88</f>
        <v>0</v>
      </c>
      <c r="BP88" s="197">
        <f>BK88</f>
        <v>330</v>
      </c>
      <c r="BQ88" s="197">
        <f>BL88</f>
        <v>943.61666700000001</v>
      </c>
      <c r="BR88" s="197">
        <f>BM88</f>
        <v>-943.61666700000001</v>
      </c>
      <c r="BS88" s="199">
        <f>BN88</f>
        <v>-613.61666700000001</v>
      </c>
      <c r="BV88" s="204">
        <v>1</v>
      </c>
      <c r="BW88" s="759">
        <f>'Energy NPV'!$D13</f>
        <v>0</v>
      </c>
      <c r="BX88" s="197">
        <f>'Energy margins'!$E$12</f>
        <v>43.75</v>
      </c>
      <c r="BY88" s="197">
        <f>BW88*BX88</f>
        <v>0</v>
      </c>
      <c r="BZ88" s="197">
        <f>'Margins summary'!$Q$14</f>
        <v>330</v>
      </c>
      <c r="CA88" s="197">
        <f>BY88+BZ88</f>
        <v>330</v>
      </c>
      <c r="CB88" s="197">
        <f>'Margins summary'!$P$20</f>
        <v>1887.233334</v>
      </c>
      <c r="CC88" s="918">
        <f>'Energy NPV'!U13</f>
        <v>0</v>
      </c>
      <c r="CD88" s="197"/>
      <c r="CE88" s="197">
        <f>CB88+CC88+CD88+CB88+CC88+CD88</f>
        <v>3774.466668</v>
      </c>
      <c r="CF88" s="197">
        <f t="shared" ref="CF88:CF103" si="208">BY88-CE88</f>
        <v>-3774.466668</v>
      </c>
      <c r="CG88" s="197">
        <f t="shared" ref="CG88:CG103" si="209">CA88-CE88</f>
        <v>-3444.466668</v>
      </c>
      <c r="CH88" s="1033">
        <f>BY88/((1+$B$4)^(BV88-1))</f>
        <v>0</v>
      </c>
      <c r="CI88" s="213">
        <f>BZ88/((1+$B$4)^(BV88-1))</f>
        <v>330</v>
      </c>
      <c r="CJ88" s="213">
        <f>CE88/((1+$B$4)^(BV88-1))</f>
        <v>3774.466668</v>
      </c>
      <c r="CK88" s="213">
        <f>CF88/((1+$B$4)^(BV88-1))</f>
        <v>-3774.466668</v>
      </c>
      <c r="CL88" s="929">
        <f>CG88/((1+$B$4)^(BV88-1))</f>
        <v>-3444.466668</v>
      </c>
      <c r="CM88" s="196">
        <f>CH88</f>
        <v>0</v>
      </c>
      <c r="CN88" s="197">
        <f>CI88</f>
        <v>330</v>
      </c>
      <c r="CO88" s="197">
        <f>CJ88</f>
        <v>3774.466668</v>
      </c>
      <c r="CP88" s="197">
        <f>CK88</f>
        <v>-3774.466668</v>
      </c>
      <c r="CQ88" s="199">
        <f>CL88</f>
        <v>-3444.466668</v>
      </c>
      <c r="CT88" s="204">
        <v>1</v>
      </c>
      <c r="CU88" s="759">
        <f>'Energy NPV'!$D13</f>
        <v>0</v>
      </c>
      <c r="CV88" s="197">
        <f>'Energy margins'!$E$12</f>
        <v>43.75</v>
      </c>
      <c r="CW88" s="197">
        <f>CU88*CV88</f>
        <v>0</v>
      </c>
      <c r="CX88" s="197">
        <f>'Margins summary'!$Q$14</f>
        <v>330</v>
      </c>
      <c r="CY88" s="197">
        <f>CW88+CX88</f>
        <v>330</v>
      </c>
      <c r="CZ88" s="197">
        <f>'Margins summary'!$P$20</f>
        <v>1887.233334</v>
      </c>
      <c r="DA88" s="918">
        <f>'Energy NPV'!U13</f>
        <v>0</v>
      </c>
      <c r="DB88" s="197"/>
      <c r="DC88" s="197">
        <f>CZ88+DA88+DB88-(CZ88+DA88+DB88)</f>
        <v>0</v>
      </c>
      <c r="DD88" s="197">
        <f t="shared" ref="DD88:DD103" si="210">CW88-DC88</f>
        <v>0</v>
      </c>
      <c r="DE88" s="197">
        <f t="shared" ref="DE88:DE103" si="211">CY88-DC88</f>
        <v>330</v>
      </c>
      <c r="DF88" s="1033">
        <f>CW88/((1+$B$4)^(CT88-1))</f>
        <v>0</v>
      </c>
      <c r="DG88" s="213">
        <f>CX88/((1+$B$4)^(CT88-1))</f>
        <v>330</v>
      </c>
      <c r="DH88" s="213">
        <f>DC88/((1+$B$4)^(CT88-1))</f>
        <v>0</v>
      </c>
      <c r="DI88" s="213">
        <f>DD88/((1+$B$4)^(CT88-1))</f>
        <v>0</v>
      </c>
      <c r="DJ88" s="929">
        <f>DE88/((1+$B$4)^(CT88-1))</f>
        <v>330</v>
      </c>
      <c r="DK88" s="196">
        <f>DF88</f>
        <v>0</v>
      </c>
      <c r="DL88" s="197">
        <f>DG88</f>
        <v>330</v>
      </c>
      <c r="DM88" s="197">
        <f>DH88</f>
        <v>0</v>
      </c>
      <c r="DN88" s="197">
        <f>DI88</f>
        <v>0</v>
      </c>
      <c r="DO88" s="199">
        <f>DJ88</f>
        <v>330</v>
      </c>
    </row>
    <row r="89" spans="2:119" x14ac:dyDescent="0.3">
      <c r="B89" s="204">
        <v>2</v>
      </c>
      <c r="C89" s="759">
        <f>'Energy NPV'!$D14</f>
        <v>26</v>
      </c>
      <c r="D89" s="197">
        <f>'Energy margins'!$E$12</f>
        <v>43.75</v>
      </c>
      <c r="E89" s="197">
        <f>C89*D89</f>
        <v>1137.5</v>
      </c>
      <c r="F89" s="197">
        <f>'Margins summary'!$Q$14</f>
        <v>330</v>
      </c>
      <c r="G89" s="197">
        <f t="shared" ref="G89:G103" si="212">E89+F89</f>
        <v>1467.5</v>
      </c>
      <c r="H89" s="197"/>
      <c r="I89" s="918">
        <f>'Energy NPV'!U14</f>
        <v>748.272334</v>
      </c>
      <c r="J89" s="197"/>
      <c r="K89" s="197">
        <f t="shared" ref="K89:K103" si="213">H89+I89+J89</f>
        <v>748.272334</v>
      </c>
      <c r="L89" s="197">
        <f t="shared" si="202"/>
        <v>389.227666</v>
      </c>
      <c r="M89" s="197">
        <f t="shared" si="203"/>
        <v>719.227666</v>
      </c>
      <c r="N89" s="196">
        <f t="shared" ref="N89:N103" si="214">E89/((1+$B$4)^(B89-1))</f>
        <v>1104.3689320388348</v>
      </c>
      <c r="O89" s="197">
        <f t="shared" ref="O89:O103" si="215">F89/((1+$B$4)^(B89-1))</f>
        <v>320.38834951456312</v>
      </c>
      <c r="P89" s="197">
        <f t="shared" ref="P89:P103" si="216">K89/((1+$B$4)^(B89-1))</f>
        <v>726.47799417475721</v>
      </c>
      <c r="Q89" s="197">
        <f t="shared" ref="Q89:Q103" si="217">L89/((1+$B$4)^(B89-1))</f>
        <v>377.89093786407767</v>
      </c>
      <c r="R89" s="199">
        <f t="shared" ref="R89:R103" si="218">M89/((1+$B$4)^(B89-1))</f>
        <v>698.27928737864079</v>
      </c>
      <c r="S89" s="196">
        <f>S88+N89</f>
        <v>1104.3689320388348</v>
      </c>
      <c r="T89" s="197">
        <f t="shared" ref="T89:W103" si="219">T88+O89</f>
        <v>650.38834951456306</v>
      </c>
      <c r="U89" s="197">
        <f t="shared" si="219"/>
        <v>2613.711328174757</v>
      </c>
      <c r="V89" s="197">
        <f t="shared" si="219"/>
        <v>-1509.3423961359224</v>
      </c>
      <c r="W89" s="199">
        <f t="shared" si="219"/>
        <v>-858.95404662135923</v>
      </c>
      <c r="X89" s="197"/>
      <c r="Z89" s="204">
        <v>2</v>
      </c>
      <c r="AA89" s="759">
        <f>'Energy NPV'!$D14</f>
        <v>26</v>
      </c>
      <c r="AB89" s="197">
        <f>'Energy margins'!$E$12</f>
        <v>43.75</v>
      </c>
      <c r="AC89" s="197">
        <f>AA89*AB89</f>
        <v>1137.5</v>
      </c>
      <c r="AD89" s="197">
        <f>'Margins summary'!$Q$14</f>
        <v>330</v>
      </c>
      <c r="AE89" s="197">
        <f t="shared" ref="AE89:AE103" si="220">AC89+AD89</f>
        <v>1467.5</v>
      </c>
      <c r="AF89" s="197"/>
      <c r="AG89" s="918">
        <f>'Energy NPV'!U14</f>
        <v>748.272334</v>
      </c>
      <c r="AH89" s="197"/>
      <c r="AI89" s="197">
        <f>(AF89+AG89+AH89)+0.5*(AF89+AG89+AH89)</f>
        <v>1122.4085009999999</v>
      </c>
      <c r="AJ89" s="197">
        <f t="shared" si="204"/>
        <v>15.091499000000113</v>
      </c>
      <c r="AK89" s="197">
        <f t="shared" si="205"/>
        <v>345.09149900000011</v>
      </c>
      <c r="AL89" s="196">
        <f t="shared" ref="AL89:AL103" si="221">AC89/((1+$B$4)^(Z89-1))</f>
        <v>1104.3689320388348</v>
      </c>
      <c r="AM89" s="197">
        <f t="shared" ref="AM89:AM103" si="222">AD89/((1+$B$4)^(Z89-1))</f>
        <v>320.38834951456312</v>
      </c>
      <c r="AN89" s="197">
        <f t="shared" ref="AN89:AN103" si="223">AI89/((1+$B$4)^(Z89-1))</f>
        <v>1089.7169912621357</v>
      </c>
      <c r="AO89" s="197">
        <f t="shared" ref="AO89:AO103" si="224">AJ89/((1+$B$4)^(Z89-1))</f>
        <v>14.651940776699139</v>
      </c>
      <c r="AP89" s="199">
        <f t="shared" ref="AP89:AP103" si="225">AK89/((1+$B$4)^(Z89-1))</f>
        <v>335.04029029126224</v>
      </c>
      <c r="AQ89" s="196">
        <f>AQ88+AL89</f>
        <v>1104.3689320388348</v>
      </c>
      <c r="AR89" s="197">
        <f t="shared" ref="AR89:AU103" si="226">AR88+AM89</f>
        <v>650.38834951456306</v>
      </c>
      <c r="AS89" s="197">
        <f t="shared" si="226"/>
        <v>3920.5669922621355</v>
      </c>
      <c r="AT89" s="197">
        <f t="shared" si="226"/>
        <v>-2816.1980602233007</v>
      </c>
      <c r="AU89" s="199">
        <f t="shared" si="226"/>
        <v>-2165.8097107087374</v>
      </c>
      <c r="AX89" s="204">
        <v>2</v>
      </c>
      <c r="AY89" s="759">
        <f>'Energy NPV'!$D14</f>
        <v>26</v>
      </c>
      <c r="AZ89" s="197">
        <f>'Energy margins'!$E$12</f>
        <v>43.75</v>
      </c>
      <c r="BA89" s="197">
        <f>AY89*AZ89</f>
        <v>1137.5</v>
      </c>
      <c r="BB89" s="197">
        <f>'Margins summary'!$Q$14</f>
        <v>330</v>
      </c>
      <c r="BC89" s="197">
        <f t="shared" ref="BC89:BC103" si="227">BA89+BB89</f>
        <v>1467.5</v>
      </c>
      <c r="BD89" s="197"/>
      <c r="BE89" s="918">
        <f>'Energy NPV'!U14</f>
        <v>748.272334</v>
      </c>
      <c r="BF89" s="197"/>
      <c r="BG89" s="197">
        <f t="shared" ref="BG89:BG103" si="228">(BD89+BE89+BF89)-0.5*(BD89+BE89+BF89)</f>
        <v>374.136167</v>
      </c>
      <c r="BH89" s="197">
        <f t="shared" si="206"/>
        <v>763.363833</v>
      </c>
      <c r="BI89" s="197">
        <f t="shared" si="207"/>
        <v>1093.3638329999999</v>
      </c>
      <c r="BJ89" s="196">
        <f t="shared" ref="BJ89:BJ103" si="229">BA89/((1+$B$4)^(AX89-1))</f>
        <v>1104.3689320388348</v>
      </c>
      <c r="BK89" s="197">
        <f t="shared" ref="BK89:BK103" si="230">BB89/((1+$B$4)^(AX89-1))</f>
        <v>320.38834951456312</v>
      </c>
      <c r="BL89" s="197">
        <f t="shared" ref="BL89:BL103" si="231">BG89/((1+$B$4)^(AX89-1))</f>
        <v>363.23899708737861</v>
      </c>
      <c r="BM89" s="197">
        <f t="shared" ref="BM89:BM103" si="232">BH89/((1+$B$4)^(AX89-1))</f>
        <v>741.12993495145633</v>
      </c>
      <c r="BN89" s="199">
        <f t="shared" ref="BN89:BN103" si="233">BI89/((1+$B$4)^(AX89-1))</f>
        <v>1061.5182844660192</v>
      </c>
      <c r="BO89" s="196">
        <f>BO88+BJ89</f>
        <v>1104.3689320388348</v>
      </c>
      <c r="BP89" s="197">
        <f t="shared" ref="BP89:BS103" si="234">BP88+BK89</f>
        <v>650.38834951456306</v>
      </c>
      <c r="BQ89" s="197">
        <f t="shared" si="234"/>
        <v>1306.8556640873785</v>
      </c>
      <c r="BR89" s="197">
        <f t="shared" si="234"/>
        <v>-202.48673204854367</v>
      </c>
      <c r="BS89" s="199">
        <f t="shared" si="234"/>
        <v>447.90161746601916</v>
      </c>
      <c r="BV89" s="204">
        <v>2</v>
      </c>
      <c r="BW89" s="759">
        <f>'Energy NPV'!$D14</f>
        <v>26</v>
      </c>
      <c r="BX89" s="197">
        <f>'Energy margins'!$E$12</f>
        <v>43.75</v>
      </c>
      <c r="BY89" s="197">
        <f>BW89*BX89</f>
        <v>1137.5</v>
      </c>
      <c r="BZ89" s="197">
        <f>'Margins summary'!$Q$14</f>
        <v>330</v>
      </c>
      <c r="CA89" s="197">
        <f t="shared" ref="CA89:CA103" si="235">BY89+BZ89</f>
        <v>1467.5</v>
      </c>
      <c r="CB89" s="197"/>
      <c r="CC89" s="918">
        <f>'Energy NPV'!U14</f>
        <v>748.272334</v>
      </c>
      <c r="CD89" s="197"/>
      <c r="CE89" s="197">
        <f t="shared" ref="CE89:CE103" si="236">CB89+CC89+CD89+CB89+CC89+CD89</f>
        <v>1496.544668</v>
      </c>
      <c r="CF89" s="197">
        <f t="shared" si="208"/>
        <v>-359.044668</v>
      </c>
      <c r="CG89" s="197">
        <f t="shared" si="209"/>
        <v>-29.044668000000001</v>
      </c>
      <c r="CH89" s="196">
        <f t="shared" ref="CH89:CH103" si="237">BY89/((1+$B$4)^(BV89-1))</f>
        <v>1104.3689320388348</v>
      </c>
      <c r="CI89" s="197">
        <f t="shared" ref="CI89:CI103" si="238">BZ89/((1+$B$4)^(BV89-1))</f>
        <v>320.38834951456312</v>
      </c>
      <c r="CJ89" s="197">
        <f t="shared" ref="CJ89:CJ103" si="239">CE89/((1+$B$4)^(BV89-1))</f>
        <v>1452.9559883495144</v>
      </c>
      <c r="CK89" s="197">
        <f t="shared" ref="CK89:CK103" si="240">CF89/((1+$B$4)^(BV89-1))</f>
        <v>-348.5870563106796</v>
      </c>
      <c r="CL89" s="199">
        <f t="shared" ref="CL89:CL103" si="241">CG89/((1+$B$4)^(BV89-1))</f>
        <v>-28.198706796116504</v>
      </c>
      <c r="CM89" s="196">
        <f>CM88+CH89</f>
        <v>1104.3689320388348</v>
      </c>
      <c r="CN89" s="197">
        <f t="shared" ref="CN89:CQ103" si="242">CN88+CI89</f>
        <v>650.38834951456306</v>
      </c>
      <c r="CO89" s="197">
        <f t="shared" si="242"/>
        <v>5227.422656349514</v>
      </c>
      <c r="CP89" s="197">
        <f t="shared" si="242"/>
        <v>-4123.0537243106792</v>
      </c>
      <c r="CQ89" s="199">
        <f t="shared" si="242"/>
        <v>-3472.6653747961163</v>
      </c>
      <c r="CT89" s="204">
        <v>2</v>
      </c>
      <c r="CU89" s="759">
        <f>'Energy NPV'!$D14</f>
        <v>26</v>
      </c>
      <c r="CV89" s="197">
        <f>'Energy margins'!$E$12</f>
        <v>43.75</v>
      </c>
      <c r="CW89" s="197">
        <f>CU89*CV89</f>
        <v>1137.5</v>
      </c>
      <c r="CX89" s="197">
        <f>'Margins summary'!$Q$14</f>
        <v>330</v>
      </c>
      <c r="CY89" s="197">
        <f t="shared" ref="CY89:CY103" si="243">CW89+CX89</f>
        <v>1467.5</v>
      </c>
      <c r="CZ89" s="197"/>
      <c r="DA89" s="918">
        <f>'Energy NPV'!U14</f>
        <v>748.272334</v>
      </c>
      <c r="DB89" s="197"/>
      <c r="DC89" s="197">
        <f t="shared" ref="DC89:DC103" si="244">CZ89+DA89+DB89-(CZ89+DA89+DB89)</f>
        <v>0</v>
      </c>
      <c r="DD89" s="197">
        <f t="shared" si="210"/>
        <v>1137.5</v>
      </c>
      <c r="DE89" s="197">
        <f t="shared" si="211"/>
        <v>1467.5</v>
      </c>
      <c r="DF89" s="196">
        <f t="shared" ref="DF89:DF103" si="245">CW89/((1+$B$4)^(CT89-1))</f>
        <v>1104.3689320388348</v>
      </c>
      <c r="DG89" s="197">
        <f t="shared" ref="DG89:DG103" si="246">CX89/((1+$B$4)^(CT89-1))</f>
        <v>320.38834951456312</v>
      </c>
      <c r="DH89" s="197">
        <f t="shared" ref="DH89:DH103" si="247">DC89/((1+$B$4)^(CT89-1))</f>
        <v>0</v>
      </c>
      <c r="DI89" s="197">
        <f t="shared" ref="DI89:DI103" si="248">DD89/((1+$B$4)^(CT89-1))</f>
        <v>1104.3689320388348</v>
      </c>
      <c r="DJ89" s="199">
        <f t="shared" ref="DJ89:DJ103" si="249">DE89/((1+$B$4)^(CT89-1))</f>
        <v>1424.7572815533981</v>
      </c>
      <c r="DK89" s="196">
        <f>DK88+DF89</f>
        <v>1104.3689320388348</v>
      </c>
      <c r="DL89" s="197">
        <f t="shared" ref="DL89:DO103" si="250">DL88+DG89</f>
        <v>650.38834951456306</v>
      </c>
      <c r="DM89" s="197">
        <f t="shared" si="250"/>
        <v>0</v>
      </c>
      <c r="DN89" s="197">
        <f t="shared" si="250"/>
        <v>1104.3689320388348</v>
      </c>
      <c r="DO89" s="199">
        <f t="shared" si="250"/>
        <v>1754.7572815533981</v>
      </c>
    </row>
    <row r="90" spans="2:119" x14ac:dyDescent="0.3">
      <c r="B90" s="204">
        <f t="shared" ref="B90:B103" si="251">B89+1</f>
        <v>3</v>
      </c>
      <c r="C90" s="759">
        <f>'Energy NPV'!$D15</f>
        <v>0</v>
      </c>
      <c r="D90" s="197">
        <f>'Energy margins'!$E$12</f>
        <v>43.75</v>
      </c>
      <c r="E90" s="197">
        <f t="shared" ref="E90:E103" si="252">C90*D90</f>
        <v>0</v>
      </c>
      <c r="F90" s="197">
        <f>'Margins summary'!$Q$14</f>
        <v>330</v>
      </c>
      <c r="G90" s="197">
        <f t="shared" si="212"/>
        <v>330</v>
      </c>
      <c r="H90" s="197"/>
      <c r="I90" s="918">
        <f>'Energy NPV'!U15</f>
        <v>110.53899999999999</v>
      </c>
      <c r="J90" s="197"/>
      <c r="K90" s="197">
        <f t="shared" si="213"/>
        <v>110.53899999999999</v>
      </c>
      <c r="L90" s="197">
        <f t="shared" si="202"/>
        <v>-110.53899999999999</v>
      </c>
      <c r="M90" s="197">
        <f t="shared" si="203"/>
        <v>219.46100000000001</v>
      </c>
      <c r="N90" s="196">
        <f t="shared" si="214"/>
        <v>0</v>
      </c>
      <c r="O90" s="197">
        <f t="shared" si="215"/>
        <v>311.05665001413894</v>
      </c>
      <c r="P90" s="197">
        <f t="shared" si="216"/>
        <v>104.19360919973606</v>
      </c>
      <c r="Q90" s="197">
        <f t="shared" si="217"/>
        <v>-104.19360919973606</v>
      </c>
      <c r="R90" s="199">
        <f t="shared" si="218"/>
        <v>206.86304081440289</v>
      </c>
      <c r="S90" s="196">
        <f t="shared" ref="S90:S103" si="253">S89+N90</f>
        <v>1104.3689320388348</v>
      </c>
      <c r="T90" s="197">
        <f t="shared" si="219"/>
        <v>961.44499952870206</v>
      </c>
      <c r="U90" s="197">
        <f t="shared" si="219"/>
        <v>2717.9049373744929</v>
      </c>
      <c r="V90" s="197">
        <f t="shared" si="219"/>
        <v>-1613.5360053356585</v>
      </c>
      <c r="W90" s="199">
        <f t="shared" si="219"/>
        <v>-652.09100580695633</v>
      </c>
      <c r="X90" s="197"/>
      <c r="Z90" s="204">
        <f t="shared" ref="Z90:Z103" si="254">Z89+1</f>
        <v>3</v>
      </c>
      <c r="AA90" s="759">
        <f>'Energy NPV'!$D15</f>
        <v>0</v>
      </c>
      <c r="AB90" s="197">
        <f>'Energy margins'!$E$12</f>
        <v>43.75</v>
      </c>
      <c r="AC90" s="197">
        <f t="shared" ref="AC90:AC103" si="255">AA90*AB90</f>
        <v>0</v>
      </c>
      <c r="AD90" s="197">
        <f>'Margins summary'!$Q$14</f>
        <v>330</v>
      </c>
      <c r="AE90" s="197">
        <f t="shared" si="220"/>
        <v>330</v>
      </c>
      <c r="AF90" s="197"/>
      <c r="AG90" s="918">
        <f>'Energy NPV'!U15</f>
        <v>110.53899999999999</v>
      </c>
      <c r="AH90" s="197"/>
      <c r="AI90" s="197">
        <f t="shared" ref="AI90:AI102" si="256">(AF90+AG90+AH90)+0.5*(AF90+AG90+AH90)</f>
        <v>165.80849999999998</v>
      </c>
      <c r="AJ90" s="197">
        <f t="shared" si="204"/>
        <v>-165.80849999999998</v>
      </c>
      <c r="AK90" s="197">
        <f t="shared" si="205"/>
        <v>164.19150000000002</v>
      </c>
      <c r="AL90" s="196">
        <f t="shared" si="221"/>
        <v>0</v>
      </c>
      <c r="AM90" s="197">
        <f t="shared" si="222"/>
        <v>311.05665001413894</v>
      </c>
      <c r="AN90" s="197">
        <f t="shared" si="223"/>
        <v>156.2904137996041</v>
      </c>
      <c r="AO90" s="197">
        <f t="shared" si="224"/>
        <v>-156.2904137996041</v>
      </c>
      <c r="AP90" s="199">
        <f t="shared" si="225"/>
        <v>154.76623621453484</v>
      </c>
      <c r="AQ90" s="196">
        <f t="shared" ref="AQ90:AQ102" si="257">AQ89+AL90</f>
        <v>1104.3689320388348</v>
      </c>
      <c r="AR90" s="197">
        <f t="shared" si="226"/>
        <v>961.44499952870206</v>
      </c>
      <c r="AS90" s="197">
        <f t="shared" si="226"/>
        <v>4076.8574060617398</v>
      </c>
      <c r="AT90" s="197">
        <f t="shared" si="226"/>
        <v>-2972.4884740229049</v>
      </c>
      <c r="AU90" s="199">
        <f t="shared" si="226"/>
        <v>-2011.0434744942027</v>
      </c>
      <c r="AX90" s="204">
        <f t="shared" ref="AX90:AX103" si="258">AX89+1</f>
        <v>3</v>
      </c>
      <c r="AY90" s="759">
        <f>'Energy NPV'!$D15</f>
        <v>0</v>
      </c>
      <c r="AZ90" s="197">
        <f>'Energy margins'!$E$12</f>
        <v>43.75</v>
      </c>
      <c r="BA90" s="197">
        <f t="shared" ref="BA90:BA103" si="259">AY90*AZ90</f>
        <v>0</v>
      </c>
      <c r="BB90" s="197">
        <f>'Margins summary'!$Q$14</f>
        <v>330</v>
      </c>
      <c r="BC90" s="197">
        <f t="shared" si="227"/>
        <v>330</v>
      </c>
      <c r="BD90" s="197"/>
      <c r="BE90" s="918">
        <f>'Energy NPV'!U15</f>
        <v>110.53899999999999</v>
      </c>
      <c r="BF90" s="197"/>
      <c r="BG90" s="197">
        <f t="shared" si="228"/>
        <v>55.269499999999994</v>
      </c>
      <c r="BH90" s="197">
        <f t="shared" si="206"/>
        <v>-55.269499999999994</v>
      </c>
      <c r="BI90" s="197">
        <f t="shared" si="207"/>
        <v>274.73050000000001</v>
      </c>
      <c r="BJ90" s="196">
        <f t="shared" si="229"/>
        <v>0</v>
      </c>
      <c r="BK90" s="197">
        <f t="shared" si="230"/>
        <v>311.05665001413894</v>
      </c>
      <c r="BL90" s="197">
        <f t="shared" si="231"/>
        <v>52.09680459986803</v>
      </c>
      <c r="BM90" s="197">
        <f t="shared" si="232"/>
        <v>-52.09680459986803</v>
      </c>
      <c r="BN90" s="199">
        <f t="shared" si="233"/>
        <v>258.95984541427094</v>
      </c>
      <c r="BO90" s="196">
        <f t="shared" ref="BO90:BO103" si="260">BO89+BJ90</f>
        <v>1104.3689320388348</v>
      </c>
      <c r="BP90" s="197">
        <f t="shared" si="234"/>
        <v>961.44499952870206</v>
      </c>
      <c r="BQ90" s="197">
        <f t="shared" si="234"/>
        <v>1358.9524686872464</v>
      </c>
      <c r="BR90" s="197">
        <f t="shared" si="234"/>
        <v>-254.58353664841169</v>
      </c>
      <c r="BS90" s="199">
        <f t="shared" si="234"/>
        <v>706.86146288029011</v>
      </c>
      <c r="BV90" s="204">
        <f t="shared" ref="BV90:BV103" si="261">BV89+1</f>
        <v>3</v>
      </c>
      <c r="BW90" s="759">
        <f>'Energy NPV'!$D15</f>
        <v>0</v>
      </c>
      <c r="BX90" s="197">
        <f>'Energy margins'!$E$12</f>
        <v>43.75</v>
      </c>
      <c r="BY90" s="197">
        <f t="shared" ref="BY90:BY103" si="262">BW90*BX90</f>
        <v>0</v>
      </c>
      <c r="BZ90" s="197">
        <f>'Margins summary'!$Q$14</f>
        <v>330</v>
      </c>
      <c r="CA90" s="197">
        <f t="shared" si="235"/>
        <v>330</v>
      </c>
      <c r="CB90" s="197"/>
      <c r="CC90" s="918">
        <f>'Energy NPV'!U15</f>
        <v>110.53899999999999</v>
      </c>
      <c r="CD90" s="197"/>
      <c r="CE90" s="197">
        <f t="shared" si="236"/>
        <v>221.07799999999997</v>
      </c>
      <c r="CF90" s="197">
        <f t="shared" si="208"/>
        <v>-221.07799999999997</v>
      </c>
      <c r="CG90" s="197">
        <f t="shared" si="209"/>
        <v>108.92200000000003</v>
      </c>
      <c r="CH90" s="196">
        <f t="shared" si="237"/>
        <v>0</v>
      </c>
      <c r="CI90" s="197">
        <f t="shared" si="238"/>
        <v>311.05665001413894</v>
      </c>
      <c r="CJ90" s="197">
        <f t="shared" si="239"/>
        <v>208.38721839947212</v>
      </c>
      <c r="CK90" s="197">
        <f t="shared" si="240"/>
        <v>-208.38721839947212</v>
      </c>
      <c r="CL90" s="199">
        <f t="shared" si="241"/>
        <v>102.66943161466682</v>
      </c>
      <c r="CM90" s="196">
        <f t="shared" ref="CM90:CM103" si="263">CM89+CH90</f>
        <v>1104.3689320388348</v>
      </c>
      <c r="CN90" s="197">
        <f t="shared" si="242"/>
        <v>961.44499952870206</v>
      </c>
      <c r="CO90" s="197">
        <f t="shared" si="242"/>
        <v>5435.8098747489857</v>
      </c>
      <c r="CP90" s="197">
        <f t="shared" si="242"/>
        <v>-4331.4409427101509</v>
      </c>
      <c r="CQ90" s="199">
        <f t="shared" si="242"/>
        <v>-3369.9959431814495</v>
      </c>
      <c r="CT90" s="204">
        <f t="shared" ref="CT90:CT103" si="264">CT89+1</f>
        <v>3</v>
      </c>
      <c r="CU90" s="759">
        <f>'Energy NPV'!$D15</f>
        <v>0</v>
      </c>
      <c r="CV90" s="197">
        <f>'Energy margins'!$E$12</f>
        <v>43.75</v>
      </c>
      <c r="CW90" s="197">
        <f t="shared" ref="CW90:CW103" si="265">CU90*CV90</f>
        <v>0</v>
      </c>
      <c r="CX90" s="197">
        <f>'Margins summary'!$Q$14</f>
        <v>330</v>
      </c>
      <c r="CY90" s="197">
        <f t="shared" si="243"/>
        <v>330</v>
      </c>
      <c r="CZ90" s="197"/>
      <c r="DA90" s="918">
        <f>'Energy NPV'!U15</f>
        <v>110.53899999999999</v>
      </c>
      <c r="DB90" s="197"/>
      <c r="DC90" s="197">
        <f t="shared" si="244"/>
        <v>0</v>
      </c>
      <c r="DD90" s="197">
        <f t="shared" si="210"/>
        <v>0</v>
      </c>
      <c r="DE90" s="197">
        <f t="shared" si="211"/>
        <v>330</v>
      </c>
      <c r="DF90" s="196">
        <f t="shared" si="245"/>
        <v>0</v>
      </c>
      <c r="DG90" s="197">
        <f t="shared" si="246"/>
        <v>311.05665001413894</v>
      </c>
      <c r="DH90" s="197">
        <f t="shared" si="247"/>
        <v>0</v>
      </c>
      <c r="DI90" s="197">
        <f t="shared" si="248"/>
        <v>0</v>
      </c>
      <c r="DJ90" s="199">
        <f t="shared" si="249"/>
        <v>311.05665001413894</v>
      </c>
      <c r="DK90" s="196">
        <f t="shared" ref="DK90:DK103" si="266">DK89+DF90</f>
        <v>1104.3689320388348</v>
      </c>
      <c r="DL90" s="197">
        <f t="shared" si="250"/>
        <v>961.44499952870206</v>
      </c>
      <c r="DM90" s="197">
        <f t="shared" si="250"/>
        <v>0</v>
      </c>
      <c r="DN90" s="197">
        <f t="shared" si="250"/>
        <v>1104.3689320388348</v>
      </c>
      <c r="DO90" s="199">
        <f t="shared" si="250"/>
        <v>2065.8139315675371</v>
      </c>
    </row>
    <row r="91" spans="2:119" x14ac:dyDescent="0.3">
      <c r="B91" s="204">
        <f t="shared" si="251"/>
        <v>4</v>
      </c>
      <c r="C91" s="759">
        <f>'Energy NPV'!$D16</f>
        <v>26</v>
      </c>
      <c r="D91" s="197">
        <f>'Energy margins'!$E$12</f>
        <v>43.75</v>
      </c>
      <c r="E91" s="197">
        <f t="shared" si="252"/>
        <v>1137.5</v>
      </c>
      <c r="F91" s="197">
        <f>'Margins summary'!$Q$14</f>
        <v>330</v>
      </c>
      <c r="G91" s="197">
        <f t="shared" si="212"/>
        <v>1467.5</v>
      </c>
      <c r="H91" s="197"/>
      <c r="I91" s="918">
        <f>'Energy NPV'!U16</f>
        <v>637.73333400000001</v>
      </c>
      <c r="J91" s="197"/>
      <c r="K91" s="197">
        <f t="shared" si="213"/>
        <v>637.73333400000001</v>
      </c>
      <c r="L91" s="197">
        <f t="shared" si="202"/>
        <v>499.76666599999999</v>
      </c>
      <c r="M91" s="197">
        <f t="shared" si="203"/>
        <v>829.76666599999999</v>
      </c>
      <c r="N91" s="196">
        <f t="shared" si="214"/>
        <v>1040.973637514219</v>
      </c>
      <c r="O91" s="197">
        <f t="shared" si="215"/>
        <v>301.99674758654265</v>
      </c>
      <c r="P91" s="197">
        <f t="shared" si="216"/>
        <v>583.61634150158272</v>
      </c>
      <c r="Q91" s="197">
        <f t="shared" si="217"/>
        <v>457.35729601263625</v>
      </c>
      <c r="R91" s="199">
        <f t="shared" si="218"/>
        <v>759.35404359917891</v>
      </c>
      <c r="S91" s="196">
        <f t="shared" si="253"/>
        <v>2145.3425695530541</v>
      </c>
      <c r="T91" s="197">
        <f t="shared" si="219"/>
        <v>1263.4417471152447</v>
      </c>
      <c r="U91" s="197">
        <f t="shared" si="219"/>
        <v>3301.5212788760755</v>
      </c>
      <c r="V91" s="197">
        <f t="shared" si="219"/>
        <v>-1156.1787093230223</v>
      </c>
      <c r="W91" s="199">
        <f t="shared" si="219"/>
        <v>107.26303779222258</v>
      </c>
      <c r="X91" s="197"/>
      <c r="Z91" s="204">
        <f t="shared" si="254"/>
        <v>4</v>
      </c>
      <c r="AA91" s="759">
        <f>'Energy NPV'!$D16</f>
        <v>26</v>
      </c>
      <c r="AB91" s="197">
        <f>'Energy margins'!$E$12</f>
        <v>43.75</v>
      </c>
      <c r="AC91" s="197">
        <f t="shared" si="255"/>
        <v>1137.5</v>
      </c>
      <c r="AD91" s="197">
        <f>'Margins summary'!$Q$14</f>
        <v>330</v>
      </c>
      <c r="AE91" s="197">
        <f t="shared" si="220"/>
        <v>1467.5</v>
      </c>
      <c r="AF91" s="197"/>
      <c r="AG91" s="918">
        <f>'Energy NPV'!U16</f>
        <v>637.73333400000001</v>
      </c>
      <c r="AH91" s="197"/>
      <c r="AI91" s="197">
        <f t="shared" si="256"/>
        <v>956.60000100000002</v>
      </c>
      <c r="AJ91" s="197">
        <f t="shared" si="204"/>
        <v>180.89999899999998</v>
      </c>
      <c r="AK91" s="197">
        <f t="shared" si="205"/>
        <v>510.89999899999998</v>
      </c>
      <c r="AL91" s="196">
        <f t="shared" si="221"/>
        <v>1040.973637514219</v>
      </c>
      <c r="AM91" s="197">
        <f t="shared" si="222"/>
        <v>301.99674758654265</v>
      </c>
      <c r="AN91" s="197">
        <f t="shared" si="223"/>
        <v>875.42451225237414</v>
      </c>
      <c r="AO91" s="197">
        <f t="shared" si="224"/>
        <v>165.54912526184489</v>
      </c>
      <c r="AP91" s="199">
        <f t="shared" si="225"/>
        <v>467.54587284838755</v>
      </c>
      <c r="AQ91" s="196">
        <f t="shared" si="257"/>
        <v>2145.3425695530541</v>
      </c>
      <c r="AR91" s="197">
        <f t="shared" si="226"/>
        <v>1263.4417471152447</v>
      </c>
      <c r="AS91" s="197">
        <f t="shared" si="226"/>
        <v>4952.2819183141137</v>
      </c>
      <c r="AT91" s="197">
        <f t="shared" si="226"/>
        <v>-2806.93934876106</v>
      </c>
      <c r="AU91" s="199">
        <f t="shared" si="226"/>
        <v>-1543.4976016458152</v>
      </c>
      <c r="AX91" s="204">
        <f t="shared" si="258"/>
        <v>4</v>
      </c>
      <c r="AY91" s="759">
        <f>'Energy NPV'!$D16</f>
        <v>26</v>
      </c>
      <c r="AZ91" s="197">
        <f>'Energy margins'!$E$12</f>
        <v>43.75</v>
      </c>
      <c r="BA91" s="197">
        <f t="shared" si="259"/>
        <v>1137.5</v>
      </c>
      <c r="BB91" s="197">
        <f>'Margins summary'!$Q$14</f>
        <v>330</v>
      </c>
      <c r="BC91" s="197">
        <f t="shared" si="227"/>
        <v>1467.5</v>
      </c>
      <c r="BD91" s="197"/>
      <c r="BE91" s="918">
        <f>'Energy NPV'!U16</f>
        <v>637.73333400000001</v>
      </c>
      <c r="BF91" s="197"/>
      <c r="BG91" s="197">
        <f t="shared" si="228"/>
        <v>318.86666700000001</v>
      </c>
      <c r="BH91" s="197">
        <f t="shared" si="206"/>
        <v>818.63333299999999</v>
      </c>
      <c r="BI91" s="197">
        <f t="shared" si="207"/>
        <v>1148.633333</v>
      </c>
      <c r="BJ91" s="196">
        <f t="shared" si="229"/>
        <v>1040.973637514219</v>
      </c>
      <c r="BK91" s="197">
        <f t="shared" si="230"/>
        <v>301.99674758654265</v>
      </c>
      <c r="BL91" s="197">
        <f t="shared" si="231"/>
        <v>291.80817075079136</v>
      </c>
      <c r="BM91" s="197">
        <f t="shared" si="232"/>
        <v>749.16546676342762</v>
      </c>
      <c r="BN91" s="199">
        <f t="shared" si="233"/>
        <v>1051.1622143499703</v>
      </c>
      <c r="BO91" s="196">
        <f t="shared" si="260"/>
        <v>2145.3425695530541</v>
      </c>
      <c r="BP91" s="197">
        <f t="shared" si="234"/>
        <v>1263.4417471152447</v>
      </c>
      <c r="BQ91" s="197">
        <f t="shared" si="234"/>
        <v>1650.7606394380377</v>
      </c>
      <c r="BR91" s="197">
        <f t="shared" si="234"/>
        <v>494.58193011501589</v>
      </c>
      <c r="BS91" s="199">
        <f t="shared" si="234"/>
        <v>1758.0236772302605</v>
      </c>
      <c r="BV91" s="204">
        <f t="shared" si="261"/>
        <v>4</v>
      </c>
      <c r="BW91" s="759">
        <f>'Energy NPV'!$D16</f>
        <v>26</v>
      </c>
      <c r="BX91" s="197">
        <f>'Energy margins'!$E$12</f>
        <v>43.75</v>
      </c>
      <c r="BY91" s="197">
        <f t="shared" si="262"/>
        <v>1137.5</v>
      </c>
      <c r="BZ91" s="197">
        <f>'Margins summary'!$Q$14</f>
        <v>330</v>
      </c>
      <c r="CA91" s="197">
        <f t="shared" si="235"/>
        <v>1467.5</v>
      </c>
      <c r="CB91" s="197"/>
      <c r="CC91" s="918">
        <f>'Energy NPV'!U16</f>
        <v>637.73333400000001</v>
      </c>
      <c r="CD91" s="197"/>
      <c r="CE91" s="197">
        <f t="shared" si="236"/>
        <v>1275.466668</v>
      </c>
      <c r="CF91" s="197">
        <f t="shared" si="208"/>
        <v>-137.96666800000003</v>
      </c>
      <c r="CG91" s="197">
        <f t="shared" si="209"/>
        <v>192.03333199999997</v>
      </c>
      <c r="CH91" s="196">
        <f t="shared" si="237"/>
        <v>1040.973637514219</v>
      </c>
      <c r="CI91" s="197">
        <f t="shared" si="238"/>
        <v>301.99674758654265</v>
      </c>
      <c r="CJ91" s="197">
        <f t="shared" si="239"/>
        <v>1167.2326830031654</v>
      </c>
      <c r="CK91" s="197">
        <f t="shared" si="240"/>
        <v>-126.25904548894648</v>
      </c>
      <c r="CL91" s="199">
        <f t="shared" si="241"/>
        <v>175.73770209759618</v>
      </c>
      <c r="CM91" s="196">
        <f t="shared" si="263"/>
        <v>2145.3425695530541</v>
      </c>
      <c r="CN91" s="197">
        <f t="shared" si="242"/>
        <v>1263.4417471152447</v>
      </c>
      <c r="CO91" s="197">
        <f t="shared" si="242"/>
        <v>6603.042557752151</v>
      </c>
      <c r="CP91" s="197">
        <f t="shared" si="242"/>
        <v>-4457.6999881990978</v>
      </c>
      <c r="CQ91" s="199">
        <f t="shared" si="242"/>
        <v>-3194.2582410838531</v>
      </c>
      <c r="CT91" s="204">
        <f t="shared" si="264"/>
        <v>4</v>
      </c>
      <c r="CU91" s="759">
        <f>'Energy NPV'!$D16</f>
        <v>26</v>
      </c>
      <c r="CV91" s="197">
        <f>'Energy margins'!$E$12</f>
        <v>43.75</v>
      </c>
      <c r="CW91" s="197">
        <f t="shared" si="265"/>
        <v>1137.5</v>
      </c>
      <c r="CX91" s="197">
        <f>'Margins summary'!$Q$14</f>
        <v>330</v>
      </c>
      <c r="CY91" s="197">
        <f t="shared" si="243"/>
        <v>1467.5</v>
      </c>
      <c r="CZ91" s="197"/>
      <c r="DA91" s="918">
        <f>'Energy NPV'!U16</f>
        <v>637.73333400000001</v>
      </c>
      <c r="DB91" s="197"/>
      <c r="DC91" s="197">
        <f t="shared" si="244"/>
        <v>0</v>
      </c>
      <c r="DD91" s="197">
        <f t="shared" si="210"/>
        <v>1137.5</v>
      </c>
      <c r="DE91" s="197">
        <f t="shared" si="211"/>
        <v>1467.5</v>
      </c>
      <c r="DF91" s="196">
        <f t="shared" si="245"/>
        <v>1040.973637514219</v>
      </c>
      <c r="DG91" s="197">
        <f t="shared" si="246"/>
        <v>301.99674758654265</v>
      </c>
      <c r="DH91" s="197">
        <f t="shared" si="247"/>
        <v>0</v>
      </c>
      <c r="DI91" s="197">
        <f t="shared" si="248"/>
        <v>1040.973637514219</v>
      </c>
      <c r="DJ91" s="199">
        <f t="shared" si="249"/>
        <v>1342.9703851007616</v>
      </c>
      <c r="DK91" s="196">
        <f t="shared" si="266"/>
        <v>2145.3425695530541</v>
      </c>
      <c r="DL91" s="197">
        <f t="shared" si="250"/>
        <v>1263.4417471152447</v>
      </c>
      <c r="DM91" s="197">
        <f t="shared" si="250"/>
        <v>0</v>
      </c>
      <c r="DN91" s="197">
        <f t="shared" si="250"/>
        <v>2145.3425695530541</v>
      </c>
      <c r="DO91" s="199">
        <f t="shared" si="250"/>
        <v>3408.7843166682987</v>
      </c>
    </row>
    <row r="92" spans="2:119" x14ac:dyDescent="0.3">
      <c r="B92" s="204">
        <f t="shared" si="251"/>
        <v>5</v>
      </c>
      <c r="C92" s="759">
        <f>'Energy NPV'!$D17</f>
        <v>0</v>
      </c>
      <c r="D92" s="197">
        <f>'Energy margins'!$E$12</f>
        <v>43.75</v>
      </c>
      <c r="E92" s="197">
        <f t="shared" si="252"/>
        <v>0</v>
      </c>
      <c r="F92" s="197">
        <f>'Margins summary'!$Q$14</f>
        <v>330</v>
      </c>
      <c r="G92" s="197">
        <f t="shared" si="212"/>
        <v>330</v>
      </c>
      <c r="H92" s="197"/>
      <c r="I92" s="918">
        <f>'Energy NPV'!U17</f>
        <v>0</v>
      </c>
      <c r="J92" s="197"/>
      <c r="K92" s="197">
        <f t="shared" si="213"/>
        <v>0</v>
      </c>
      <c r="L92" s="197">
        <f t="shared" si="202"/>
        <v>0</v>
      </c>
      <c r="M92" s="197">
        <f t="shared" si="203"/>
        <v>330</v>
      </c>
      <c r="N92" s="196">
        <f t="shared" si="214"/>
        <v>0</v>
      </c>
      <c r="O92" s="197">
        <f t="shared" si="215"/>
        <v>293.20072581217738</v>
      </c>
      <c r="P92" s="197">
        <f t="shared" si="216"/>
        <v>0</v>
      </c>
      <c r="Q92" s="197">
        <f t="shared" si="217"/>
        <v>0</v>
      </c>
      <c r="R92" s="199">
        <f t="shared" si="218"/>
        <v>293.20072581217738</v>
      </c>
      <c r="S92" s="196">
        <f t="shared" si="253"/>
        <v>2145.3425695530541</v>
      </c>
      <c r="T92" s="197">
        <f t="shared" si="219"/>
        <v>1556.642472927422</v>
      </c>
      <c r="U92" s="197">
        <f t="shared" si="219"/>
        <v>3301.5212788760755</v>
      </c>
      <c r="V92" s="197">
        <f t="shared" si="219"/>
        <v>-1156.1787093230223</v>
      </c>
      <c r="W92" s="199">
        <f t="shared" si="219"/>
        <v>400.46376360439996</v>
      </c>
      <c r="X92" s="197"/>
      <c r="Z92" s="204">
        <f t="shared" si="254"/>
        <v>5</v>
      </c>
      <c r="AA92" s="759">
        <f>'Energy NPV'!$D17</f>
        <v>0</v>
      </c>
      <c r="AB92" s="197">
        <f>'Energy margins'!$E$12</f>
        <v>43.75</v>
      </c>
      <c r="AC92" s="197">
        <f t="shared" si="255"/>
        <v>0</v>
      </c>
      <c r="AD92" s="197">
        <f>'Margins summary'!$Q$14</f>
        <v>330</v>
      </c>
      <c r="AE92" s="197">
        <f t="shared" si="220"/>
        <v>330</v>
      </c>
      <c r="AF92" s="197"/>
      <c r="AG92" s="918">
        <f>'Energy NPV'!U17</f>
        <v>0</v>
      </c>
      <c r="AH92" s="197"/>
      <c r="AI92" s="197">
        <f t="shared" si="256"/>
        <v>0</v>
      </c>
      <c r="AJ92" s="197">
        <f t="shared" si="204"/>
        <v>0</v>
      </c>
      <c r="AK92" s="197">
        <f t="shared" si="205"/>
        <v>330</v>
      </c>
      <c r="AL92" s="196">
        <f t="shared" si="221"/>
        <v>0</v>
      </c>
      <c r="AM92" s="197">
        <f t="shared" si="222"/>
        <v>293.20072581217738</v>
      </c>
      <c r="AN92" s="197">
        <f t="shared" si="223"/>
        <v>0</v>
      </c>
      <c r="AO92" s="197">
        <f t="shared" si="224"/>
        <v>0</v>
      </c>
      <c r="AP92" s="199">
        <f t="shared" si="225"/>
        <v>293.20072581217738</v>
      </c>
      <c r="AQ92" s="196">
        <f t="shared" si="257"/>
        <v>2145.3425695530541</v>
      </c>
      <c r="AR92" s="197">
        <f t="shared" si="226"/>
        <v>1556.642472927422</v>
      </c>
      <c r="AS92" s="197">
        <f t="shared" si="226"/>
        <v>4952.2819183141137</v>
      </c>
      <c r="AT92" s="197">
        <f t="shared" si="226"/>
        <v>-2806.93934876106</v>
      </c>
      <c r="AU92" s="199">
        <f t="shared" si="226"/>
        <v>-1250.2968758336378</v>
      </c>
      <c r="AX92" s="204">
        <f t="shared" si="258"/>
        <v>5</v>
      </c>
      <c r="AY92" s="759">
        <f>'Energy NPV'!$D17</f>
        <v>0</v>
      </c>
      <c r="AZ92" s="197">
        <f>'Energy margins'!$E$12</f>
        <v>43.75</v>
      </c>
      <c r="BA92" s="197">
        <f t="shared" si="259"/>
        <v>0</v>
      </c>
      <c r="BB92" s="197">
        <f>'Margins summary'!$Q$14</f>
        <v>330</v>
      </c>
      <c r="BC92" s="197">
        <f t="shared" si="227"/>
        <v>330</v>
      </c>
      <c r="BD92" s="197"/>
      <c r="BE92" s="918">
        <f>'Energy NPV'!U17</f>
        <v>0</v>
      </c>
      <c r="BF92" s="197"/>
      <c r="BG92" s="197">
        <f t="shared" si="228"/>
        <v>0</v>
      </c>
      <c r="BH92" s="197">
        <f t="shared" si="206"/>
        <v>0</v>
      </c>
      <c r="BI92" s="197">
        <f t="shared" si="207"/>
        <v>330</v>
      </c>
      <c r="BJ92" s="196">
        <f t="shared" si="229"/>
        <v>0</v>
      </c>
      <c r="BK92" s="197">
        <f t="shared" si="230"/>
        <v>293.20072581217738</v>
      </c>
      <c r="BL92" s="197">
        <f t="shared" si="231"/>
        <v>0</v>
      </c>
      <c r="BM92" s="197">
        <f t="shared" si="232"/>
        <v>0</v>
      </c>
      <c r="BN92" s="199">
        <f t="shared" si="233"/>
        <v>293.20072581217738</v>
      </c>
      <c r="BO92" s="196">
        <f t="shared" si="260"/>
        <v>2145.3425695530541</v>
      </c>
      <c r="BP92" s="197">
        <f t="shared" si="234"/>
        <v>1556.642472927422</v>
      </c>
      <c r="BQ92" s="197">
        <f t="shared" si="234"/>
        <v>1650.7606394380377</v>
      </c>
      <c r="BR92" s="197">
        <f t="shared" si="234"/>
        <v>494.58193011501589</v>
      </c>
      <c r="BS92" s="199">
        <f t="shared" si="234"/>
        <v>2051.2244030424381</v>
      </c>
      <c r="BV92" s="204">
        <f t="shared" si="261"/>
        <v>5</v>
      </c>
      <c r="BW92" s="759">
        <f>'Energy NPV'!$D17</f>
        <v>0</v>
      </c>
      <c r="BX92" s="197">
        <f>'Energy margins'!$E$12</f>
        <v>43.75</v>
      </c>
      <c r="BY92" s="197">
        <f t="shared" si="262"/>
        <v>0</v>
      </c>
      <c r="BZ92" s="197">
        <f>'Margins summary'!$Q$14</f>
        <v>330</v>
      </c>
      <c r="CA92" s="197">
        <f t="shared" si="235"/>
        <v>330</v>
      </c>
      <c r="CB92" s="197"/>
      <c r="CC92" s="918">
        <f>'Energy NPV'!U17</f>
        <v>0</v>
      </c>
      <c r="CD92" s="197"/>
      <c r="CE92" s="197">
        <f t="shared" si="236"/>
        <v>0</v>
      </c>
      <c r="CF92" s="197">
        <f t="shared" si="208"/>
        <v>0</v>
      </c>
      <c r="CG92" s="197">
        <f t="shared" si="209"/>
        <v>330</v>
      </c>
      <c r="CH92" s="196">
        <f t="shared" si="237"/>
        <v>0</v>
      </c>
      <c r="CI92" s="197">
        <f t="shared" si="238"/>
        <v>293.20072581217738</v>
      </c>
      <c r="CJ92" s="197">
        <f t="shared" si="239"/>
        <v>0</v>
      </c>
      <c r="CK92" s="197">
        <f t="shared" si="240"/>
        <v>0</v>
      </c>
      <c r="CL92" s="199">
        <f t="shared" si="241"/>
        <v>293.20072581217738</v>
      </c>
      <c r="CM92" s="196">
        <f t="shared" si="263"/>
        <v>2145.3425695530541</v>
      </c>
      <c r="CN92" s="197">
        <f t="shared" si="242"/>
        <v>1556.642472927422</v>
      </c>
      <c r="CO92" s="197">
        <f t="shared" si="242"/>
        <v>6603.042557752151</v>
      </c>
      <c r="CP92" s="197">
        <f t="shared" si="242"/>
        <v>-4457.6999881990978</v>
      </c>
      <c r="CQ92" s="199">
        <f t="shared" si="242"/>
        <v>-2901.0575152716756</v>
      </c>
      <c r="CT92" s="204">
        <f t="shared" si="264"/>
        <v>5</v>
      </c>
      <c r="CU92" s="759">
        <f>'Energy NPV'!$D17</f>
        <v>0</v>
      </c>
      <c r="CV92" s="197">
        <f>'Energy margins'!$E$12</f>
        <v>43.75</v>
      </c>
      <c r="CW92" s="197">
        <f t="shared" si="265"/>
        <v>0</v>
      </c>
      <c r="CX92" s="197">
        <f>'Margins summary'!$Q$14</f>
        <v>330</v>
      </c>
      <c r="CY92" s="197">
        <f t="shared" si="243"/>
        <v>330</v>
      </c>
      <c r="CZ92" s="197"/>
      <c r="DA92" s="918">
        <f>'Energy NPV'!U17</f>
        <v>0</v>
      </c>
      <c r="DB92" s="197"/>
      <c r="DC92" s="197">
        <f t="shared" si="244"/>
        <v>0</v>
      </c>
      <c r="DD92" s="197">
        <f t="shared" si="210"/>
        <v>0</v>
      </c>
      <c r="DE92" s="197">
        <f t="shared" si="211"/>
        <v>330</v>
      </c>
      <c r="DF92" s="196">
        <f t="shared" si="245"/>
        <v>0</v>
      </c>
      <c r="DG92" s="197">
        <f t="shared" si="246"/>
        <v>293.20072581217738</v>
      </c>
      <c r="DH92" s="197">
        <f t="shared" si="247"/>
        <v>0</v>
      </c>
      <c r="DI92" s="197">
        <f t="shared" si="248"/>
        <v>0</v>
      </c>
      <c r="DJ92" s="199">
        <f t="shared" si="249"/>
        <v>293.20072581217738</v>
      </c>
      <c r="DK92" s="196">
        <f t="shared" si="266"/>
        <v>2145.3425695530541</v>
      </c>
      <c r="DL92" s="197">
        <f t="shared" si="250"/>
        <v>1556.642472927422</v>
      </c>
      <c r="DM92" s="197">
        <f t="shared" si="250"/>
        <v>0</v>
      </c>
      <c r="DN92" s="197">
        <f t="shared" si="250"/>
        <v>2145.3425695530541</v>
      </c>
      <c r="DO92" s="199">
        <f t="shared" si="250"/>
        <v>3701.9850424804763</v>
      </c>
    </row>
    <row r="93" spans="2:119" x14ac:dyDescent="0.3">
      <c r="B93" s="204">
        <f t="shared" si="251"/>
        <v>6</v>
      </c>
      <c r="C93" s="759">
        <f>'Energy NPV'!$D18</f>
        <v>26</v>
      </c>
      <c r="D93" s="197">
        <f>'Energy margins'!$E$12</f>
        <v>43.75</v>
      </c>
      <c r="E93" s="197">
        <f t="shared" si="252"/>
        <v>1137.5</v>
      </c>
      <c r="F93" s="197">
        <f>'Margins summary'!$Q$14</f>
        <v>330</v>
      </c>
      <c r="G93" s="197">
        <f t="shared" si="212"/>
        <v>1467.5</v>
      </c>
      <c r="H93" s="197"/>
      <c r="I93" s="918">
        <f>'Energy NPV'!U18</f>
        <v>637.73333400000001</v>
      </c>
      <c r="J93" s="197"/>
      <c r="K93" s="197">
        <f t="shared" si="213"/>
        <v>637.73333400000001</v>
      </c>
      <c r="L93" s="197">
        <f t="shared" si="202"/>
        <v>499.76666599999999</v>
      </c>
      <c r="M93" s="197">
        <f t="shared" si="203"/>
        <v>829.76666599999999</v>
      </c>
      <c r="N93" s="196">
        <f t="shared" si="214"/>
        <v>981.21749223698669</v>
      </c>
      <c r="O93" s="197">
        <f t="shared" si="215"/>
        <v>284.66089884677416</v>
      </c>
      <c r="P93" s="197">
        <f t="shared" si="216"/>
        <v>550.11437600300007</v>
      </c>
      <c r="Q93" s="197">
        <f t="shared" si="217"/>
        <v>431.10311623398655</v>
      </c>
      <c r="R93" s="199">
        <f t="shared" si="218"/>
        <v>715.76401508076071</v>
      </c>
      <c r="S93" s="196">
        <f t="shared" si="253"/>
        <v>3126.5600617900409</v>
      </c>
      <c r="T93" s="197">
        <f t="shared" si="219"/>
        <v>1841.3033717741962</v>
      </c>
      <c r="U93" s="197">
        <f t="shared" si="219"/>
        <v>3851.6356548790754</v>
      </c>
      <c r="V93" s="197">
        <f t="shared" si="219"/>
        <v>-725.07559308903569</v>
      </c>
      <c r="W93" s="199">
        <f t="shared" si="219"/>
        <v>1116.2277786851607</v>
      </c>
      <c r="X93" s="197"/>
      <c r="Z93" s="204">
        <f t="shared" si="254"/>
        <v>6</v>
      </c>
      <c r="AA93" s="759">
        <f>'Energy NPV'!$D18</f>
        <v>26</v>
      </c>
      <c r="AB93" s="197">
        <f>'Energy margins'!$E$12</f>
        <v>43.75</v>
      </c>
      <c r="AC93" s="197">
        <f t="shared" si="255"/>
        <v>1137.5</v>
      </c>
      <c r="AD93" s="197">
        <f>'Margins summary'!$Q$14</f>
        <v>330</v>
      </c>
      <c r="AE93" s="197">
        <f t="shared" si="220"/>
        <v>1467.5</v>
      </c>
      <c r="AF93" s="197"/>
      <c r="AG93" s="918">
        <f>'Energy NPV'!U18</f>
        <v>637.73333400000001</v>
      </c>
      <c r="AH93" s="197"/>
      <c r="AI93" s="197">
        <f t="shared" si="256"/>
        <v>956.60000100000002</v>
      </c>
      <c r="AJ93" s="197">
        <f t="shared" si="204"/>
        <v>180.89999899999998</v>
      </c>
      <c r="AK93" s="197">
        <f t="shared" si="205"/>
        <v>510.89999899999998</v>
      </c>
      <c r="AL93" s="196">
        <f t="shared" si="221"/>
        <v>981.21749223698669</v>
      </c>
      <c r="AM93" s="197">
        <f t="shared" si="222"/>
        <v>284.66089884677416</v>
      </c>
      <c r="AN93" s="197">
        <f t="shared" si="223"/>
        <v>825.17156400450017</v>
      </c>
      <c r="AO93" s="197">
        <f t="shared" si="224"/>
        <v>156.04592823248649</v>
      </c>
      <c r="AP93" s="199">
        <f t="shared" si="225"/>
        <v>440.70682707926062</v>
      </c>
      <c r="AQ93" s="196">
        <f t="shared" si="257"/>
        <v>3126.5600617900409</v>
      </c>
      <c r="AR93" s="197">
        <f t="shared" si="226"/>
        <v>1841.3033717741962</v>
      </c>
      <c r="AS93" s="197">
        <f t="shared" si="226"/>
        <v>5777.4534823186141</v>
      </c>
      <c r="AT93" s="197">
        <f t="shared" si="226"/>
        <v>-2650.8934205285736</v>
      </c>
      <c r="AU93" s="199">
        <f t="shared" si="226"/>
        <v>-809.59004875437722</v>
      </c>
      <c r="AX93" s="204">
        <f t="shared" si="258"/>
        <v>6</v>
      </c>
      <c r="AY93" s="759">
        <f>'Energy NPV'!$D18</f>
        <v>26</v>
      </c>
      <c r="AZ93" s="197">
        <f>'Energy margins'!$E$12</f>
        <v>43.75</v>
      </c>
      <c r="BA93" s="197">
        <f t="shared" si="259"/>
        <v>1137.5</v>
      </c>
      <c r="BB93" s="197">
        <f>'Margins summary'!$Q$14</f>
        <v>330</v>
      </c>
      <c r="BC93" s="197">
        <f t="shared" si="227"/>
        <v>1467.5</v>
      </c>
      <c r="BD93" s="197"/>
      <c r="BE93" s="918">
        <f>'Energy NPV'!U18</f>
        <v>637.73333400000001</v>
      </c>
      <c r="BF93" s="197"/>
      <c r="BG93" s="197">
        <f t="shared" si="228"/>
        <v>318.86666700000001</v>
      </c>
      <c r="BH93" s="197">
        <f t="shared" si="206"/>
        <v>818.63333299999999</v>
      </c>
      <c r="BI93" s="197">
        <f t="shared" si="207"/>
        <v>1148.633333</v>
      </c>
      <c r="BJ93" s="196">
        <f t="shared" si="229"/>
        <v>981.21749223698669</v>
      </c>
      <c r="BK93" s="197">
        <f t="shared" si="230"/>
        <v>284.66089884677416</v>
      </c>
      <c r="BL93" s="197">
        <f t="shared" si="231"/>
        <v>275.05718800150004</v>
      </c>
      <c r="BM93" s="197">
        <f t="shared" si="232"/>
        <v>706.16030423548659</v>
      </c>
      <c r="BN93" s="199">
        <f t="shared" si="233"/>
        <v>990.82120308226081</v>
      </c>
      <c r="BO93" s="196">
        <f t="shared" si="260"/>
        <v>3126.5600617900409</v>
      </c>
      <c r="BP93" s="197">
        <f t="shared" si="234"/>
        <v>1841.3033717741962</v>
      </c>
      <c r="BQ93" s="197">
        <f t="shared" si="234"/>
        <v>1925.8178274395377</v>
      </c>
      <c r="BR93" s="197">
        <f t="shared" si="234"/>
        <v>1200.7422343505025</v>
      </c>
      <c r="BS93" s="199">
        <f t="shared" si="234"/>
        <v>3042.0456061246987</v>
      </c>
      <c r="BV93" s="204">
        <f t="shared" si="261"/>
        <v>6</v>
      </c>
      <c r="BW93" s="759">
        <f>'Energy NPV'!$D18</f>
        <v>26</v>
      </c>
      <c r="BX93" s="197">
        <f>'Energy margins'!$E$12</f>
        <v>43.75</v>
      </c>
      <c r="BY93" s="197">
        <f t="shared" si="262"/>
        <v>1137.5</v>
      </c>
      <c r="BZ93" s="197">
        <f>'Margins summary'!$Q$14</f>
        <v>330</v>
      </c>
      <c r="CA93" s="197">
        <f t="shared" si="235"/>
        <v>1467.5</v>
      </c>
      <c r="CB93" s="197"/>
      <c r="CC93" s="918">
        <f>'Energy NPV'!U18</f>
        <v>637.73333400000001</v>
      </c>
      <c r="CD93" s="197"/>
      <c r="CE93" s="197">
        <f t="shared" si="236"/>
        <v>1275.466668</v>
      </c>
      <c r="CF93" s="197">
        <f t="shared" si="208"/>
        <v>-137.96666800000003</v>
      </c>
      <c r="CG93" s="197">
        <f t="shared" si="209"/>
        <v>192.03333199999997</v>
      </c>
      <c r="CH93" s="196">
        <f t="shared" si="237"/>
        <v>981.21749223698669</v>
      </c>
      <c r="CI93" s="197">
        <f t="shared" si="238"/>
        <v>284.66089884677416</v>
      </c>
      <c r="CJ93" s="197">
        <f t="shared" si="239"/>
        <v>1100.2287520060001</v>
      </c>
      <c r="CK93" s="197">
        <f t="shared" si="240"/>
        <v>-119.01125976901358</v>
      </c>
      <c r="CL93" s="199">
        <f t="shared" si="241"/>
        <v>165.64963907776058</v>
      </c>
      <c r="CM93" s="196">
        <f t="shared" si="263"/>
        <v>3126.5600617900409</v>
      </c>
      <c r="CN93" s="197">
        <f t="shared" si="242"/>
        <v>1841.3033717741962</v>
      </c>
      <c r="CO93" s="197">
        <f t="shared" si="242"/>
        <v>7703.2713097581509</v>
      </c>
      <c r="CP93" s="197">
        <f t="shared" si="242"/>
        <v>-4576.7112479681109</v>
      </c>
      <c r="CQ93" s="199">
        <f t="shared" si="242"/>
        <v>-2735.4078761939149</v>
      </c>
      <c r="CT93" s="204">
        <f t="shared" si="264"/>
        <v>6</v>
      </c>
      <c r="CU93" s="759">
        <f>'Energy NPV'!$D18</f>
        <v>26</v>
      </c>
      <c r="CV93" s="197">
        <f>'Energy margins'!$E$12</f>
        <v>43.75</v>
      </c>
      <c r="CW93" s="197">
        <f t="shared" si="265"/>
        <v>1137.5</v>
      </c>
      <c r="CX93" s="197">
        <f>'Margins summary'!$Q$14</f>
        <v>330</v>
      </c>
      <c r="CY93" s="197">
        <f t="shared" si="243"/>
        <v>1467.5</v>
      </c>
      <c r="CZ93" s="197"/>
      <c r="DA93" s="918">
        <f>'Energy NPV'!U18</f>
        <v>637.73333400000001</v>
      </c>
      <c r="DB93" s="197"/>
      <c r="DC93" s="197">
        <f t="shared" si="244"/>
        <v>0</v>
      </c>
      <c r="DD93" s="197">
        <f t="shared" si="210"/>
        <v>1137.5</v>
      </c>
      <c r="DE93" s="197">
        <f t="shared" si="211"/>
        <v>1467.5</v>
      </c>
      <c r="DF93" s="196">
        <f t="shared" si="245"/>
        <v>981.21749223698669</v>
      </c>
      <c r="DG93" s="197">
        <f t="shared" si="246"/>
        <v>284.66089884677416</v>
      </c>
      <c r="DH93" s="197">
        <f t="shared" si="247"/>
        <v>0</v>
      </c>
      <c r="DI93" s="197">
        <f t="shared" si="248"/>
        <v>981.21749223698669</v>
      </c>
      <c r="DJ93" s="199">
        <f t="shared" si="249"/>
        <v>1265.8783910837608</v>
      </c>
      <c r="DK93" s="196">
        <f t="shared" si="266"/>
        <v>3126.5600617900409</v>
      </c>
      <c r="DL93" s="197">
        <f t="shared" si="250"/>
        <v>1841.3033717741962</v>
      </c>
      <c r="DM93" s="197">
        <f t="shared" si="250"/>
        <v>0</v>
      </c>
      <c r="DN93" s="197">
        <f t="shared" si="250"/>
        <v>3126.5600617900409</v>
      </c>
      <c r="DO93" s="199">
        <f t="shared" si="250"/>
        <v>4967.8634335642373</v>
      </c>
    </row>
    <row r="94" spans="2:119" x14ac:dyDescent="0.3">
      <c r="B94" s="204">
        <f t="shared" si="251"/>
        <v>7</v>
      </c>
      <c r="C94" s="759">
        <f>'Energy NPV'!$D19</f>
        <v>0</v>
      </c>
      <c r="D94" s="197">
        <f>'Energy margins'!$E$12</f>
        <v>43.75</v>
      </c>
      <c r="E94" s="197">
        <f t="shared" si="252"/>
        <v>0</v>
      </c>
      <c r="F94" s="197">
        <f>'Margins summary'!$Q$14</f>
        <v>330</v>
      </c>
      <c r="G94" s="197">
        <f t="shared" si="212"/>
        <v>330</v>
      </c>
      <c r="H94" s="197"/>
      <c r="I94" s="918">
        <f>'Energy NPV'!U19</f>
        <v>0</v>
      </c>
      <c r="J94" s="197"/>
      <c r="K94" s="197">
        <f t="shared" si="213"/>
        <v>0</v>
      </c>
      <c r="L94" s="197">
        <f t="shared" si="202"/>
        <v>0</v>
      </c>
      <c r="M94" s="197">
        <f t="shared" si="203"/>
        <v>330</v>
      </c>
      <c r="N94" s="196">
        <f t="shared" si="214"/>
        <v>0</v>
      </c>
      <c r="O94" s="197">
        <f t="shared" si="215"/>
        <v>276.36980470560593</v>
      </c>
      <c r="P94" s="197">
        <f t="shared" si="216"/>
        <v>0</v>
      </c>
      <c r="Q94" s="197">
        <f t="shared" si="217"/>
        <v>0</v>
      </c>
      <c r="R94" s="199">
        <f t="shared" si="218"/>
        <v>276.36980470560593</v>
      </c>
      <c r="S94" s="196">
        <f t="shared" si="253"/>
        <v>3126.5600617900409</v>
      </c>
      <c r="T94" s="197">
        <f t="shared" si="219"/>
        <v>2117.6731764798024</v>
      </c>
      <c r="U94" s="197">
        <f t="shared" si="219"/>
        <v>3851.6356548790754</v>
      </c>
      <c r="V94" s="197">
        <f t="shared" si="219"/>
        <v>-725.07559308903569</v>
      </c>
      <c r="W94" s="199">
        <f t="shared" si="219"/>
        <v>1392.5975833907667</v>
      </c>
      <c r="X94" s="197"/>
      <c r="Z94" s="204">
        <f t="shared" si="254"/>
        <v>7</v>
      </c>
      <c r="AA94" s="759">
        <f>'Energy NPV'!$D19</f>
        <v>0</v>
      </c>
      <c r="AB94" s="197">
        <f>'Energy margins'!$E$12</f>
        <v>43.75</v>
      </c>
      <c r="AC94" s="197">
        <f t="shared" si="255"/>
        <v>0</v>
      </c>
      <c r="AD94" s="197">
        <f>'Margins summary'!$Q$14</f>
        <v>330</v>
      </c>
      <c r="AE94" s="197">
        <f t="shared" si="220"/>
        <v>330</v>
      </c>
      <c r="AF94" s="197"/>
      <c r="AG94" s="918">
        <f>'Energy NPV'!U19</f>
        <v>0</v>
      </c>
      <c r="AH94" s="197"/>
      <c r="AI94" s="197">
        <f t="shared" si="256"/>
        <v>0</v>
      </c>
      <c r="AJ94" s="197">
        <f t="shared" si="204"/>
        <v>0</v>
      </c>
      <c r="AK94" s="197">
        <f t="shared" si="205"/>
        <v>330</v>
      </c>
      <c r="AL94" s="196">
        <f t="shared" si="221"/>
        <v>0</v>
      </c>
      <c r="AM94" s="197">
        <f t="shared" si="222"/>
        <v>276.36980470560593</v>
      </c>
      <c r="AN94" s="197">
        <f t="shared" si="223"/>
        <v>0</v>
      </c>
      <c r="AO94" s="197">
        <f t="shared" si="224"/>
        <v>0</v>
      </c>
      <c r="AP94" s="199">
        <f t="shared" si="225"/>
        <v>276.36980470560593</v>
      </c>
      <c r="AQ94" s="196">
        <f t="shared" si="257"/>
        <v>3126.5600617900409</v>
      </c>
      <c r="AR94" s="197">
        <f t="shared" si="226"/>
        <v>2117.6731764798024</v>
      </c>
      <c r="AS94" s="197">
        <f t="shared" si="226"/>
        <v>5777.4534823186141</v>
      </c>
      <c r="AT94" s="197">
        <f t="shared" si="226"/>
        <v>-2650.8934205285736</v>
      </c>
      <c r="AU94" s="199">
        <f t="shared" si="226"/>
        <v>-533.22024404877129</v>
      </c>
      <c r="AX94" s="204">
        <f t="shared" si="258"/>
        <v>7</v>
      </c>
      <c r="AY94" s="759">
        <f>'Energy NPV'!$D19</f>
        <v>0</v>
      </c>
      <c r="AZ94" s="197">
        <f>'Energy margins'!$E$12</f>
        <v>43.75</v>
      </c>
      <c r="BA94" s="197">
        <f t="shared" si="259"/>
        <v>0</v>
      </c>
      <c r="BB94" s="197">
        <f>'Margins summary'!$Q$14</f>
        <v>330</v>
      </c>
      <c r="BC94" s="197">
        <f t="shared" si="227"/>
        <v>330</v>
      </c>
      <c r="BD94" s="197"/>
      <c r="BE94" s="918">
        <f>'Energy NPV'!U19</f>
        <v>0</v>
      </c>
      <c r="BF94" s="197"/>
      <c r="BG94" s="197">
        <f t="shared" si="228"/>
        <v>0</v>
      </c>
      <c r="BH94" s="197">
        <f t="shared" si="206"/>
        <v>0</v>
      </c>
      <c r="BI94" s="197">
        <f t="shared" si="207"/>
        <v>330</v>
      </c>
      <c r="BJ94" s="196">
        <f t="shared" si="229"/>
        <v>0</v>
      </c>
      <c r="BK94" s="197">
        <f t="shared" si="230"/>
        <v>276.36980470560593</v>
      </c>
      <c r="BL94" s="197">
        <f t="shared" si="231"/>
        <v>0</v>
      </c>
      <c r="BM94" s="197">
        <f t="shared" si="232"/>
        <v>0</v>
      </c>
      <c r="BN94" s="199">
        <f t="shared" si="233"/>
        <v>276.36980470560593</v>
      </c>
      <c r="BO94" s="196">
        <f t="shared" si="260"/>
        <v>3126.5600617900409</v>
      </c>
      <c r="BP94" s="197">
        <f t="shared" si="234"/>
        <v>2117.6731764798024</v>
      </c>
      <c r="BQ94" s="197">
        <f t="shared" si="234"/>
        <v>1925.8178274395377</v>
      </c>
      <c r="BR94" s="197">
        <f t="shared" si="234"/>
        <v>1200.7422343505025</v>
      </c>
      <c r="BS94" s="199">
        <f t="shared" si="234"/>
        <v>3318.4154108303046</v>
      </c>
      <c r="BV94" s="204">
        <f t="shared" si="261"/>
        <v>7</v>
      </c>
      <c r="BW94" s="759">
        <f>'Energy NPV'!$D19</f>
        <v>0</v>
      </c>
      <c r="BX94" s="197">
        <f>'Energy margins'!$E$12</f>
        <v>43.75</v>
      </c>
      <c r="BY94" s="197">
        <f t="shared" si="262"/>
        <v>0</v>
      </c>
      <c r="BZ94" s="197">
        <f>'Margins summary'!$Q$14</f>
        <v>330</v>
      </c>
      <c r="CA94" s="197">
        <f t="shared" si="235"/>
        <v>330</v>
      </c>
      <c r="CB94" s="197"/>
      <c r="CC94" s="918">
        <f>'Energy NPV'!U19</f>
        <v>0</v>
      </c>
      <c r="CD94" s="197"/>
      <c r="CE94" s="197">
        <f t="shared" si="236"/>
        <v>0</v>
      </c>
      <c r="CF94" s="197">
        <f t="shared" si="208"/>
        <v>0</v>
      </c>
      <c r="CG94" s="197">
        <f t="shared" si="209"/>
        <v>330</v>
      </c>
      <c r="CH94" s="196">
        <f t="shared" si="237"/>
        <v>0</v>
      </c>
      <c r="CI94" s="197">
        <f t="shared" si="238"/>
        <v>276.36980470560593</v>
      </c>
      <c r="CJ94" s="197">
        <f t="shared" si="239"/>
        <v>0</v>
      </c>
      <c r="CK94" s="197">
        <f t="shared" si="240"/>
        <v>0</v>
      </c>
      <c r="CL94" s="199">
        <f t="shared" si="241"/>
        <v>276.36980470560593</v>
      </c>
      <c r="CM94" s="196">
        <f t="shared" si="263"/>
        <v>3126.5600617900409</v>
      </c>
      <c r="CN94" s="197">
        <f t="shared" si="242"/>
        <v>2117.6731764798024</v>
      </c>
      <c r="CO94" s="197">
        <f t="shared" si="242"/>
        <v>7703.2713097581509</v>
      </c>
      <c r="CP94" s="197">
        <f t="shared" si="242"/>
        <v>-4576.7112479681109</v>
      </c>
      <c r="CQ94" s="199">
        <f t="shared" si="242"/>
        <v>-2459.038071488309</v>
      </c>
      <c r="CT94" s="204">
        <f t="shared" si="264"/>
        <v>7</v>
      </c>
      <c r="CU94" s="759">
        <f>'Energy NPV'!$D19</f>
        <v>0</v>
      </c>
      <c r="CV94" s="197">
        <f>'Energy margins'!$E$12</f>
        <v>43.75</v>
      </c>
      <c r="CW94" s="197">
        <f t="shared" si="265"/>
        <v>0</v>
      </c>
      <c r="CX94" s="197">
        <f>'Margins summary'!$Q$14</f>
        <v>330</v>
      </c>
      <c r="CY94" s="197">
        <f t="shared" si="243"/>
        <v>330</v>
      </c>
      <c r="CZ94" s="197"/>
      <c r="DA94" s="918">
        <f>'Energy NPV'!U19</f>
        <v>0</v>
      </c>
      <c r="DB94" s="197"/>
      <c r="DC94" s="197">
        <f t="shared" si="244"/>
        <v>0</v>
      </c>
      <c r="DD94" s="197">
        <f t="shared" si="210"/>
        <v>0</v>
      </c>
      <c r="DE94" s="197">
        <f t="shared" si="211"/>
        <v>330</v>
      </c>
      <c r="DF94" s="196">
        <f t="shared" si="245"/>
        <v>0</v>
      </c>
      <c r="DG94" s="197">
        <f t="shared" si="246"/>
        <v>276.36980470560593</v>
      </c>
      <c r="DH94" s="197">
        <f t="shared" si="247"/>
        <v>0</v>
      </c>
      <c r="DI94" s="197">
        <f t="shared" si="248"/>
        <v>0</v>
      </c>
      <c r="DJ94" s="199">
        <f t="shared" si="249"/>
        <v>276.36980470560593</v>
      </c>
      <c r="DK94" s="196">
        <f t="shared" si="266"/>
        <v>3126.5600617900409</v>
      </c>
      <c r="DL94" s="197">
        <f t="shared" si="250"/>
        <v>2117.6731764798024</v>
      </c>
      <c r="DM94" s="197">
        <f t="shared" si="250"/>
        <v>0</v>
      </c>
      <c r="DN94" s="197">
        <f t="shared" si="250"/>
        <v>3126.5600617900409</v>
      </c>
      <c r="DO94" s="199">
        <f t="shared" si="250"/>
        <v>5244.2332382698432</v>
      </c>
    </row>
    <row r="95" spans="2:119" x14ac:dyDescent="0.3">
      <c r="B95" s="204">
        <f t="shared" si="251"/>
        <v>8</v>
      </c>
      <c r="C95" s="759">
        <f>'Energy NPV'!$D20</f>
        <v>26</v>
      </c>
      <c r="D95" s="197">
        <f>'Energy margins'!$E$12</f>
        <v>43.75</v>
      </c>
      <c r="E95" s="197">
        <f t="shared" si="252"/>
        <v>1137.5</v>
      </c>
      <c r="F95" s="197">
        <f>'Margins summary'!$Q$14</f>
        <v>330</v>
      </c>
      <c r="G95" s="197">
        <f t="shared" si="212"/>
        <v>1467.5</v>
      </c>
      <c r="H95" s="197"/>
      <c r="I95" s="918">
        <f>'Energy NPV'!U20</f>
        <v>637.73333400000001</v>
      </c>
      <c r="J95" s="197"/>
      <c r="K95" s="197">
        <f t="shared" si="213"/>
        <v>637.73333400000001</v>
      </c>
      <c r="L95" s="197">
        <f t="shared" si="202"/>
        <v>499.76666599999999</v>
      </c>
      <c r="M95" s="197">
        <f t="shared" si="203"/>
        <v>829.76666599999999</v>
      </c>
      <c r="N95" s="196">
        <f t="shared" si="214"/>
        <v>924.89159415306494</v>
      </c>
      <c r="O95" s="197">
        <f t="shared" si="215"/>
        <v>268.32019874330672</v>
      </c>
      <c r="P95" s="197">
        <f t="shared" si="216"/>
        <v>518.53556037609587</v>
      </c>
      <c r="Q95" s="197">
        <f t="shared" si="217"/>
        <v>406.35603377696907</v>
      </c>
      <c r="R95" s="199">
        <f t="shared" si="218"/>
        <v>674.67623252027579</v>
      </c>
      <c r="S95" s="196">
        <f t="shared" si="253"/>
        <v>4051.4516559431058</v>
      </c>
      <c r="T95" s="197">
        <f t="shared" si="219"/>
        <v>2385.9933752231091</v>
      </c>
      <c r="U95" s="197">
        <f t="shared" si="219"/>
        <v>4370.1712152551718</v>
      </c>
      <c r="V95" s="197">
        <f t="shared" si="219"/>
        <v>-318.71955931206662</v>
      </c>
      <c r="W95" s="199">
        <f t="shared" si="219"/>
        <v>2067.2738159110422</v>
      </c>
      <c r="X95" s="197"/>
      <c r="Z95" s="204">
        <f t="shared" si="254"/>
        <v>8</v>
      </c>
      <c r="AA95" s="759">
        <f>'Energy NPV'!$D20</f>
        <v>26</v>
      </c>
      <c r="AB95" s="197">
        <f>'Energy margins'!$E$12</f>
        <v>43.75</v>
      </c>
      <c r="AC95" s="197">
        <f t="shared" si="255"/>
        <v>1137.5</v>
      </c>
      <c r="AD95" s="197">
        <f>'Margins summary'!$Q$14</f>
        <v>330</v>
      </c>
      <c r="AE95" s="197">
        <f t="shared" si="220"/>
        <v>1467.5</v>
      </c>
      <c r="AF95" s="197"/>
      <c r="AG95" s="918">
        <f>'Energy NPV'!U20</f>
        <v>637.73333400000001</v>
      </c>
      <c r="AH95" s="197"/>
      <c r="AI95" s="197">
        <f t="shared" si="256"/>
        <v>956.60000100000002</v>
      </c>
      <c r="AJ95" s="197">
        <f t="shared" si="204"/>
        <v>180.89999899999998</v>
      </c>
      <c r="AK95" s="197">
        <f t="shared" si="205"/>
        <v>510.89999899999998</v>
      </c>
      <c r="AL95" s="196">
        <f t="shared" si="221"/>
        <v>924.89159415306494</v>
      </c>
      <c r="AM95" s="197">
        <f t="shared" si="222"/>
        <v>268.32019874330672</v>
      </c>
      <c r="AN95" s="197">
        <f t="shared" si="223"/>
        <v>777.8033405641437</v>
      </c>
      <c r="AO95" s="197">
        <f t="shared" si="224"/>
        <v>147.08825358892116</v>
      </c>
      <c r="AP95" s="199">
        <f t="shared" si="225"/>
        <v>415.40845233222791</v>
      </c>
      <c r="AQ95" s="196">
        <f t="shared" si="257"/>
        <v>4051.4516559431058</v>
      </c>
      <c r="AR95" s="197">
        <f t="shared" si="226"/>
        <v>2385.9933752231091</v>
      </c>
      <c r="AS95" s="197">
        <f t="shared" si="226"/>
        <v>6555.2568228827577</v>
      </c>
      <c r="AT95" s="197">
        <f t="shared" si="226"/>
        <v>-2503.8051669396523</v>
      </c>
      <c r="AU95" s="199">
        <f t="shared" si="226"/>
        <v>-117.81179171654338</v>
      </c>
      <c r="AX95" s="204">
        <f t="shared" si="258"/>
        <v>8</v>
      </c>
      <c r="AY95" s="759">
        <f>'Energy NPV'!$D20</f>
        <v>26</v>
      </c>
      <c r="AZ95" s="197">
        <f>'Energy margins'!$E$12</f>
        <v>43.75</v>
      </c>
      <c r="BA95" s="197">
        <f t="shared" si="259"/>
        <v>1137.5</v>
      </c>
      <c r="BB95" s="197">
        <f>'Margins summary'!$Q$14</f>
        <v>330</v>
      </c>
      <c r="BC95" s="197">
        <f t="shared" si="227"/>
        <v>1467.5</v>
      </c>
      <c r="BD95" s="197"/>
      <c r="BE95" s="918">
        <f>'Energy NPV'!U20</f>
        <v>637.73333400000001</v>
      </c>
      <c r="BF95" s="197"/>
      <c r="BG95" s="197">
        <f t="shared" si="228"/>
        <v>318.86666700000001</v>
      </c>
      <c r="BH95" s="197">
        <f t="shared" si="206"/>
        <v>818.63333299999999</v>
      </c>
      <c r="BI95" s="197">
        <f t="shared" si="207"/>
        <v>1148.633333</v>
      </c>
      <c r="BJ95" s="196">
        <f t="shared" si="229"/>
        <v>924.89159415306494</v>
      </c>
      <c r="BK95" s="197">
        <f t="shared" si="230"/>
        <v>268.32019874330672</v>
      </c>
      <c r="BL95" s="197">
        <f t="shared" si="231"/>
        <v>259.26778018804794</v>
      </c>
      <c r="BM95" s="197">
        <f t="shared" si="232"/>
        <v>665.62381396501701</v>
      </c>
      <c r="BN95" s="199">
        <f t="shared" si="233"/>
        <v>933.94401270832373</v>
      </c>
      <c r="BO95" s="196">
        <f t="shared" si="260"/>
        <v>4051.4516559431058</v>
      </c>
      <c r="BP95" s="197">
        <f t="shared" si="234"/>
        <v>2385.9933752231091</v>
      </c>
      <c r="BQ95" s="197">
        <f t="shared" si="234"/>
        <v>2185.0856076275859</v>
      </c>
      <c r="BR95" s="197">
        <f t="shared" si="234"/>
        <v>1866.3660483155195</v>
      </c>
      <c r="BS95" s="199">
        <f t="shared" si="234"/>
        <v>4252.3594235386281</v>
      </c>
      <c r="BV95" s="204">
        <f t="shared" si="261"/>
        <v>8</v>
      </c>
      <c r="BW95" s="759">
        <f>'Energy NPV'!$D20</f>
        <v>26</v>
      </c>
      <c r="BX95" s="197">
        <f>'Energy margins'!$E$12</f>
        <v>43.75</v>
      </c>
      <c r="BY95" s="197">
        <f t="shared" si="262"/>
        <v>1137.5</v>
      </c>
      <c r="BZ95" s="197">
        <f>'Margins summary'!$Q$14</f>
        <v>330</v>
      </c>
      <c r="CA95" s="197">
        <f t="shared" si="235"/>
        <v>1467.5</v>
      </c>
      <c r="CB95" s="197"/>
      <c r="CC95" s="918">
        <f>'Energy NPV'!U20</f>
        <v>637.73333400000001</v>
      </c>
      <c r="CD95" s="197"/>
      <c r="CE95" s="197">
        <f t="shared" si="236"/>
        <v>1275.466668</v>
      </c>
      <c r="CF95" s="197">
        <f t="shared" si="208"/>
        <v>-137.96666800000003</v>
      </c>
      <c r="CG95" s="197">
        <f t="shared" si="209"/>
        <v>192.03333199999997</v>
      </c>
      <c r="CH95" s="196">
        <f t="shared" si="237"/>
        <v>924.89159415306494</v>
      </c>
      <c r="CI95" s="197">
        <f t="shared" si="238"/>
        <v>268.32019874330672</v>
      </c>
      <c r="CJ95" s="197">
        <f t="shared" si="239"/>
        <v>1037.0711207521917</v>
      </c>
      <c r="CK95" s="197">
        <f t="shared" si="240"/>
        <v>-112.17952659912675</v>
      </c>
      <c r="CL95" s="199">
        <f t="shared" si="241"/>
        <v>156.14067214418</v>
      </c>
      <c r="CM95" s="196">
        <f t="shared" si="263"/>
        <v>4051.4516559431058</v>
      </c>
      <c r="CN95" s="197">
        <f t="shared" si="242"/>
        <v>2385.9933752231091</v>
      </c>
      <c r="CO95" s="197">
        <f t="shared" si="242"/>
        <v>8740.3424305103435</v>
      </c>
      <c r="CP95" s="197">
        <f t="shared" si="242"/>
        <v>-4688.8907745672377</v>
      </c>
      <c r="CQ95" s="199">
        <f t="shared" si="242"/>
        <v>-2302.8973993441291</v>
      </c>
      <c r="CT95" s="204">
        <f t="shared" si="264"/>
        <v>8</v>
      </c>
      <c r="CU95" s="759">
        <f>'Energy NPV'!$D20</f>
        <v>26</v>
      </c>
      <c r="CV95" s="197">
        <f>'Energy margins'!$E$12</f>
        <v>43.75</v>
      </c>
      <c r="CW95" s="197">
        <f t="shared" si="265"/>
        <v>1137.5</v>
      </c>
      <c r="CX95" s="197">
        <f>'Margins summary'!$Q$14</f>
        <v>330</v>
      </c>
      <c r="CY95" s="197">
        <f t="shared" si="243"/>
        <v>1467.5</v>
      </c>
      <c r="CZ95" s="197"/>
      <c r="DA95" s="918">
        <f>'Energy NPV'!U20</f>
        <v>637.73333400000001</v>
      </c>
      <c r="DB95" s="197"/>
      <c r="DC95" s="197">
        <f t="shared" si="244"/>
        <v>0</v>
      </c>
      <c r="DD95" s="197">
        <f t="shared" si="210"/>
        <v>1137.5</v>
      </c>
      <c r="DE95" s="197">
        <f t="shared" si="211"/>
        <v>1467.5</v>
      </c>
      <c r="DF95" s="196">
        <f t="shared" si="245"/>
        <v>924.89159415306494</v>
      </c>
      <c r="DG95" s="197">
        <f t="shared" si="246"/>
        <v>268.32019874330672</v>
      </c>
      <c r="DH95" s="197">
        <f t="shared" si="247"/>
        <v>0</v>
      </c>
      <c r="DI95" s="197">
        <f t="shared" si="248"/>
        <v>924.89159415306494</v>
      </c>
      <c r="DJ95" s="199">
        <f t="shared" si="249"/>
        <v>1193.2117928963717</v>
      </c>
      <c r="DK95" s="196">
        <f t="shared" si="266"/>
        <v>4051.4516559431058</v>
      </c>
      <c r="DL95" s="197">
        <f t="shared" si="250"/>
        <v>2385.9933752231091</v>
      </c>
      <c r="DM95" s="197">
        <f t="shared" si="250"/>
        <v>0</v>
      </c>
      <c r="DN95" s="197">
        <f t="shared" si="250"/>
        <v>4051.4516559431058</v>
      </c>
      <c r="DO95" s="199">
        <f t="shared" si="250"/>
        <v>6437.4450311662149</v>
      </c>
    </row>
    <row r="96" spans="2:119" x14ac:dyDescent="0.3">
      <c r="B96" s="204">
        <f t="shared" si="251"/>
        <v>9</v>
      </c>
      <c r="C96" s="759">
        <f>'Energy NPV'!$D21</f>
        <v>0</v>
      </c>
      <c r="D96" s="197">
        <f>'Energy margins'!$E$12</f>
        <v>43.75</v>
      </c>
      <c r="E96" s="197">
        <f t="shared" si="252"/>
        <v>0</v>
      </c>
      <c r="F96" s="197">
        <f>'Margins summary'!$Q$14</f>
        <v>330</v>
      </c>
      <c r="G96" s="197">
        <f t="shared" si="212"/>
        <v>330</v>
      </c>
      <c r="H96" s="197"/>
      <c r="I96" s="918">
        <f>'Energy NPV'!U21</f>
        <v>0</v>
      </c>
      <c r="J96" s="197"/>
      <c r="K96" s="197">
        <f t="shared" si="213"/>
        <v>0</v>
      </c>
      <c r="L96" s="197">
        <f t="shared" si="202"/>
        <v>0</v>
      </c>
      <c r="M96" s="197">
        <f t="shared" si="203"/>
        <v>330</v>
      </c>
      <c r="N96" s="196">
        <f t="shared" si="214"/>
        <v>0</v>
      </c>
      <c r="O96" s="197">
        <f t="shared" si="215"/>
        <v>260.50504732359883</v>
      </c>
      <c r="P96" s="197">
        <f t="shared" si="216"/>
        <v>0</v>
      </c>
      <c r="Q96" s="197">
        <f t="shared" si="217"/>
        <v>0</v>
      </c>
      <c r="R96" s="199">
        <f t="shared" si="218"/>
        <v>260.50504732359883</v>
      </c>
      <c r="S96" s="196">
        <f t="shared" si="253"/>
        <v>4051.4516559431058</v>
      </c>
      <c r="T96" s="197">
        <f t="shared" si="219"/>
        <v>2646.4984225467078</v>
      </c>
      <c r="U96" s="197">
        <f t="shared" si="219"/>
        <v>4370.1712152551718</v>
      </c>
      <c r="V96" s="197">
        <f t="shared" si="219"/>
        <v>-318.71955931206662</v>
      </c>
      <c r="W96" s="199">
        <f t="shared" si="219"/>
        <v>2327.778863234641</v>
      </c>
      <c r="X96" s="197"/>
      <c r="Z96" s="204">
        <f t="shared" si="254"/>
        <v>9</v>
      </c>
      <c r="AA96" s="759">
        <f>'Energy NPV'!$D21</f>
        <v>0</v>
      </c>
      <c r="AB96" s="197">
        <f>'Energy margins'!$E$12</f>
        <v>43.75</v>
      </c>
      <c r="AC96" s="197">
        <f t="shared" si="255"/>
        <v>0</v>
      </c>
      <c r="AD96" s="197">
        <f>'Margins summary'!$Q$14</f>
        <v>330</v>
      </c>
      <c r="AE96" s="197">
        <f t="shared" si="220"/>
        <v>330</v>
      </c>
      <c r="AF96" s="197"/>
      <c r="AG96" s="918">
        <f>'Energy NPV'!U21</f>
        <v>0</v>
      </c>
      <c r="AH96" s="197"/>
      <c r="AI96" s="197">
        <f t="shared" si="256"/>
        <v>0</v>
      </c>
      <c r="AJ96" s="197">
        <f t="shared" si="204"/>
        <v>0</v>
      </c>
      <c r="AK96" s="197">
        <f t="shared" si="205"/>
        <v>330</v>
      </c>
      <c r="AL96" s="196">
        <f t="shared" si="221"/>
        <v>0</v>
      </c>
      <c r="AM96" s="197">
        <f t="shared" si="222"/>
        <v>260.50504732359883</v>
      </c>
      <c r="AN96" s="197">
        <f t="shared" si="223"/>
        <v>0</v>
      </c>
      <c r="AO96" s="197">
        <f t="shared" si="224"/>
        <v>0</v>
      </c>
      <c r="AP96" s="199">
        <f t="shared" si="225"/>
        <v>260.50504732359883</v>
      </c>
      <c r="AQ96" s="196">
        <f t="shared" si="257"/>
        <v>4051.4516559431058</v>
      </c>
      <c r="AR96" s="197">
        <f t="shared" si="226"/>
        <v>2646.4984225467078</v>
      </c>
      <c r="AS96" s="197">
        <f t="shared" si="226"/>
        <v>6555.2568228827577</v>
      </c>
      <c r="AT96" s="197">
        <f t="shared" si="226"/>
        <v>-2503.8051669396523</v>
      </c>
      <c r="AU96" s="199">
        <f t="shared" si="226"/>
        <v>142.69325560705545</v>
      </c>
      <c r="AX96" s="204">
        <f t="shared" si="258"/>
        <v>9</v>
      </c>
      <c r="AY96" s="759">
        <f>'Energy NPV'!$D21</f>
        <v>0</v>
      </c>
      <c r="AZ96" s="197">
        <f>'Energy margins'!$E$12</f>
        <v>43.75</v>
      </c>
      <c r="BA96" s="197">
        <f t="shared" si="259"/>
        <v>0</v>
      </c>
      <c r="BB96" s="197">
        <f>'Margins summary'!$Q$14</f>
        <v>330</v>
      </c>
      <c r="BC96" s="197">
        <f t="shared" si="227"/>
        <v>330</v>
      </c>
      <c r="BD96" s="197"/>
      <c r="BE96" s="918">
        <f>'Energy NPV'!U21</f>
        <v>0</v>
      </c>
      <c r="BF96" s="197"/>
      <c r="BG96" s="197">
        <f t="shared" si="228"/>
        <v>0</v>
      </c>
      <c r="BH96" s="197">
        <f t="shared" si="206"/>
        <v>0</v>
      </c>
      <c r="BI96" s="197">
        <f t="shared" si="207"/>
        <v>330</v>
      </c>
      <c r="BJ96" s="196">
        <f t="shared" si="229"/>
        <v>0</v>
      </c>
      <c r="BK96" s="197">
        <f t="shared" si="230"/>
        <v>260.50504732359883</v>
      </c>
      <c r="BL96" s="197">
        <f t="shared" si="231"/>
        <v>0</v>
      </c>
      <c r="BM96" s="197">
        <f t="shared" si="232"/>
        <v>0</v>
      </c>
      <c r="BN96" s="199">
        <f t="shared" si="233"/>
        <v>260.50504732359883</v>
      </c>
      <c r="BO96" s="196">
        <f t="shared" si="260"/>
        <v>4051.4516559431058</v>
      </c>
      <c r="BP96" s="197">
        <f t="shared" si="234"/>
        <v>2646.4984225467078</v>
      </c>
      <c r="BQ96" s="197">
        <f t="shared" si="234"/>
        <v>2185.0856076275859</v>
      </c>
      <c r="BR96" s="197">
        <f t="shared" si="234"/>
        <v>1866.3660483155195</v>
      </c>
      <c r="BS96" s="199">
        <f t="shared" si="234"/>
        <v>4512.8644708622269</v>
      </c>
      <c r="BV96" s="204">
        <f t="shared" si="261"/>
        <v>9</v>
      </c>
      <c r="BW96" s="759">
        <f>'Energy NPV'!$D21</f>
        <v>0</v>
      </c>
      <c r="BX96" s="197">
        <f>'Energy margins'!$E$12</f>
        <v>43.75</v>
      </c>
      <c r="BY96" s="197">
        <f t="shared" si="262"/>
        <v>0</v>
      </c>
      <c r="BZ96" s="197">
        <f>'Margins summary'!$Q$14</f>
        <v>330</v>
      </c>
      <c r="CA96" s="197">
        <f t="shared" si="235"/>
        <v>330</v>
      </c>
      <c r="CB96" s="197"/>
      <c r="CC96" s="918">
        <f>'Energy NPV'!U21</f>
        <v>0</v>
      </c>
      <c r="CD96" s="197"/>
      <c r="CE96" s="197">
        <f t="shared" si="236"/>
        <v>0</v>
      </c>
      <c r="CF96" s="197">
        <f t="shared" si="208"/>
        <v>0</v>
      </c>
      <c r="CG96" s="197">
        <f t="shared" si="209"/>
        <v>330</v>
      </c>
      <c r="CH96" s="196">
        <f t="shared" si="237"/>
        <v>0</v>
      </c>
      <c r="CI96" s="197">
        <f t="shared" si="238"/>
        <v>260.50504732359883</v>
      </c>
      <c r="CJ96" s="197">
        <f t="shared" si="239"/>
        <v>0</v>
      </c>
      <c r="CK96" s="197">
        <f t="shared" si="240"/>
        <v>0</v>
      </c>
      <c r="CL96" s="199">
        <f t="shared" si="241"/>
        <v>260.50504732359883</v>
      </c>
      <c r="CM96" s="196">
        <f t="shared" si="263"/>
        <v>4051.4516559431058</v>
      </c>
      <c r="CN96" s="197">
        <f t="shared" si="242"/>
        <v>2646.4984225467078</v>
      </c>
      <c r="CO96" s="197">
        <f t="shared" si="242"/>
        <v>8740.3424305103435</v>
      </c>
      <c r="CP96" s="197">
        <f t="shared" si="242"/>
        <v>-4688.8907745672377</v>
      </c>
      <c r="CQ96" s="199">
        <f t="shared" si="242"/>
        <v>-2042.3923520205303</v>
      </c>
      <c r="CT96" s="204">
        <f t="shared" si="264"/>
        <v>9</v>
      </c>
      <c r="CU96" s="759">
        <f>'Energy NPV'!$D21</f>
        <v>0</v>
      </c>
      <c r="CV96" s="197">
        <f>'Energy margins'!$E$12</f>
        <v>43.75</v>
      </c>
      <c r="CW96" s="197">
        <f t="shared" si="265"/>
        <v>0</v>
      </c>
      <c r="CX96" s="197">
        <f>'Margins summary'!$Q$14</f>
        <v>330</v>
      </c>
      <c r="CY96" s="197">
        <f t="shared" si="243"/>
        <v>330</v>
      </c>
      <c r="CZ96" s="197"/>
      <c r="DA96" s="918">
        <f>'Energy NPV'!U21</f>
        <v>0</v>
      </c>
      <c r="DB96" s="197"/>
      <c r="DC96" s="197">
        <f t="shared" si="244"/>
        <v>0</v>
      </c>
      <c r="DD96" s="197">
        <f t="shared" si="210"/>
        <v>0</v>
      </c>
      <c r="DE96" s="197">
        <f t="shared" si="211"/>
        <v>330</v>
      </c>
      <c r="DF96" s="196">
        <f t="shared" si="245"/>
        <v>0</v>
      </c>
      <c r="DG96" s="197">
        <f t="shared" si="246"/>
        <v>260.50504732359883</v>
      </c>
      <c r="DH96" s="197">
        <f t="shared" si="247"/>
        <v>0</v>
      </c>
      <c r="DI96" s="197">
        <f t="shared" si="248"/>
        <v>0</v>
      </c>
      <c r="DJ96" s="199">
        <f t="shared" si="249"/>
        <v>260.50504732359883</v>
      </c>
      <c r="DK96" s="196">
        <f t="shared" si="266"/>
        <v>4051.4516559431058</v>
      </c>
      <c r="DL96" s="197">
        <f t="shared" si="250"/>
        <v>2646.4984225467078</v>
      </c>
      <c r="DM96" s="197">
        <f t="shared" si="250"/>
        <v>0</v>
      </c>
      <c r="DN96" s="197">
        <f t="shared" si="250"/>
        <v>4051.4516559431058</v>
      </c>
      <c r="DO96" s="199">
        <f t="shared" si="250"/>
        <v>6697.9500784898137</v>
      </c>
    </row>
    <row r="97" spans="2:119" x14ac:dyDescent="0.3">
      <c r="B97" s="204">
        <f t="shared" si="251"/>
        <v>10</v>
      </c>
      <c r="C97" s="759">
        <f>'Energy NPV'!$D22</f>
        <v>26</v>
      </c>
      <c r="D97" s="197">
        <f>'Energy margins'!$E$12</f>
        <v>43.75</v>
      </c>
      <c r="E97" s="197">
        <f t="shared" si="252"/>
        <v>1137.5</v>
      </c>
      <c r="F97" s="197">
        <f>'Margins summary'!$Q$14</f>
        <v>330</v>
      </c>
      <c r="G97" s="197">
        <f t="shared" si="212"/>
        <v>1467.5</v>
      </c>
      <c r="H97" s="197"/>
      <c r="I97" s="918">
        <f>'Energy NPV'!U22</f>
        <v>637.73333400000001</v>
      </c>
      <c r="J97" s="197"/>
      <c r="K97" s="197">
        <f t="shared" si="213"/>
        <v>637.73333400000001</v>
      </c>
      <c r="L97" s="197">
        <f t="shared" si="202"/>
        <v>499.76666599999999</v>
      </c>
      <c r="M97" s="197">
        <f t="shared" si="203"/>
        <v>829.76666599999999</v>
      </c>
      <c r="N97" s="196">
        <f t="shared" si="214"/>
        <v>871.79903304087566</v>
      </c>
      <c r="O97" s="197">
        <f t="shared" si="215"/>
        <v>252.91752167339689</v>
      </c>
      <c r="P97" s="197">
        <f t="shared" si="216"/>
        <v>488.76949795088683</v>
      </c>
      <c r="Q97" s="197">
        <f t="shared" si="217"/>
        <v>383.02953508998877</v>
      </c>
      <c r="R97" s="199">
        <f t="shared" si="218"/>
        <v>635.94705676338572</v>
      </c>
      <c r="S97" s="196">
        <f t="shared" si="253"/>
        <v>4923.2506889839815</v>
      </c>
      <c r="T97" s="197">
        <f t="shared" si="219"/>
        <v>2899.4159442201048</v>
      </c>
      <c r="U97" s="197">
        <f t="shared" si="219"/>
        <v>4858.9407132060587</v>
      </c>
      <c r="V97" s="197">
        <f t="shared" si="219"/>
        <v>64.309975777922148</v>
      </c>
      <c r="W97" s="199">
        <f t="shared" si="219"/>
        <v>2963.7259199980267</v>
      </c>
      <c r="X97" s="197"/>
      <c r="Z97" s="204">
        <f t="shared" si="254"/>
        <v>10</v>
      </c>
      <c r="AA97" s="759">
        <f>'Energy NPV'!$D22</f>
        <v>26</v>
      </c>
      <c r="AB97" s="197">
        <f>'Energy margins'!$E$12</f>
        <v>43.75</v>
      </c>
      <c r="AC97" s="197">
        <f t="shared" si="255"/>
        <v>1137.5</v>
      </c>
      <c r="AD97" s="197">
        <f>'Margins summary'!$Q$14</f>
        <v>330</v>
      </c>
      <c r="AE97" s="197">
        <f t="shared" si="220"/>
        <v>1467.5</v>
      </c>
      <c r="AF97" s="197"/>
      <c r="AG97" s="918">
        <f>'Energy NPV'!U22</f>
        <v>637.73333400000001</v>
      </c>
      <c r="AH97" s="197"/>
      <c r="AI97" s="197">
        <f t="shared" si="256"/>
        <v>956.60000100000002</v>
      </c>
      <c r="AJ97" s="197">
        <f t="shared" si="204"/>
        <v>180.89999899999998</v>
      </c>
      <c r="AK97" s="197">
        <f t="shared" si="205"/>
        <v>510.89999899999998</v>
      </c>
      <c r="AL97" s="196">
        <f t="shared" si="221"/>
        <v>871.79903304087566</v>
      </c>
      <c r="AM97" s="197">
        <f t="shared" si="222"/>
        <v>252.91752167339689</v>
      </c>
      <c r="AN97" s="197">
        <f t="shared" si="223"/>
        <v>733.1542469263303</v>
      </c>
      <c r="AO97" s="197">
        <f t="shared" si="224"/>
        <v>138.64478611454535</v>
      </c>
      <c r="AP97" s="199">
        <f t="shared" si="225"/>
        <v>391.56230778794225</v>
      </c>
      <c r="AQ97" s="196">
        <f t="shared" si="257"/>
        <v>4923.2506889839815</v>
      </c>
      <c r="AR97" s="197">
        <f t="shared" si="226"/>
        <v>2899.4159442201048</v>
      </c>
      <c r="AS97" s="197">
        <f t="shared" si="226"/>
        <v>7288.4110698090881</v>
      </c>
      <c r="AT97" s="197">
        <f t="shared" si="226"/>
        <v>-2365.160380825107</v>
      </c>
      <c r="AU97" s="199">
        <f t="shared" si="226"/>
        <v>534.25556339499769</v>
      </c>
      <c r="AX97" s="204">
        <f t="shared" si="258"/>
        <v>10</v>
      </c>
      <c r="AY97" s="759">
        <f>'Energy NPV'!$D22</f>
        <v>26</v>
      </c>
      <c r="AZ97" s="197">
        <f>'Energy margins'!$E$12</f>
        <v>43.75</v>
      </c>
      <c r="BA97" s="197">
        <f t="shared" si="259"/>
        <v>1137.5</v>
      </c>
      <c r="BB97" s="197">
        <f>'Margins summary'!$Q$14</f>
        <v>330</v>
      </c>
      <c r="BC97" s="197">
        <f t="shared" si="227"/>
        <v>1467.5</v>
      </c>
      <c r="BD97" s="197"/>
      <c r="BE97" s="918">
        <f>'Energy NPV'!U22</f>
        <v>637.73333400000001</v>
      </c>
      <c r="BF97" s="197"/>
      <c r="BG97" s="197">
        <f t="shared" si="228"/>
        <v>318.86666700000001</v>
      </c>
      <c r="BH97" s="197">
        <f t="shared" si="206"/>
        <v>818.63333299999999</v>
      </c>
      <c r="BI97" s="197">
        <f t="shared" si="207"/>
        <v>1148.633333</v>
      </c>
      <c r="BJ97" s="196">
        <f t="shared" si="229"/>
        <v>871.79903304087566</v>
      </c>
      <c r="BK97" s="197">
        <f t="shared" si="230"/>
        <v>252.91752167339689</v>
      </c>
      <c r="BL97" s="197">
        <f t="shared" si="231"/>
        <v>244.38474897544342</v>
      </c>
      <c r="BM97" s="197">
        <f t="shared" si="232"/>
        <v>627.41428406543218</v>
      </c>
      <c r="BN97" s="199">
        <f t="shared" si="233"/>
        <v>880.33180573882908</v>
      </c>
      <c r="BO97" s="196">
        <f t="shared" si="260"/>
        <v>4923.2506889839815</v>
      </c>
      <c r="BP97" s="197">
        <f t="shared" si="234"/>
        <v>2899.4159442201048</v>
      </c>
      <c r="BQ97" s="197">
        <f t="shared" si="234"/>
        <v>2429.4703566030294</v>
      </c>
      <c r="BR97" s="197">
        <f t="shared" si="234"/>
        <v>2493.7803323809517</v>
      </c>
      <c r="BS97" s="199">
        <f t="shared" si="234"/>
        <v>5393.1962766010556</v>
      </c>
      <c r="BV97" s="204">
        <f t="shared" si="261"/>
        <v>10</v>
      </c>
      <c r="BW97" s="759">
        <f>'Energy NPV'!$D22</f>
        <v>26</v>
      </c>
      <c r="BX97" s="197">
        <f>'Energy margins'!$E$12</f>
        <v>43.75</v>
      </c>
      <c r="BY97" s="197">
        <f t="shared" si="262"/>
        <v>1137.5</v>
      </c>
      <c r="BZ97" s="197">
        <f>'Margins summary'!$Q$14</f>
        <v>330</v>
      </c>
      <c r="CA97" s="197">
        <f t="shared" si="235"/>
        <v>1467.5</v>
      </c>
      <c r="CB97" s="197"/>
      <c r="CC97" s="918">
        <f>'Energy NPV'!U22</f>
        <v>637.73333400000001</v>
      </c>
      <c r="CD97" s="197"/>
      <c r="CE97" s="197">
        <f t="shared" si="236"/>
        <v>1275.466668</v>
      </c>
      <c r="CF97" s="197">
        <f t="shared" si="208"/>
        <v>-137.96666800000003</v>
      </c>
      <c r="CG97" s="197">
        <f t="shared" si="209"/>
        <v>192.03333199999997</v>
      </c>
      <c r="CH97" s="196">
        <f t="shared" si="237"/>
        <v>871.79903304087566</v>
      </c>
      <c r="CI97" s="197">
        <f t="shared" si="238"/>
        <v>252.91752167339689</v>
      </c>
      <c r="CJ97" s="197">
        <f t="shared" si="239"/>
        <v>977.53899590177366</v>
      </c>
      <c r="CK97" s="197">
        <f t="shared" si="240"/>
        <v>-105.73996286089806</v>
      </c>
      <c r="CL97" s="199">
        <f t="shared" si="241"/>
        <v>147.17755881249883</v>
      </c>
      <c r="CM97" s="196">
        <f t="shared" si="263"/>
        <v>4923.2506889839815</v>
      </c>
      <c r="CN97" s="197">
        <f t="shared" si="242"/>
        <v>2899.4159442201048</v>
      </c>
      <c r="CO97" s="197">
        <f t="shared" si="242"/>
        <v>9717.8814264121174</v>
      </c>
      <c r="CP97" s="197">
        <f t="shared" si="242"/>
        <v>-4794.6307374281359</v>
      </c>
      <c r="CQ97" s="199">
        <f t="shared" si="242"/>
        <v>-1895.2147932080316</v>
      </c>
      <c r="CT97" s="204">
        <f t="shared" si="264"/>
        <v>10</v>
      </c>
      <c r="CU97" s="759">
        <f>'Energy NPV'!$D22</f>
        <v>26</v>
      </c>
      <c r="CV97" s="197">
        <f>'Energy margins'!$E$12</f>
        <v>43.75</v>
      </c>
      <c r="CW97" s="197">
        <f t="shared" si="265"/>
        <v>1137.5</v>
      </c>
      <c r="CX97" s="197">
        <f>'Margins summary'!$Q$14</f>
        <v>330</v>
      </c>
      <c r="CY97" s="197">
        <f t="shared" si="243"/>
        <v>1467.5</v>
      </c>
      <c r="CZ97" s="197"/>
      <c r="DA97" s="918">
        <f>'Energy NPV'!U22</f>
        <v>637.73333400000001</v>
      </c>
      <c r="DB97" s="197"/>
      <c r="DC97" s="197">
        <f t="shared" si="244"/>
        <v>0</v>
      </c>
      <c r="DD97" s="197">
        <f t="shared" si="210"/>
        <v>1137.5</v>
      </c>
      <c r="DE97" s="197">
        <f t="shared" si="211"/>
        <v>1467.5</v>
      </c>
      <c r="DF97" s="196">
        <f t="shared" si="245"/>
        <v>871.79903304087566</v>
      </c>
      <c r="DG97" s="197">
        <f t="shared" si="246"/>
        <v>252.91752167339689</v>
      </c>
      <c r="DH97" s="197">
        <f t="shared" si="247"/>
        <v>0</v>
      </c>
      <c r="DI97" s="197">
        <f t="shared" si="248"/>
        <v>871.79903304087566</v>
      </c>
      <c r="DJ97" s="199">
        <f t="shared" si="249"/>
        <v>1124.7165547142724</v>
      </c>
      <c r="DK97" s="196">
        <f t="shared" si="266"/>
        <v>4923.2506889839815</v>
      </c>
      <c r="DL97" s="197">
        <f t="shared" si="250"/>
        <v>2899.4159442201048</v>
      </c>
      <c r="DM97" s="197">
        <f t="shared" si="250"/>
        <v>0</v>
      </c>
      <c r="DN97" s="197">
        <f t="shared" si="250"/>
        <v>4923.2506889839815</v>
      </c>
      <c r="DO97" s="199">
        <f t="shared" si="250"/>
        <v>7822.6666332040859</v>
      </c>
    </row>
    <row r="98" spans="2:119" x14ac:dyDescent="0.3">
      <c r="B98" s="204">
        <f t="shared" si="251"/>
        <v>11</v>
      </c>
      <c r="C98" s="759">
        <f>'Energy NPV'!$D23</f>
        <v>0</v>
      </c>
      <c r="D98" s="197">
        <f>'Energy margins'!$E$12</f>
        <v>43.75</v>
      </c>
      <c r="E98" s="197">
        <f t="shared" si="252"/>
        <v>0</v>
      </c>
      <c r="F98" s="197"/>
      <c r="G98" s="197">
        <f t="shared" si="212"/>
        <v>0</v>
      </c>
      <c r="H98" s="197"/>
      <c r="I98" s="918">
        <f>'Energy NPV'!U23</f>
        <v>0</v>
      </c>
      <c r="J98" s="197"/>
      <c r="K98" s="197">
        <f t="shared" si="213"/>
        <v>0</v>
      </c>
      <c r="L98" s="197">
        <f t="shared" si="202"/>
        <v>0</v>
      </c>
      <c r="M98" s="197">
        <f t="shared" si="203"/>
        <v>0</v>
      </c>
      <c r="N98" s="196">
        <f t="shared" si="214"/>
        <v>0</v>
      </c>
      <c r="O98" s="197">
        <f t="shared" si="215"/>
        <v>0</v>
      </c>
      <c r="P98" s="197">
        <f t="shared" si="216"/>
        <v>0</v>
      </c>
      <c r="Q98" s="197">
        <f t="shared" si="217"/>
        <v>0</v>
      </c>
      <c r="R98" s="199">
        <f t="shared" si="218"/>
        <v>0</v>
      </c>
      <c r="S98" s="196">
        <f t="shared" si="253"/>
        <v>4923.2506889839815</v>
      </c>
      <c r="T98" s="197">
        <f t="shared" si="219"/>
        <v>2899.4159442201048</v>
      </c>
      <c r="U98" s="197">
        <f t="shared" si="219"/>
        <v>4858.9407132060587</v>
      </c>
      <c r="V98" s="197">
        <f t="shared" si="219"/>
        <v>64.309975777922148</v>
      </c>
      <c r="W98" s="199">
        <f t="shared" si="219"/>
        <v>2963.7259199980267</v>
      </c>
      <c r="X98" s="197"/>
      <c r="Z98" s="204">
        <f t="shared" si="254"/>
        <v>11</v>
      </c>
      <c r="AA98" s="759">
        <f>'Energy NPV'!$D23</f>
        <v>0</v>
      </c>
      <c r="AB98" s="197">
        <f>'Energy margins'!$E$12</f>
        <v>43.75</v>
      </c>
      <c r="AC98" s="197">
        <f t="shared" si="255"/>
        <v>0</v>
      </c>
      <c r="AD98" s="197"/>
      <c r="AE98" s="197">
        <f t="shared" si="220"/>
        <v>0</v>
      </c>
      <c r="AF98" s="197"/>
      <c r="AG98" s="918">
        <f>'Energy NPV'!U23</f>
        <v>0</v>
      </c>
      <c r="AH98" s="197"/>
      <c r="AI98" s="197">
        <f t="shared" si="256"/>
        <v>0</v>
      </c>
      <c r="AJ98" s="197">
        <f t="shared" si="204"/>
        <v>0</v>
      </c>
      <c r="AK98" s="197">
        <f t="shared" si="205"/>
        <v>0</v>
      </c>
      <c r="AL98" s="196">
        <f t="shared" si="221"/>
        <v>0</v>
      </c>
      <c r="AM98" s="197">
        <f t="shared" si="222"/>
        <v>0</v>
      </c>
      <c r="AN98" s="197">
        <f t="shared" si="223"/>
        <v>0</v>
      </c>
      <c r="AO98" s="197">
        <f t="shared" si="224"/>
        <v>0</v>
      </c>
      <c r="AP98" s="199">
        <f t="shared" si="225"/>
        <v>0</v>
      </c>
      <c r="AQ98" s="196">
        <f t="shared" si="257"/>
        <v>4923.2506889839815</v>
      </c>
      <c r="AR98" s="197">
        <f t="shared" si="226"/>
        <v>2899.4159442201048</v>
      </c>
      <c r="AS98" s="197">
        <f t="shared" si="226"/>
        <v>7288.4110698090881</v>
      </c>
      <c r="AT98" s="197">
        <f t="shared" si="226"/>
        <v>-2365.160380825107</v>
      </c>
      <c r="AU98" s="199">
        <f t="shared" si="226"/>
        <v>534.25556339499769</v>
      </c>
      <c r="AX98" s="204">
        <f t="shared" si="258"/>
        <v>11</v>
      </c>
      <c r="AY98" s="759">
        <f>'Energy NPV'!$D23</f>
        <v>0</v>
      </c>
      <c r="AZ98" s="197">
        <f>'Energy margins'!$E$12</f>
        <v>43.75</v>
      </c>
      <c r="BA98" s="197">
        <f t="shared" si="259"/>
        <v>0</v>
      </c>
      <c r="BB98" s="197"/>
      <c r="BC98" s="197">
        <f t="shared" si="227"/>
        <v>0</v>
      </c>
      <c r="BD98" s="197"/>
      <c r="BE98" s="918">
        <f>'Energy NPV'!U23</f>
        <v>0</v>
      </c>
      <c r="BF98" s="197"/>
      <c r="BG98" s="197">
        <f t="shared" si="228"/>
        <v>0</v>
      </c>
      <c r="BH98" s="197">
        <f t="shared" si="206"/>
        <v>0</v>
      </c>
      <c r="BI98" s="197">
        <f t="shared" si="207"/>
        <v>0</v>
      </c>
      <c r="BJ98" s="196">
        <f t="shared" si="229"/>
        <v>0</v>
      </c>
      <c r="BK98" s="197">
        <f t="shared" si="230"/>
        <v>0</v>
      </c>
      <c r="BL98" s="197">
        <f t="shared" si="231"/>
        <v>0</v>
      </c>
      <c r="BM98" s="197">
        <f t="shared" si="232"/>
        <v>0</v>
      </c>
      <c r="BN98" s="199">
        <f t="shared" si="233"/>
        <v>0</v>
      </c>
      <c r="BO98" s="196">
        <f t="shared" si="260"/>
        <v>4923.2506889839815</v>
      </c>
      <c r="BP98" s="197">
        <f t="shared" si="234"/>
        <v>2899.4159442201048</v>
      </c>
      <c r="BQ98" s="197">
        <f t="shared" si="234"/>
        <v>2429.4703566030294</v>
      </c>
      <c r="BR98" s="197">
        <f t="shared" si="234"/>
        <v>2493.7803323809517</v>
      </c>
      <c r="BS98" s="199">
        <f t="shared" si="234"/>
        <v>5393.1962766010556</v>
      </c>
      <c r="BV98" s="204">
        <f t="shared" si="261"/>
        <v>11</v>
      </c>
      <c r="BW98" s="759">
        <f>'Energy NPV'!$D23</f>
        <v>0</v>
      </c>
      <c r="BX98" s="197">
        <f>'Energy margins'!$E$12</f>
        <v>43.75</v>
      </c>
      <c r="BY98" s="197">
        <f t="shared" si="262"/>
        <v>0</v>
      </c>
      <c r="BZ98" s="197"/>
      <c r="CA98" s="197">
        <f t="shared" si="235"/>
        <v>0</v>
      </c>
      <c r="CB98" s="197"/>
      <c r="CC98" s="918">
        <f>'Energy NPV'!U23</f>
        <v>0</v>
      </c>
      <c r="CD98" s="197"/>
      <c r="CE98" s="197">
        <f t="shared" si="236"/>
        <v>0</v>
      </c>
      <c r="CF98" s="197">
        <f t="shared" si="208"/>
        <v>0</v>
      </c>
      <c r="CG98" s="197">
        <f t="shared" si="209"/>
        <v>0</v>
      </c>
      <c r="CH98" s="196">
        <f t="shared" si="237"/>
        <v>0</v>
      </c>
      <c r="CI98" s="197">
        <f t="shared" si="238"/>
        <v>0</v>
      </c>
      <c r="CJ98" s="197">
        <f t="shared" si="239"/>
        <v>0</v>
      </c>
      <c r="CK98" s="197">
        <f t="shared" si="240"/>
        <v>0</v>
      </c>
      <c r="CL98" s="199">
        <f t="shared" si="241"/>
        <v>0</v>
      </c>
      <c r="CM98" s="196">
        <f t="shared" si="263"/>
        <v>4923.2506889839815</v>
      </c>
      <c r="CN98" s="197">
        <f t="shared" si="242"/>
        <v>2899.4159442201048</v>
      </c>
      <c r="CO98" s="197">
        <f t="shared" si="242"/>
        <v>9717.8814264121174</v>
      </c>
      <c r="CP98" s="197">
        <f t="shared" si="242"/>
        <v>-4794.6307374281359</v>
      </c>
      <c r="CQ98" s="199">
        <f t="shared" si="242"/>
        <v>-1895.2147932080316</v>
      </c>
      <c r="CT98" s="204">
        <f t="shared" si="264"/>
        <v>11</v>
      </c>
      <c r="CU98" s="759">
        <f>'Energy NPV'!$D23</f>
        <v>0</v>
      </c>
      <c r="CV98" s="197">
        <f>'Energy margins'!$E$12</f>
        <v>43.75</v>
      </c>
      <c r="CW98" s="197">
        <f t="shared" si="265"/>
        <v>0</v>
      </c>
      <c r="CX98" s="197"/>
      <c r="CY98" s="197">
        <f t="shared" si="243"/>
        <v>0</v>
      </c>
      <c r="CZ98" s="197"/>
      <c r="DA98" s="918">
        <f>'Energy NPV'!U23</f>
        <v>0</v>
      </c>
      <c r="DB98" s="197"/>
      <c r="DC98" s="197">
        <f t="shared" si="244"/>
        <v>0</v>
      </c>
      <c r="DD98" s="197">
        <f t="shared" si="210"/>
        <v>0</v>
      </c>
      <c r="DE98" s="197">
        <f t="shared" si="211"/>
        <v>0</v>
      </c>
      <c r="DF98" s="196">
        <f t="shared" si="245"/>
        <v>0</v>
      </c>
      <c r="DG98" s="197">
        <f t="shared" si="246"/>
        <v>0</v>
      </c>
      <c r="DH98" s="197">
        <f t="shared" si="247"/>
        <v>0</v>
      </c>
      <c r="DI98" s="197">
        <f t="shared" si="248"/>
        <v>0</v>
      </c>
      <c r="DJ98" s="199">
        <f t="shared" si="249"/>
        <v>0</v>
      </c>
      <c r="DK98" s="196">
        <f t="shared" si="266"/>
        <v>4923.2506889839815</v>
      </c>
      <c r="DL98" s="197">
        <f t="shared" si="250"/>
        <v>2899.4159442201048</v>
      </c>
      <c r="DM98" s="197">
        <f t="shared" si="250"/>
        <v>0</v>
      </c>
      <c r="DN98" s="197">
        <f t="shared" si="250"/>
        <v>4923.2506889839815</v>
      </c>
      <c r="DO98" s="199">
        <f t="shared" si="250"/>
        <v>7822.6666332040859</v>
      </c>
    </row>
    <row r="99" spans="2:119" x14ac:dyDescent="0.3">
      <c r="B99" s="204">
        <f t="shared" si="251"/>
        <v>12</v>
      </c>
      <c r="C99" s="759">
        <f>'Energy NPV'!$D24</f>
        <v>26</v>
      </c>
      <c r="D99" s="197">
        <f>'Energy margins'!$E$12</f>
        <v>43.75</v>
      </c>
      <c r="E99" s="197">
        <f t="shared" si="252"/>
        <v>1137.5</v>
      </c>
      <c r="F99" s="197"/>
      <c r="G99" s="197">
        <f t="shared" si="212"/>
        <v>1137.5</v>
      </c>
      <c r="H99" s="197"/>
      <c r="I99" s="918">
        <f>'Energy NPV'!U24</f>
        <v>637.73333400000001</v>
      </c>
      <c r="J99" s="197"/>
      <c r="K99" s="197">
        <f t="shared" si="213"/>
        <v>637.73333400000001</v>
      </c>
      <c r="L99" s="197">
        <f t="shared" si="202"/>
        <v>499.76666599999999</v>
      </c>
      <c r="M99" s="197">
        <f t="shared" si="203"/>
        <v>499.76666599999999</v>
      </c>
      <c r="N99" s="196">
        <f t="shared" si="214"/>
        <v>821.75420213109214</v>
      </c>
      <c r="O99" s="197">
        <f t="shared" si="215"/>
        <v>0</v>
      </c>
      <c r="P99" s="197">
        <f t="shared" si="216"/>
        <v>460.71212927786485</v>
      </c>
      <c r="Q99" s="197">
        <f t="shared" si="217"/>
        <v>361.04207285322724</v>
      </c>
      <c r="R99" s="199">
        <f t="shared" si="218"/>
        <v>361.04207285322724</v>
      </c>
      <c r="S99" s="196">
        <f t="shared" si="253"/>
        <v>5745.0048911150734</v>
      </c>
      <c r="T99" s="197">
        <f t="shared" si="219"/>
        <v>2899.4159442201048</v>
      </c>
      <c r="U99" s="197">
        <f t="shared" si="219"/>
        <v>5319.6528424839235</v>
      </c>
      <c r="V99" s="197">
        <f t="shared" si="219"/>
        <v>425.35204863114939</v>
      </c>
      <c r="W99" s="199">
        <f t="shared" si="219"/>
        <v>3324.7679928512539</v>
      </c>
      <c r="X99" s="197"/>
      <c r="Z99" s="204">
        <f t="shared" si="254"/>
        <v>12</v>
      </c>
      <c r="AA99" s="759">
        <f>'Energy NPV'!$D24</f>
        <v>26</v>
      </c>
      <c r="AB99" s="197">
        <f>'Energy margins'!$E$12</f>
        <v>43.75</v>
      </c>
      <c r="AC99" s="197">
        <f t="shared" si="255"/>
        <v>1137.5</v>
      </c>
      <c r="AD99" s="197"/>
      <c r="AE99" s="197">
        <f t="shared" si="220"/>
        <v>1137.5</v>
      </c>
      <c r="AF99" s="197"/>
      <c r="AG99" s="918">
        <f>'Energy NPV'!U24</f>
        <v>637.73333400000001</v>
      </c>
      <c r="AH99" s="197"/>
      <c r="AI99" s="197">
        <f t="shared" si="256"/>
        <v>956.60000100000002</v>
      </c>
      <c r="AJ99" s="197">
        <f t="shared" si="204"/>
        <v>180.89999899999998</v>
      </c>
      <c r="AK99" s="197">
        <f t="shared" si="205"/>
        <v>180.89999899999998</v>
      </c>
      <c r="AL99" s="196">
        <f t="shared" si="221"/>
        <v>821.75420213109214</v>
      </c>
      <c r="AM99" s="197">
        <f t="shared" si="222"/>
        <v>0</v>
      </c>
      <c r="AN99" s="197">
        <f t="shared" si="223"/>
        <v>691.06819391679733</v>
      </c>
      <c r="AO99" s="197">
        <f t="shared" si="224"/>
        <v>130.68600821429482</v>
      </c>
      <c r="AP99" s="199">
        <f t="shared" si="225"/>
        <v>130.68600821429482</v>
      </c>
      <c r="AQ99" s="196">
        <f t="shared" si="257"/>
        <v>5745.0048911150734</v>
      </c>
      <c r="AR99" s="197">
        <f t="shared" si="226"/>
        <v>2899.4159442201048</v>
      </c>
      <c r="AS99" s="197">
        <f t="shared" si="226"/>
        <v>7979.4792637258852</v>
      </c>
      <c r="AT99" s="197">
        <f t="shared" si="226"/>
        <v>-2234.4743726108122</v>
      </c>
      <c r="AU99" s="199">
        <f t="shared" si="226"/>
        <v>664.94157160929251</v>
      </c>
      <c r="AX99" s="204">
        <f t="shared" si="258"/>
        <v>12</v>
      </c>
      <c r="AY99" s="759">
        <f>'Energy NPV'!$D24</f>
        <v>26</v>
      </c>
      <c r="AZ99" s="197">
        <f>'Energy margins'!$E$12</f>
        <v>43.75</v>
      </c>
      <c r="BA99" s="197">
        <f t="shared" si="259"/>
        <v>1137.5</v>
      </c>
      <c r="BB99" s="197"/>
      <c r="BC99" s="197">
        <f t="shared" si="227"/>
        <v>1137.5</v>
      </c>
      <c r="BD99" s="197"/>
      <c r="BE99" s="918">
        <f>'Energy NPV'!U24</f>
        <v>637.73333400000001</v>
      </c>
      <c r="BF99" s="197"/>
      <c r="BG99" s="197">
        <f t="shared" si="228"/>
        <v>318.86666700000001</v>
      </c>
      <c r="BH99" s="197">
        <f t="shared" si="206"/>
        <v>818.63333299999999</v>
      </c>
      <c r="BI99" s="197">
        <f t="shared" si="207"/>
        <v>818.63333299999999</v>
      </c>
      <c r="BJ99" s="196">
        <f t="shared" si="229"/>
        <v>821.75420213109214</v>
      </c>
      <c r="BK99" s="197">
        <f t="shared" si="230"/>
        <v>0</v>
      </c>
      <c r="BL99" s="197">
        <f t="shared" si="231"/>
        <v>230.35606463893242</v>
      </c>
      <c r="BM99" s="197">
        <f t="shared" si="232"/>
        <v>591.39813749215966</v>
      </c>
      <c r="BN99" s="199">
        <f t="shared" si="233"/>
        <v>591.39813749215966</v>
      </c>
      <c r="BO99" s="196">
        <f t="shared" si="260"/>
        <v>5745.0048911150734</v>
      </c>
      <c r="BP99" s="197">
        <f t="shared" si="234"/>
        <v>2899.4159442201048</v>
      </c>
      <c r="BQ99" s="197">
        <f t="shared" si="234"/>
        <v>2659.8264212419617</v>
      </c>
      <c r="BR99" s="197">
        <f t="shared" si="234"/>
        <v>3085.1784698731112</v>
      </c>
      <c r="BS99" s="199">
        <f t="shared" si="234"/>
        <v>5984.5944140932152</v>
      </c>
      <c r="BV99" s="204">
        <f t="shared" si="261"/>
        <v>12</v>
      </c>
      <c r="BW99" s="759">
        <f>'Energy NPV'!$D24</f>
        <v>26</v>
      </c>
      <c r="BX99" s="197">
        <f>'Energy margins'!$E$12</f>
        <v>43.75</v>
      </c>
      <c r="BY99" s="197">
        <f t="shared" si="262"/>
        <v>1137.5</v>
      </c>
      <c r="BZ99" s="197"/>
      <c r="CA99" s="197">
        <f t="shared" si="235"/>
        <v>1137.5</v>
      </c>
      <c r="CB99" s="197"/>
      <c r="CC99" s="918">
        <f>'Energy NPV'!U24</f>
        <v>637.73333400000001</v>
      </c>
      <c r="CD99" s="197"/>
      <c r="CE99" s="197">
        <f t="shared" si="236"/>
        <v>1275.466668</v>
      </c>
      <c r="CF99" s="197">
        <f t="shared" si="208"/>
        <v>-137.96666800000003</v>
      </c>
      <c r="CG99" s="197">
        <f t="shared" si="209"/>
        <v>-137.96666800000003</v>
      </c>
      <c r="CH99" s="196">
        <f t="shared" si="237"/>
        <v>821.75420213109214</v>
      </c>
      <c r="CI99" s="197">
        <f t="shared" si="238"/>
        <v>0</v>
      </c>
      <c r="CJ99" s="197">
        <f t="shared" si="239"/>
        <v>921.42425855572969</v>
      </c>
      <c r="CK99" s="197">
        <f t="shared" si="240"/>
        <v>-99.670056424637622</v>
      </c>
      <c r="CL99" s="199">
        <f t="shared" si="241"/>
        <v>-99.670056424637622</v>
      </c>
      <c r="CM99" s="196">
        <f t="shared" si="263"/>
        <v>5745.0048911150734</v>
      </c>
      <c r="CN99" s="197">
        <f t="shared" si="242"/>
        <v>2899.4159442201048</v>
      </c>
      <c r="CO99" s="197">
        <f t="shared" si="242"/>
        <v>10639.305684967847</v>
      </c>
      <c r="CP99" s="197">
        <f t="shared" si="242"/>
        <v>-4894.3007938527735</v>
      </c>
      <c r="CQ99" s="199">
        <f t="shared" si="242"/>
        <v>-1994.8848496326691</v>
      </c>
      <c r="CT99" s="204">
        <f t="shared" si="264"/>
        <v>12</v>
      </c>
      <c r="CU99" s="759">
        <f>'Energy NPV'!$D24</f>
        <v>26</v>
      </c>
      <c r="CV99" s="197">
        <f>'Energy margins'!$E$12</f>
        <v>43.75</v>
      </c>
      <c r="CW99" s="197">
        <f t="shared" si="265"/>
        <v>1137.5</v>
      </c>
      <c r="CX99" s="197"/>
      <c r="CY99" s="197">
        <f t="shared" si="243"/>
        <v>1137.5</v>
      </c>
      <c r="CZ99" s="197"/>
      <c r="DA99" s="918">
        <f>'Energy NPV'!U24</f>
        <v>637.73333400000001</v>
      </c>
      <c r="DB99" s="197"/>
      <c r="DC99" s="197">
        <f t="shared" si="244"/>
        <v>0</v>
      </c>
      <c r="DD99" s="197">
        <f t="shared" si="210"/>
        <v>1137.5</v>
      </c>
      <c r="DE99" s="197">
        <f t="shared" si="211"/>
        <v>1137.5</v>
      </c>
      <c r="DF99" s="196">
        <f t="shared" si="245"/>
        <v>821.75420213109214</v>
      </c>
      <c r="DG99" s="197">
        <f t="shared" si="246"/>
        <v>0</v>
      </c>
      <c r="DH99" s="197">
        <f t="shared" si="247"/>
        <v>0</v>
      </c>
      <c r="DI99" s="197">
        <f t="shared" si="248"/>
        <v>821.75420213109214</v>
      </c>
      <c r="DJ99" s="199">
        <f t="shared" si="249"/>
        <v>821.75420213109214</v>
      </c>
      <c r="DK99" s="196">
        <f t="shared" si="266"/>
        <v>5745.0048911150734</v>
      </c>
      <c r="DL99" s="197">
        <f t="shared" si="250"/>
        <v>2899.4159442201048</v>
      </c>
      <c r="DM99" s="197">
        <f t="shared" si="250"/>
        <v>0</v>
      </c>
      <c r="DN99" s="197">
        <f t="shared" si="250"/>
        <v>5745.0048911150734</v>
      </c>
      <c r="DO99" s="199">
        <f t="shared" si="250"/>
        <v>8644.4208353351787</v>
      </c>
    </row>
    <row r="100" spans="2:119" x14ac:dyDescent="0.3">
      <c r="B100" s="204">
        <f t="shared" si="251"/>
        <v>13</v>
      </c>
      <c r="C100" s="759">
        <f>'Energy NPV'!$D25</f>
        <v>0</v>
      </c>
      <c r="D100" s="197">
        <f>'Energy margins'!$E$12</f>
        <v>43.75</v>
      </c>
      <c r="E100" s="197">
        <f t="shared" si="252"/>
        <v>0</v>
      </c>
      <c r="F100" s="197"/>
      <c r="G100" s="197">
        <f t="shared" si="212"/>
        <v>0</v>
      </c>
      <c r="H100" s="197"/>
      <c r="I100" s="918">
        <f>'Energy NPV'!U25</f>
        <v>0</v>
      </c>
      <c r="J100" s="197"/>
      <c r="K100" s="197">
        <f t="shared" si="213"/>
        <v>0</v>
      </c>
      <c r="L100" s="197">
        <f t="shared" si="202"/>
        <v>0</v>
      </c>
      <c r="M100" s="197">
        <f t="shared" si="203"/>
        <v>0</v>
      </c>
      <c r="N100" s="196">
        <f t="shared" si="214"/>
        <v>0</v>
      </c>
      <c r="O100" s="197">
        <f t="shared" si="215"/>
        <v>0</v>
      </c>
      <c r="P100" s="197">
        <f t="shared" si="216"/>
        <v>0</v>
      </c>
      <c r="Q100" s="197">
        <f t="shared" si="217"/>
        <v>0</v>
      </c>
      <c r="R100" s="199">
        <f t="shared" si="218"/>
        <v>0</v>
      </c>
      <c r="S100" s="196">
        <f t="shared" si="253"/>
        <v>5745.0048911150734</v>
      </c>
      <c r="T100" s="197">
        <f t="shared" si="219"/>
        <v>2899.4159442201048</v>
      </c>
      <c r="U100" s="197">
        <f t="shared" si="219"/>
        <v>5319.6528424839235</v>
      </c>
      <c r="V100" s="197">
        <f t="shared" si="219"/>
        <v>425.35204863114939</v>
      </c>
      <c r="W100" s="199">
        <f t="shared" si="219"/>
        <v>3324.7679928512539</v>
      </c>
      <c r="X100" s="197"/>
      <c r="Z100" s="204">
        <f t="shared" si="254"/>
        <v>13</v>
      </c>
      <c r="AA100" s="759">
        <f>'Energy NPV'!$D25</f>
        <v>0</v>
      </c>
      <c r="AB100" s="197">
        <f>'Energy margins'!$E$12</f>
        <v>43.75</v>
      </c>
      <c r="AC100" s="197">
        <f t="shared" si="255"/>
        <v>0</v>
      </c>
      <c r="AD100" s="197"/>
      <c r="AE100" s="197">
        <f t="shared" si="220"/>
        <v>0</v>
      </c>
      <c r="AF100" s="197"/>
      <c r="AG100" s="918">
        <f>'Energy NPV'!U25</f>
        <v>0</v>
      </c>
      <c r="AH100" s="197"/>
      <c r="AI100" s="197">
        <f t="shared" si="256"/>
        <v>0</v>
      </c>
      <c r="AJ100" s="197">
        <f t="shared" si="204"/>
        <v>0</v>
      </c>
      <c r="AK100" s="197">
        <f t="shared" si="205"/>
        <v>0</v>
      </c>
      <c r="AL100" s="196">
        <f t="shared" si="221"/>
        <v>0</v>
      </c>
      <c r="AM100" s="197">
        <f t="shared" si="222"/>
        <v>0</v>
      </c>
      <c r="AN100" s="197">
        <f t="shared" si="223"/>
        <v>0</v>
      </c>
      <c r="AO100" s="197">
        <f t="shared" si="224"/>
        <v>0</v>
      </c>
      <c r="AP100" s="199">
        <f t="shared" si="225"/>
        <v>0</v>
      </c>
      <c r="AQ100" s="196">
        <f t="shared" si="257"/>
        <v>5745.0048911150734</v>
      </c>
      <c r="AR100" s="197">
        <f t="shared" si="226"/>
        <v>2899.4159442201048</v>
      </c>
      <c r="AS100" s="197">
        <f t="shared" si="226"/>
        <v>7979.4792637258852</v>
      </c>
      <c r="AT100" s="197">
        <f t="shared" si="226"/>
        <v>-2234.4743726108122</v>
      </c>
      <c r="AU100" s="199">
        <f t="shared" si="226"/>
        <v>664.94157160929251</v>
      </c>
      <c r="AX100" s="204">
        <f t="shared" si="258"/>
        <v>13</v>
      </c>
      <c r="AY100" s="759">
        <f>'Energy NPV'!$D25</f>
        <v>0</v>
      </c>
      <c r="AZ100" s="197">
        <f>'Energy margins'!$E$12</f>
        <v>43.75</v>
      </c>
      <c r="BA100" s="197">
        <f t="shared" si="259"/>
        <v>0</v>
      </c>
      <c r="BB100" s="197"/>
      <c r="BC100" s="197">
        <f t="shared" si="227"/>
        <v>0</v>
      </c>
      <c r="BD100" s="197"/>
      <c r="BE100" s="918">
        <f>'Energy NPV'!U25</f>
        <v>0</v>
      </c>
      <c r="BF100" s="197"/>
      <c r="BG100" s="197">
        <f t="shared" si="228"/>
        <v>0</v>
      </c>
      <c r="BH100" s="197">
        <f t="shared" si="206"/>
        <v>0</v>
      </c>
      <c r="BI100" s="197">
        <f t="shared" si="207"/>
        <v>0</v>
      </c>
      <c r="BJ100" s="196">
        <f t="shared" si="229"/>
        <v>0</v>
      </c>
      <c r="BK100" s="197">
        <f t="shared" si="230"/>
        <v>0</v>
      </c>
      <c r="BL100" s="197">
        <f t="shared" si="231"/>
        <v>0</v>
      </c>
      <c r="BM100" s="197">
        <f t="shared" si="232"/>
        <v>0</v>
      </c>
      <c r="BN100" s="199">
        <f t="shared" si="233"/>
        <v>0</v>
      </c>
      <c r="BO100" s="196">
        <f t="shared" si="260"/>
        <v>5745.0048911150734</v>
      </c>
      <c r="BP100" s="197">
        <f t="shared" si="234"/>
        <v>2899.4159442201048</v>
      </c>
      <c r="BQ100" s="197">
        <f t="shared" si="234"/>
        <v>2659.8264212419617</v>
      </c>
      <c r="BR100" s="197">
        <f t="shared" si="234"/>
        <v>3085.1784698731112</v>
      </c>
      <c r="BS100" s="199">
        <f t="shared" si="234"/>
        <v>5984.5944140932152</v>
      </c>
      <c r="BV100" s="204">
        <f t="shared" si="261"/>
        <v>13</v>
      </c>
      <c r="BW100" s="759">
        <f>'Energy NPV'!$D25</f>
        <v>0</v>
      </c>
      <c r="BX100" s="197">
        <f>'Energy margins'!$E$12</f>
        <v>43.75</v>
      </c>
      <c r="BY100" s="197">
        <f t="shared" si="262"/>
        <v>0</v>
      </c>
      <c r="BZ100" s="197"/>
      <c r="CA100" s="197">
        <f t="shared" si="235"/>
        <v>0</v>
      </c>
      <c r="CB100" s="197"/>
      <c r="CC100" s="918">
        <f>'Energy NPV'!U25</f>
        <v>0</v>
      </c>
      <c r="CD100" s="197"/>
      <c r="CE100" s="197">
        <f t="shared" si="236"/>
        <v>0</v>
      </c>
      <c r="CF100" s="197">
        <f t="shared" si="208"/>
        <v>0</v>
      </c>
      <c r="CG100" s="197">
        <f t="shared" si="209"/>
        <v>0</v>
      </c>
      <c r="CH100" s="196">
        <f t="shared" si="237"/>
        <v>0</v>
      </c>
      <c r="CI100" s="197">
        <f t="shared" si="238"/>
        <v>0</v>
      </c>
      <c r="CJ100" s="197">
        <f t="shared" si="239"/>
        <v>0</v>
      </c>
      <c r="CK100" s="197">
        <f t="shared" si="240"/>
        <v>0</v>
      </c>
      <c r="CL100" s="199">
        <f t="shared" si="241"/>
        <v>0</v>
      </c>
      <c r="CM100" s="196">
        <f t="shared" si="263"/>
        <v>5745.0048911150734</v>
      </c>
      <c r="CN100" s="197">
        <f t="shared" si="242"/>
        <v>2899.4159442201048</v>
      </c>
      <c r="CO100" s="197">
        <f t="shared" si="242"/>
        <v>10639.305684967847</v>
      </c>
      <c r="CP100" s="197">
        <f t="shared" si="242"/>
        <v>-4894.3007938527735</v>
      </c>
      <c r="CQ100" s="199">
        <f t="shared" si="242"/>
        <v>-1994.8848496326691</v>
      </c>
      <c r="CT100" s="204">
        <f t="shared" si="264"/>
        <v>13</v>
      </c>
      <c r="CU100" s="759">
        <f>'Energy NPV'!$D25</f>
        <v>0</v>
      </c>
      <c r="CV100" s="197">
        <f>'Energy margins'!$E$12</f>
        <v>43.75</v>
      </c>
      <c r="CW100" s="197">
        <f t="shared" si="265"/>
        <v>0</v>
      </c>
      <c r="CX100" s="197"/>
      <c r="CY100" s="197">
        <f t="shared" si="243"/>
        <v>0</v>
      </c>
      <c r="CZ100" s="197"/>
      <c r="DA100" s="918">
        <f>'Energy NPV'!U25</f>
        <v>0</v>
      </c>
      <c r="DB100" s="197"/>
      <c r="DC100" s="197">
        <f t="shared" si="244"/>
        <v>0</v>
      </c>
      <c r="DD100" s="197">
        <f t="shared" si="210"/>
        <v>0</v>
      </c>
      <c r="DE100" s="197">
        <f t="shared" si="211"/>
        <v>0</v>
      </c>
      <c r="DF100" s="196">
        <f t="shared" si="245"/>
        <v>0</v>
      </c>
      <c r="DG100" s="197">
        <f t="shared" si="246"/>
        <v>0</v>
      </c>
      <c r="DH100" s="197">
        <f t="shared" si="247"/>
        <v>0</v>
      </c>
      <c r="DI100" s="197">
        <f t="shared" si="248"/>
        <v>0</v>
      </c>
      <c r="DJ100" s="199">
        <f t="shared" si="249"/>
        <v>0</v>
      </c>
      <c r="DK100" s="196">
        <f t="shared" si="266"/>
        <v>5745.0048911150734</v>
      </c>
      <c r="DL100" s="197">
        <f t="shared" si="250"/>
        <v>2899.4159442201048</v>
      </c>
      <c r="DM100" s="197">
        <f t="shared" si="250"/>
        <v>0</v>
      </c>
      <c r="DN100" s="197">
        <f t="shared" si="250"/>
        <v>5745.0048911150734</v>
      </c>
      <c r="DO100" s="199">
        <f t="shared" si="250"/>
        <v>8644.4208353351787</v>
      </c>
    </row>
    <row r="101" spans="2:119" x14ac:dyDescent="0.3">
      <c r="B101" s="204">
        <f t="shared" si="251"/>
        <v>14</v>
      </c>
      <c r="C101" s="759">
        <f>'Energy NPV'!$D26</f>
        <v>26</v>
      </c>
      <c r="D101" s="197">
        <f>'Energy margins'!$E$12</f>
        <v>43.75</v>
      </c>
      <c r="E101" s="197">
        <f t="shared" si="252"/>
        <v>1137.5</v>
      </c>
      <c r="F101" s="197"/>
      <c r="G101" s="197">
        <f t="shared" si="212"/>
        <v>1137.5</v>
      </c>
      <c r="H101" s="197"/>
      <c r="I101" s="918">
        <f>'Energy NPV'!U26</f>
        <v>637.73333400000001</v>
      </c>
      <c r="J101" s="197"/>
      <c r="K101" s="197">
        <f t="shared" si="213"/>
        <v>637.73333400000001</v>
      </c>
      <c r="L101" s="197">
        <f t="shared" si="202"/>
        <v>499.76666599999999</v>
      </c>
      <c r="M101" s="197">
        <f t="shared" si="203"/>
        <v>499.76666599999999</v>
      </c>
      <c r="N101" s="196">
        <f t="shared" si="214"/>
        <v>774.58214924223989</v>
      </c>
      <c r="O101" s="197">
        <f t="shared" si="215"/>
        <v>0</v>
      </c>
      <c r="P101" s="197">
        <f t="shared" si="216"/>
        <v>434.26536834561688</v>
      </c>
      <c r="Q101" s="197">
        <f t="shared" si="217"/>
        <v>340.31678089662296</v>
      </c>
      <c r="R101" s="199">
        <f t="shared" si="218"/>
        <v>340.31678089662296</v>
      </c>
      <c r="S101" s="196">
        <f t="shared" si="253"/>
        <v>6519.5870403573135</v>
      </c>
      <c r="T101" s="197">
        <f t="shared" si="219"/>
        <v>2899.4159442201048</v>
      </c>
      <c r="U101" s="197">
        <f t="shared" si="219"/>
        <v>5753.9182108295399</v>
      </c>
      <c r="V101" s="197">
        <f t="shared" si="219"/>
        <v>765.66882952777235</v>
      </c>
      <c r="W101" s="199">
        <f t="shared" si="219"/>
        <v>3665.0847737478771</v>
      </c>
      <c r="X101" s="197"/>
      <c r="Z101" s="204">
        <f t="shared" si="254"/>
        <v>14</v>
      </c>
      <c r="AA101" s="759">
        <f>'Energy NPV'!$D26</f>
        <v>26</v>
      </c>
      <c r="AB101" s="197">
        <f>'Energy margins'!$E$12</f>
        <v>43.75</v>
      </c>
      <c r="AC101" s="197">
        <f t="shared" si="255"/>
        <v>1137.5</v>
      </c>
      <c r="AD101" s="197"/>
      <c r="AE101" s="197">
        <f t="shared" si="220"/>
        <v>1137.5</v>
      </c>
      <c r="AF101" s="197"/>
      <c r="AG101" s="918">
        <f>'Energy NPV'!U26</f>
        <v>637.73333400000001</v>
      </c>
      <c r="AH101" s="197"/>
      <c r="AI101" s="197">
        <f t="shared" si="256"/>
        <v>956.60000100000002</v>
      </c>
      <c r="AJ101" s="197">
        <f t="shared" si="204"/>
        <v>180.89999899999998</v>
      </c>
      <c r="AK101" s="197">
        <f t="shared" si="205"/>
        <v>180.89999899999998</v>
      </c>
      <c r="AL101" s="196">
        <f t="shared" si="221"/>
        <v>774.58214924223989</v>
      </c>
      <c r="AM101" s="197">
        <f t="shared" si="222"/>
        <v>0</v>
      </c>
      <c r="AN101" s="197">
        <f t="shared" si="223"/>
        <v>651.39805251842529</v>
      </c>
      <c r="AO101" s="197">
        <f t="shared" si="224"/>
        <v>123.18409672381453</v>
      </c>
      <c r="AP101" s="199">
        <f t="shared" si="225"/>
        <v>123.18409672381453</v>
      </c>
      <c r="AQ101" s="196">
        <f t="shared" si="257"/>
        <v>6519.5870403573135</v>
      </c>
      <c r="AR101" s="197">
        <f t="shared" si="226"/>
        <v>2899.4159442201048</v>
      </c>
      <c r="AS101" s="197">
        <f t="shared" si="226"/>
        <v>8630.8773162443104</v>
      </c>
      <c r="AT101" s="197">
        <f t="shared" si="226"/>
        <v>-2111.2902758869977</v>
      </c>
      <c r="AU101" s="199">
        <f t="shared" si="226"/>
        <v>788.125668333107</v>
      </c>
      <c r="AX101" s="204">
        <f t="shared" si="258"/>
        <v>14</v>
      </c>
      <c r="AY101" s="759">
        <f>'Energy NPV'!$D26</f>
        <v>26</v>
      </c>
      <c r="AZ101" s="197">
        <f>'Energy margins'!$E$12</f>
        <v>43.75</v>
      </c>
      <c r="BA101" s="197">
        <f t="shared" si="259"/>
        <v>1137.5</v>
      </c>
      <c r="BB101" s="197"/>
      <c r="BC101" s="197">
        <f t="shared" si="227"/>
        <v>1137.5</v>
      </c>
      <c r="BD101" s="197"/>
      <c r="BE101" s="918">
        <f>'Energy NPV'!U26</f>
        <v>637.73333400000001</v>
      </c>
      <c r="BF101" s="197"/>
      <c r="BG101" s="197">
        <f t="shared" si="228"/>
        <v>318.86666700000001</v>
      </c>
      <c r="BH101" s="197">
        <f t="shared" si="206"/>
        <v>818.63333299999999</v>
      </c>
      <c r="BI101" s="197">
        <f t="shared" si="207"/>
        <v>818.63333299999999</v>
      </c>
      <c r="BJ101" s="196">
        <f t="shared" si="229"/>
        <v>774.58214924223989</v>
      </c>
      <c r="BK101" s="197">
        <f t="shared" si="230"/>
        <v>0</v>
      </c>
      <c r="BL101" s="197">
        <f t="shared" si="231"/>
        <v>217.13268417280844</v>
      </c>
      <c r="BM101" s="197">
        <f t="shared" si="232"/>
        <v>557.44946506943143</v>
      </c>
      <c r="BN101" s="199">
        <f t="shared" si="233"/>
        <v>557.44946506943143</v>
      </c>
      <c r="BO101" s="196">
        <f t="shared" si="260"/>
        <v>6519.5870403573135</v>
      </c>
      <c r="BP101" s="197">
        <f t="shared" si="234"/>
        <v>2899.4159442201048</v>
      </c>
      <c r="BQ101" s="197">
        <f t="shared" si="234"/>
        <v>2876.95910541477</v>
      </c>
      <c r="BR101" s="197">
        <f t="shared" si="234"/>
        <v>3642.6279349425427</v>
      </c>
      <c r="BS101" s="199">
        <f t="shared" si="234"/>
        <v>6542.0438791626466</v>
      </c>
      <c r="BV101" s="204">
        <f t="shared" si="261"/>
        <v>14</v>
      </c>
      <c r="BW101" s="759">
        <f>'Energy NPV'!$D26</f>
        <v>26</v>
      </c>
      <c r="BX101" s="197">
        <f>'Energy margins'!$E$12</f>
        <v>43.75</v>
      </c>
      <c r="BY101" s="197">
        <f t="shared" si="262"/>
        <v>1137.5</v>
      </c>
      <c r="BZ101" s="197"/>
      <c r="CA101" s="197">
        <f t="shared" si="235"/>
        <v>1137.5</v>
      </c>
      <c r="CB101" s="197"/>
      <c r="CC101" s="918">
        <f>'Energy NPV'!U26</f>
        <v>637.73333400000001</v>
      </c>
      <c r="CD101" s="197"/>
      <c r="CE101" s="197">
        <f t="shared" si="236"/>
        <v>1275.466668</v>
      </c>
      <c r="CF101" s="197">
        <f t="shared" si="208"/>
        <v>-137.96666800000003</v>
      </c>
      <c r="CG101" s="197">
        <f t="shared" si="209"/>
        <v>-137.96666800000003</v>
      </c>
      <c r="CH101" s="196">
        <f t="shared" si="237"/>
        <v>774.58214924223989</v>
      </c>
      <c r="CI101" s="197">
        <f t="shared" si="238"/>
        <v>0</v>
      </c>
      <c r="CJ101" s="197">
        <f t="shared" si="239"/>
        <v>868.53073669123376</v>
      </c>
      <c r="CK101" s="197">
        <f t="shared" si="240"/>
        <v>-93.948587448993919</v>
      </c>
      <c r="CL101" s="199">
        <f t="shared" si="241"/>
        <v>-93.948587448993919</v>
      </c>
      <c r="CM101" s="196">
        <f t="shared" si="263"/>
        <v>6519.5870403573135</v>
      </c>
      <c r="CN101" s="197">
        <f t="shared" si="242"/>
        <v>2899.4159442201048</v>
      </c>
      <c r="CO101" s="197">
        <f t="shared" si="242"/>
        <v>11507.83642165908</v>
      </c>
      <c r="CP101" s="197">
        <f t="shared" si="242"/>
        <v>-4988.2493813017672</v>
      </c>
      <c r="CQ101" s="199">
        <f t="shared" si="242"/>
        <v>-2088.8334370816629</v>
      </c>
      <c r="CT101" s="204">
        <f t="shared" si="264"/>
        <v>14</v>
      </c>
      <c r="CU101" s="759">
        <f>'Energy NPV'!$D26</f>
        <v>26</v>
      </c>
      <c r="CV101" s="197">
        <f>'Energy margins'!$E$12</f>
        <v>43.75</v>
      </c>
      <c r="CW101" s="197">
        <f t="shared" si="265"/>
        <v>1137.5</v>
      </c>
      <c r="CX101" s="197"/>
      <c r="CY101" s="197">
        <f t="shared" si="243"/>
        <v>1137.5</v>
      </c>
      <c r="CZ101" s="197"/>
      <c r="DA101" s="918">
        <f>'Energy NPV'!U26</f>
        <v>637.73333400000001</v>
      </c>
      <c r="DB101" s="197"/>
      <c r="DC101" s="197">
        <f t="shared" si="244"/>
        <v>0</v>
      </c>
      <c r="DD101" s="197">
        <f t="shared" si="210"/>
        <v>1137.5</v>
      </c>
      <c r="DE101" s="197">
        <f t="shared" si="211"/>
        <v>1137.5</v>
      </c>
      <c r="DF101" s="196">
        <f t="shared" si="245"/>
        <v>774.58214924223989</v>
      </c>
      <c r="DG101" s="197">
        <f t="shared" si="246"/>
        <v>0</v>
      </c>
      <c r="DH101" s="197">
        <f t="shared" si="247"/>
        <v>0</v>
      </c>
      <c r="DI101" s="197">
        <f t="shared" si="248"/>
        <v>774.58214924223989</v>
      </c>
      <c r="DJ101" s="199">
        <f t="shared" si="249"/>
        <v>774.58214924223989</v>
      </c>
      <c r="DK101" s="196">
        <f t="shared" si="266"/>
        <v>6519.5870403573135</v>
      </c>
      <c r="DL101" s="197">
        <f t="shared" si="250"/>
        <v>2899.4159442201048</v>
      </c>
      <c r="DM101" s="197">
        <f t="shared" si="250"/>
        <v>0</v>
      </c>
      <c r="DN101" s="197">
        <f t="shared" si="250"/>
        <v>6519.5870403573135</v>
      </c>
      <c r="DO101" s="199">
        <f t="shared" si="250"/>
        <v>9419.0029845774188</v>
      </c>
    </row>
    <row r="102" spans="2:119" x14ac:dyDescent="0.3">
      <c r="B102" s="204">
        <f t="shared" si="251"/>
        <v>15</v>
      </c>
      <c r="C102" s="759">
        <f>'Energy NPV'!$D27</f>
        <v>0</v>
      </c>
      <c r="D102" s="197">
        <f>'Energy margins'!$E$12</f>
        <v>43.75</v>
      </c>
      <c r="E102" s="197">
        <f t="shared" si="252"/>
        <v>0</v>
      </c>
      <c r="F102" s="197"/>
      <c r="G102" s="197">
        <f t="shared" si="212"/>
        <v>0</v>
      </c>
      <c r="H102" s="197"/>
      <c r="I102" s="918">
        <f>'Energy NPV'!U27</f>
        <v>0</v>
      </c>
      <c r="J102" s="197"/>
      <c r="K102" s="197">
        <f t="shared" si="213"/>
        <v>0</v>
      </c>
      <c r="L102" s="197">
        <f t="shared" si="202"/>
        <v>0</v>
      </c>
      <c r="M102" s="197">
        <f t="shared" si="203"/>
        <v>0</v>
      </c>
      <c r="N102" s="196">
        <f t="shared" si="214"/>
        <v>0</v>
      </c>
      <c r="O102" s="197">
        <f t="shared" si="215"/>
        <v>0</v>
      </c>
      <c r="P102" s="197">
        <f t="shared" si="216"/>
        <v>0</v>
      </c>
      <c r="Q102" s="197">
        <f t="shared" si="217"/>
        <v>0</v>
      </c>
      <c r="R102" s="199">
        <f t="shared" si="218"/>
        <v>0</v>
      </c>
      <c r="S102" s="196">
        <f t="shared" si="253"/>
        <v>6519.5870403573135</v>
      </c>
      <c r="T102" s="197">
        <f t="shared" si="219"/>
        <v>2899.4159442201048</v>
      </c>
      <c r="U102" s="197">
        <f t="shared" si="219"/>
        <v>5753.9182108295399</v>
      </c>
      <c r="V102" s="197">
        <f t="shared" si="219"/>
        <v>765.66882952777235</v>
      </c>
      <c r="W102" s="199">
        <f t="shared" si="219"/>
        <v>3665.0847737478771</v>
      </c>
      <c r="X102" s="197"/>
      <c r="Z102" s="204">
        <f t="shared" si="254"/>
        <v>15</v>
      </c>
      <c r="AA102" s="759">
        <f>'Energy NPV'!$D27</f>
        <v>0</v>
      </c>
      <c r="AB102" s="197">
        <f>'Energy margins'!$E$12</f>
        <v>43.75</v>
      </c>
      <c r="AC102" s="197">
        <f t="shared" si="255"/>
        <v>0</v>
      </c>
      <c r="AD102" s="197"/>
      <c r="AE102" s="197">
        <f t="shared" si="220"/>
        <v>0</v>
      </c>
      <c r="AF102" s="197"/>
      <c r="AG102" s="918">
        <f>'Energy NPV'!U27</f>
        <v>0</v>
      </c>
      <c r="AH102" s="197"/>
      <c r="AI102" s="197">
        <f t="shared" si="256"/>
        <v>0</v>
      </c>
      <c r="AJ102" s="197">
        <f t="shared" si="204"/>
        <v>0</v>
      </c>
      <c r="AK102" s="197">
        <f t="shared" si="205"/>
        <v>0</v>
      </c>
      <c r="AL102" s="196">
        <f t="shared" si="221"/>
        <v>0</v>
      </c>
      <c r="AM102" s="197">
        <f t="shared" si="222"/>
        <v>0</v>
      </c>
      <c r="AN102" s="197">
        <f t="shared" si="223"/>
        <v>0</v>
      </c>
      <c r="AO102" s="197">
        <f t="shared" si="224"/>
        <v>0</v>
      </c>
      <c r="AP102" s="199">
        <f t="shared" si="225"/>
        <v>0</v>
      </c>
      <c r="AQ102" s="196">
        <f t="shared" si="257"/>
        <v>6519.5870403573135</v>
      </c>
      <c r="AR102" s="197">
        <f t="shared" si="226"/>
        <v>2899.4159442201048</v>
      </c>
      <c r="AS102" s="197">
        <f t="shared" si="226"/>
        <v>8630.8773162443104</v>
      </c>
      <c r="AT102" s="197">
        <f t="shared" si="226"/>
        <v>-2111.2902758869977</v>
      </c>
      <c r="AU102" s="199">
        <f t="shared" si="226"/>
        <v>788.125668333107</v>
      </c>
      <c r="AX102" s="204">
        <f t="shared" si="258"/>
        <v>15</v>
      </c>
      <c r="AY102" s="759">
        <f>'Energy NPV'!$D27</f>
        <v>0</v>
      </c>
      <c r="AZ102" s="197">
        <f>'Energy margins'!$E$12</f>
        <v>43.75</v>
      </c>
      <c r="BA102" s="197">
        <f t="shared" si="259"/>
        <v>0</v>
      </c>
      <c r="BB102" s="197"/>
      <c r="BC102" s="197">
        <f t="shared" si="227"/>
        <v>0</v>
      </c>
      <c r="BD102" s="197"/>
      <c r="BE102" s="918">
        <f>'Energy NPV'!U27</f>
        <v>0</v>
      </c>
      <c r="BF102" s="197"/>
      <c r="BG102" s="197">
        <f t="shared" si="228"/>
        <v>0</v>
      </c>
      <c r="BH102" s="197">
        <f t="shared" si="206"/>
        <v>0</v>
      </c>
      <c r="BI102" s="197">
        <f t="shared" si="207"/>
        <v>0</v>
      </c>
      <c r="BJ102" s="196">
        <f t="shared" si="229"/>
        <v>0</v>
      </c>
      <c r="BK102" s="197">
        <f t="shared" si="230"/>
        <v>0</v>
      </c>
      <c r="BL102" s="197">
        <f t="shared" si="231"/>
        <v>0</v>
      </c>
      <c r="BM102" s="197">
        <f t="shared" si="232"/>
        <v>0</v>
      </c>
      <c r="BN102" s="199">
        <f t="shared" si="233"/>
        <v>0</v>
      </c>
      <c r="BO102" s="196">
        <f t="shared" si="260"/>
        <v>6519.5870403573135</v>
      </c>
      <c r="BP102" s="197">
        <f t="shared" si="234"/>
        <v>2899.4159442201048</v>
      </c>
      <c r="BQ102" s="197">
        <f t="shared" si="234"/>
        <v>2876.95910541477</v>
      </c>
      <c r="BR102" s="197">
        <f t="shared" si="234"/>
        <v>3642.6279349425427</v>
      </c>
      <c r="BS102" s="199">
        <f t="shared" si="234"/>
        <v>6542.0438791626466</v>
      </c>
      <c r="BV102" s="204">
        <f t="shared" si="261"/>
        <v>15</v>
      </c>
      <c r="BW102" s="759">
        <f>'Energy NPV'!$D27</f>
        <v>0</v>
      </c>
      <c r="BX102" s="197">
        <f>'Energy margins'!$E$12</f>
        <v>43.75</v>
      </c>
      <c r="BY102" s="197">
        <f t="shared" si="262"/>
        <v>0</v>
      </c>
      <c r="BZ102" s="197"/>
      <c r="CA102" s="197">
        <f t="shared" si="235"/>
        <v>0</v>
      </c>
      <c r="CB102" s="197"/>
      <c r="CC102" s="918">
        <f>'Energy NPV'!U27</f>
        <v>0</v>
      </c>
      <c r="CD102" s="197"/>
      <c r="CE102" s="197">
        <f t="shared" si="236"/>
        <v>0</v>
      </c>
      <c r="CF102" s="197">
        <f t="shared" si="208"/>
        <v>0</v>
      </c>
      <c r="CG102" s="197">
        <f t="shared" si="209"/>
        <v>0</v>
      </c>
      <c r="CH102" s="196">
        <f t="shared" si="237"/>
        <v>0</v>
      </c>
      <c r="CI102" s="197">
        <f t="shared" si="238"/>
        <v>0</v>
      </c>
      <c r="CJ102" s="197">
        <f t="shared" si="239"/>
        <v>0</v>
      </c>
      <c r="CK102" s="197">
        <f t="shared" si="240"/>
        <v>0</v>
      </c>
      <c r="CL102" s="199">
        <f t="shared" si="241"/>
        <v>0</v>
      </c>
      <c r="CM102" s="196">
        <f t="shared" si="263"/>
        <v>6519.5870403573135</v>
      </c>
      <c r="CN102" s="197">
        <f t="shared" si="242"/>
        <v>2899.4159442201048</v>
      </c>
      <c r="CO102" s="197">
        <f t="shared" si="242"/>
        <v>11507.83642165908</v>
      </c>
      <c r="CP102" s="197">
        <f t="shared" si="242"/>
        <v>-4988.2493813017672</v>
      </c>
      <c r="CQ102" s="199">
        <f t="shared" si="242"/>
        <v>-2088.8334370816629</v>
      </c>
      <c r="CT102" s="204">
        <f t="shared" si="264"/>
        <v>15</v>
      </c>
      <c r="CU102" s="759">
        <f>'Energy NPV'!$D27</f>
        <v>0</v>
      </c>
      <c r="CV102" s="197">
        <f>'Energy margins'!$E$12</f>
        <v>43.75</v>
      </c>
      <c r="CW102" s="197">
        <f t="shared" si="265"/>
        <v>0</v>
      </c>
      <c r="CX102" s="197"/>
      <c r="CY102" s="197">
        <f t="shared" si="243"/>
        <v>0</v>
      </c>
      <c r="CZ102" s="197"/>
      <c r="DA102" s="918">
        <f>'Energy NPV'!U27</f>
        <v>0</v>
      </c>
      <c r="DB102" s="197"/>
      <c r="DC102" s="197">
        <f t="shared" si="244"/>
        <v>0</v>
      </c>
      <c r="DD102" s="197">
        <f t="shared" si="210"/>
        <v>0</v>
      </c>
      <c r="DE102" s="197">
        <f t="shared" si="211"/>
        <v>0</v>
      </c>
      <c r="DF102" s="196">
        <f t="shared" si="245"/>
        <v>0</v>
      </c>
      <c r="DG102" s="197">
        <f t="shared" si="246"/>
        <v>0</v>
      </c>
      <c r="DH102" s="197">
        <f t="shared" si="247"/>
        <v>0</v>
      </c>
      <c r="DI102" s="197">
        <f t="shared" si="248"/>
        <v>0</v>
      </c>
      <c r="DJ102" s="199">
        <f t="shared" si="249"/>
        <v>0</v>
      </c>
      <c r="DK102" s="196">
        <f t="shared" si="266"/>
        <v>6519.5870403573135</v>
      </c>
      <c r="DL102" s="197">
        <f t="shared" si="250"/>
        <v>2899.4159442201048</v>
      </c>
      <c r="DM102" s="197">
        <f t="shared" si="250"/>
        <v>0</v>
      </c>
      <c r="DN102" s="197">
        <f t="shared" si="250"/>
        <v>6519.5870403573135</v>
      </c>
      <c r="DO102" s="199">
        <f t="shared" si="250"/>
        <v>9419.0029845774188</v>
      </c>
    </row>
    <row r="103" spans="2:119" x14ac:dyDescent="0.3">
      <c r="B103" s="206">
        <f t="shared" si="251"/>
        <v>16</v>
      </c>
      <c r="C103" s="215">
        <f>'Energy NPV'!$D28</f>
        <v>26</v>
      </c>
      <c r="D103" s="207">
        <f>'Energy margins'!$E$12</f>
        <v>43.75</v>
      </c>
      <c r="E103" s="207">
        <f t="shared" si="252"/>
        <v>1137.5</v>
      </c>
      <c r="F103" s="207"/>
      <c r="G103" s="207">
        <f t="shared" si="212"/>
        <v>1137.5</v>
      </c>
      <c r="H103" s="207"/>
      <c r="I103" s="919">
        <f>'Energy NPV'!U28</f>
        <v>637.73333400000001</v>
      </c>
      <c r="J103" s="207">
        <f>'Energy margins'!$J$67</f>
        <v>500</v>
      </c>
      <c r="K103" s="207">
        <f t="shared" si="213"/>
        <v>1137.733334</v>
      </c>
      <c r="L103" s="207">
        <f t="shared" si="202"/>
        <v>-0.23333400000001348</v>
      </c>
      <c r="M103" s="207">
        <f t="shared" si="203"/>
        <v>-0.23333400000001348</v>
      </c>
      <c r="N103" s="208">
        <f t="shared" si="214"/>
        <v>730.11796516376637</v>
      </c>
      <c r="O103" s="207">
        <f t="shared" si="215"/>
        <v>0</v>
      </c>
      <c r="P103" s="207">
        <f t="shared" si="216"/>
        <v>730.26773337940028</v>
      </c>
      <c r="Q103" s="207">
        <f t="shared" si="217"/>
        <v>-0.14976821563387438</v>
      </c>
      <c r="R103" s="209">
        <f t="shared" si="218"/>
        <v>-0.14976821563387438</v>
      </c>
      <c r="S103" s="208">
        <f t="shared" si="253"/>
        <v>7249.7050055210802</v>
      </c>
      <c r="T103" s="207">
        <f t="shared" si="219"/>
        <v>2899.4159442201048</v>
      </c>
      <c r="U103" s="207">
        <f t="shared" si="219"/>
        <v>6484.1859442089399</v>
      </c>
      <c r="V103" s="207">
        <f t="shared" si="219"/>
        <v>765.51906131213843</v>
      </c>
      <c r="W103" s="209">
        <f t="shared" si="219"/>
        <v>3664.9350055322434</v>
      </c>
      <c r="X103" s="197"/>
      <c r="Z103" s="206">
        <f t="shared" si="254"/>
        <v>16</v>
      </c>
      <c r="AA103" s="215">
        <f>'Energy NPV'!$D28</f>
        <v>26</v>
      </c>
      <c r="AB103" s="207">
        <f>'Energy margins'!$E$12</f>
        <v>43.75</v>
      </c>
      <c r="AC103" s="207">
        <f t="shared" si="255"/>
        <v>1137.5</v>
      </c>
      <c r="AD103" s="207"/>
      <c r="AE103" s="207">
        <f t="shared" si="220"/>
        <v>1137.5</v>
      </c>
      <c r="AF103" s="207"/>
      <c r="AG103" s="919">
        <f>'Energy NPV'!U28</f>
        <v>637.73333400000001</v>
      </c>
      <c r="AH103" s="207">
        <f>'Energy margins'!$J$67</f>
        <v>500</v>
      </c>
      <c r="AI103" s="207">
        <f>(AF103+AG103+AH103)+0.5*(AF103+AG103+AH103)</f>
        <v>1706.600001</v>
      </c>
      <c r="AJ103" s="207">
        <f t="shared" si="204"/>
        <v>-569.10000100000002</v>
      </c>
      <c r="AK103" s="207">
        <f t="shared" si="205"/>
        <v>-569.10000100000002</v>
      </c>
      <c r="AL103" s="208">
        <f t="shared" si="221"/>
        <v>730.11796516376637</v>
      </c>
      <c r="AM103" s="207">
        <f t="shared" si="222"/>
        <v>0</v>
      </c>
      <c r="AN103" s="207">
        <f t="shared" si="223"/>
        <v>1095.4016000691004</v>
      </c>
      <c r="AO103" s="207">
        <f t="shared" si="224"/>
        <v>-365.283634905334</v>
      </c>
      <c r="AP103" s="209">
        <f t="shared" si="225"/>
        <v>-365.283634905334</v>
      </c>
      <c r="AQ103" s="208">
        <f>AQ102+AL103</f>
        <v>7249.7050055210802</v>
      </c>
      <c r="AR103" s="207">
        <f t="shared" si="226"/>
        <v>2899.4159442201048</v>
      </c>
      <c r="AS103" s="207">
        <f t="shared" si="226"/>
        <v>9726.2789163134112</v>
      </c>
      <c r="AT103" s="207">
        <f t="shared" si="226"/>
        <v>-2476.5739107923318</v>
      </c>
      <c r="AU103" s="209">
        <f t="shared" si="226"/>
        <v>422.842033427773</v>
      </c>
      <c r="AX103" s="206">
        <f t="shared" si="258"/>
        <v>16</v>
      </c>
      <c r="AY103" s="215">
        <f>'Energy NPV'!$D28</f>
        <v>26</v>
      </c>
      <c r="AZ103" s="207">
        <f>'Energy margins'!$E$12</f>
        <v>43.75</v>
      </c>
      <c r="BA103" s="207">
        <f t="shared" si="259"/>
        <v>1137.5</v>
      </c>
      <c r="BB103" s="207"/>
      <c r="BC103" s="207">
        <f t="shared" si="227"/>
        <v>1137.5</v>
      </c>
      <c r="BD103" s="207"/>
      <c r="BE103" s="919">
        <f>'Energy NPV'!U28</f>
        <v>637.73333400000001</v>
      </c>
      <c r="BF103" s="207">
        <f>'Energy margins'!$J$67</f>
        <v>500</v>
      </c>
      <c r="BG103" s="207">
        <f t="shared" si="228"/>
        <v>568.86666700000001</v>
      </c>
      <c r="BH103" s="207">
        <f t="shared" si="206"/>
        <v>568.63333299999999</v>
      </c>
      <c r="BI103" s="207">
        <f t="shared" si="207"/>
        <v>568.63333299999999</v>
      </c>
      <c r="BJ103" s="208">
        <f t="shared" si="229"/>
        <v>730.11796516376637</v>
      </c>
      <c r="BK103" s="207">
        <f t="shared" si="230"/>
        <v>0</v>
      </c>
      <c r="BL103" s="207">
        <f t="shared" si="231"/>
        <v>365.13386668970014</v>
      </c>
      <c r="BM103" s="207">
        <f t="shared" si="232"/>
        <v>364.98409847406623</v>
      </c>
      <c r="BN103" s="209">
        <f t="shared" si="233"/>
        <v>364.98409847406623</v>
      </c>
      <c r="BO103" s="208">
        <f t="shared" si="260"/>
        <v>7249.7050055210802</v>
      </c>
      <c r="BP103" s="207">
        <f t="shared" si="234"/>
        <v>2899.4159442201048</v>
      </c>
      <c r="BQ103" s="207">
        <f t="shared" si="234"/>
        <v>3242.0929721044699</v>
      </c>
      <c r="BR103" s="207">
        <f t="shared" si="234"/>
        <v>4007.6120334166089</v>
      </c>
      <c r="BS103" s="209">
        <f t="shared" si="234"/>
        <v>6907.0279776367124</v>
      </c>
      <c r="BV103" s="206">
        <f t="shared" si="261"/>
        <v>16</v>
      </c>
      <c r="BW103" s="215">
        <f>'Energy NPV'!$D28</f>
        <v>26</v>
      </c>
      <c r="BX103" s="207">
        <f>'Energy margins'!$E$12</f>
        <v>43.75</v>
      </c>
      <c r="BY103" s="207">
        <f t="shared" si="262"/>
        <v>1137.5</v>
      </c>
      <c r="BZ103" s="207"/>
      <c r="CA103" s="207">
        <f t="shared" si="235"/>
        <v>1137.5</v>
      </c>
      <c r="CB103" s="207"/>
      <c r="CC103" s="919">
        <f>'Energy NPV'!U28</f>
        <v>637.73333400000001</v>
      </c>
      <c r="CD103" s="207">
        <f>'Energy margins'!$J$67</f>
        <v>500</v>
      </c>
      <c r="CE103" s="207">
        <f t="shared" si="236"/>
        <v>2275.466668</v>
      </c>
      <c r="CF103" s="207">
        <f t="shared" si="208"/>
        <v>-1137.966668</v>
      </c>
      <c r="CG103" s="207">
        <f t="shared" si="209"/>
        <v>-1137.966668</v>
      </c>
      <c r="CH103" s="208">
        <f t="shared" si="237"/>
        <v>730.11796516376637</v>
      </c>
      <c r="CI103" s="207">
        <f t="shared" si="238"/>
        <v>0</v>
      </c>
      <c r="CJ103" s="207">
        <f t="shared" si="239"/>
        <v>1460.5354667588006</v>
      </c>
      <c r="CK103" s="207">
        <f t="shared" si="240"/>
        <v>-730.41750159503408</v>
      </c>
      <c r="CL103" s="209">
        <f t="shared" si="241"/>
        <v>-730.41750159503408</v>
      </c>
      <c r="CM103" s="208">
        <f t="shared" si="263"/>
        <v>7249.7050055210802</v>
      </c>
      <c r="CN103" s="207">
        <f t="shared" si="242"/>
        <v>2899.4159442201048</v>
      </c>
      <c r="CO103" s="207">
        <f t="shared" si="242"/>
        <v>12968.37188841788</v>
      </c>
      <c r="CP103" s="207">
        <f t="shared" si="242"/>
        <v>-5718.6668828968013</v>
      </c>
      <c r="CQ103" s="209">
        <f t="shared" si="242"/>
        <v>-2819.2509386766969</v>
      </c>
      <c r="CT103" s="206">
        <f t="shared" si="264"/>
        <v>16</v>
      </c>
      <c r="CU103" s="215">
        <f>'Energy NPV'!$D28</f>
        <v>26</v>
      </c>
      <c r="CV103" s="207">
        <f>'Energy margins'!$E$12</f>
        <v>43.75</v>
      </c>
      <c r="CW103" s="207">
        <f t="shared" si="265"/>
        <v>1137.5</v>
      </c>
      <c r="CX103" s="207"/>
      <c r="CY103" s="207">
        <f t="shared" si="243"/>
        <v>1137.5</v>
      </c>
      <c r="CZ103" s="207"/>
      <c r="DA103" s="919">
        <f>'Energy NPV'!U28</f>
        <v>637.73333400000001</v>
      </c>
      <c r="DB103" s="207">
        <f>'Energy margins'!$J$67</f>
        <v>500</v>
      </c>
      <c r="DC103" s="207">
        <f t="shared" si="244"/>
        <v>0</v>
      </c>
      <c r="DD103" s="207">
        <f t="shared" si="210"/>
        <v>1137.5</v>
      </c>
      <c r="DE103" s="207">
        <f t="shared" si="211"/>
        <v>1137.5</v>
      </c>
      <c r="DF103" s="208">
        <f t="shared" si="245"/>
        <v>730.11796516376637</v>
      </c>
      <c r="DG103" s="207">
        <f t="shared" si="246"/>
        <v>0</v>
      </c>
      <c r="DH103" s="207">
        <f t="shared" si="247"/>
        <v>0</v>
      </c>
      <c r="DI103" s="207">
        <f t="shared" si="248"/>
        <v>730.11796516376637</v>
      </c>
      <c r="DJ103" s="209">
        <f t="shared" si="249"/>
        <v>730.11796516376637</v>
      </c>
      <c r="DK103" s="208">
        <f t="shared" si="266"/>
        <v>7249.7050055210802</v>
      </c>
      <c r="DL103" s="207">
        <f t="shared" si="250"/>
        <v>2899.4159442201048</v>
      </c>
      <c r="DM103" s="207">
        <f t="shared" si="250"/>
        <v>0</v>
      </c>
      <c r="DN103" s="207">
        <f t="shared" si="250"/>
        <v>7249.7050055210802</v>
      </c>
      <c r="DO103" s="209">
        <f t="shared" si="250"/>
        <v>10149.120949741186</v>
      </c>
    </row>
    <row r="109" spans="2:119" x14ac:dyDescent="0.3">
      <c r="B109" s="211" t="s">
        <v>92</v>
      </c>
      <c r="C109" s="763" t="s">
        <v>404</v>
      </c>
      <c r="D109" s="269" t="s">
        <v>395</v>
      </c>
      <c r="E109" s="906">
        <v>1</v>
      </c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Z109" s="211" t="s">
        <v>92</v>
      </c>
      <c r="AA109" s="211" t="s">
        <v>322</v>
      </c>
      <c r="AB109" s="906">
        <v>1.5</v>
      </c>
      <c r="AC109" s="194"/>
      <c r="AD109" s="193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X109" s="211" t="s">
        <v>92</v>
      </c>
      <c r="AY109" s="211" t="s">
        <v>419</v>
      </c>
      <c r="AZ109" s="906">
        <v>0.5</v>
      </c>
      <c r="BA109" s="194"/>
      <c r="BB109" s="193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V109" s="211" t="s">
        <v>92</v>
      </c>
      <c r="BW109" s="211" t="s">
        <v>324</v>
      </c>
      <c r="BX109" s="906">
        <v>2</v>
      </c>
      <c r="BY109" s="194"/>
      <c r="BZ109" s="193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O109" s="102"/>
      <c r="CP109" s="102"/>
      <c r="CQ109" s="102"/>
      <c r="CR109" s="102"/>
      <c r="CT109" s="211" t="s">
        <v>92</v>
      </c>
      <c r="CU109" s="211" t="s">
        <v>325</v>
      </c>
      <c r="CV109" s="910">
        <v>0</v>
      </c>
      <c r="CW109" s="194"/>
      <c r="CX109" s="193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  <c r="DL109" s="102"/>
      <c r="DM109" s="102"/>
      <c r="DN109" s="102"/>
      <c r="DO109" s="102"/>
    </row>
    <row r="110" spans="2:119" x14ac:dyDescent="0.3">
      <c r="B110" s="203"/>
      <c r="C110" s="148"/>
      <c r="D110" s="148"/>
      <c r="E110" s="1108"/>
      <c r="F110" s="1108"/>
      <c r="G110" s="1108"/>
      <c r="H110" s="148"/>
      <c r="I110" s="931"/>
      <c r="J110" s="1108"/>
      <c r="K110" s="1108"/>
      <c r="L110" s="148"/>
      <c r="M110" s="148"/>
      <c r="N110" s="1109" t="s">
        <v>270</v>
      </c>
      <c r="O110" s="1110"/>
      <c r="P110" s="1110"/>
      <c r="Q110" s="1110"/>
      <c r="R110" s="1111"/>
      <c r="S110" s="1109" t="s">
        <v>271</v>
      </c>
      <c r="T110" s="1110"/>
      <c r="U110" s="1110"/>
      <c r="V110" s="1110"/>
      <c r="W110" s="1111"/>
      <c r="X110" s="1001"/>
      <c r="Z110" s="203"/>
      <c r="AA110" s="148"/>
      <c r="AB110" s="148"/>
      <c r="AC110" s="1108"/>
      <c r="AD110" s="1108"/>
      <c r="AE110" s="1108"/>
      <c r="AF110" s="148"/>
      <c r="AG110" s="931"/>
      <c r="AH110" s="1108"/>
      <c r="AI110" s="1108"/>
      <c r="AJ110" s="148"/>
      <c r="AK110" s="148"/>
      <c r="AL110" s="1109" t="s">
        <v>270</v>
      </c>
      <c r="AM110" s="1110"/>
      <c r="AN110" s="1110"/>
      <c r="AO110" s="1110"/>
      <c r="AP110" s="1111"/>
      <c r="AQ110" s="1109" t="s">
        <v>271</v>
      </c>
      <c r="AR110" s="1110"/>
      <c r="AS110" s="1110"/>
      <c r="AT110" s="1110"/>
      <c r="AU110" s="1111"/>
      <c r="AV110" s="1001"/>
      <c r="AX110" s="203"/>
      <c r="AY110" s="148"/>
      <c r="AZ110" s="148"/>
      <c r="BA110" s="1108"/>
      <c r="BB110" s="1108"/>
      <c r="BC110" s="1108"/>
      <c r="BD110" s="148"/>
      <c r="BE110" s="931"/>
      <c r="BF110" s="1108"/>
      <c r="BG110" s="1108"/>
      <c r="BH110" s="148"/>
      <c r="BI110" s="148"/>
      <c r="BJ110" s="1109" t="s">
        <v>270</v>
      </c>
      <c r="BK110" s="1110"/>
      <c r="BL110" s="1110"/>
      <c r="BM110" s="1110"/>
      <c r="BN110" s="1111"/>
      <c r="BO110" s="1109" t="s">
        <v>271</v>
      </c>
      <c r="BP110" s="1110"/>
      <c r="BQ110" s="1110"/>
      <c r="BR110" s="1110"/>
      <c r="BS110" s="1111"/>
      <c r="BT110" s="1001"/>
      <c r="BV110" s="203"/>
      <c r="BW110" s="148"/>
      <c r="BX110" s="148"/>
      <c r="BY110" s="1108"/>
      <c r="BZ110" s="1108"/>
      <c r="CA110" s="1108"/>
      <c r="CB110" s="148"/>
      <c r="CC110" s="931"/>
      <c r="CD110" s="1108"/>
      <c r="CE110" s="1108"/>
      <c r="CF110" s="148"/>
      <c r="CG110" s="148"/>
      <c r="CH110" s="1109" t="s">
        <v>270</v>
      </c>
      <c r="CI110" s="1110"/>
      <c r="CJ110" s="1110"/>
      <c r="CK110" s="1110"/>
      <c r="CL110" s="1111"/>
      <c r="CM110" s="1109" t="s">
        <v>271</v>
      </c>
      <c r="CN110" s="1110"/>
      <c r="CO110" s="1110"/>
      <c r="CP110" s="1110"/>
      <c r="CQ110" s="1111"/>
      <c r="CR110" s="1001"/>
      <c r="CT110" s="203"/>
      <c r="CU110" s="148"/>
      <c r="CV110" s="148"/>
      <c r="CW110" s="1108"/>
      <c r="CX110" s="1108"/>
      <c r="CY110" s="1108"/>
      <c r="CZ110" s="148"/>
      <c r="DA110" s="931"/>
      <c r="DB110" s="1108"/>
      <c r="DC110" s="1108"/>
      <c r="DD110" s="148"/>
      <c r="DE110" s="148"/>
      <c r="DF110" s="1109" t="s">
        <v>270</v>
      </c>
      <c r="DG110" s="1110"/>
      <c r="DH110" s="1110"/>
      <c r="DI110" s="1110"/>
      <c r="DJ110" s="1111"/>
      <c r="DK110" s="1109" t="s">
        <v>271</v>
      </c>
      <c r="DL110" s="1110"/>
      <c r="DM110" s="1110"/>
      <c r="DN110" s="1110"/>
      <c r="DO110" s="1111"/>
    </row>
    <row r="111" spans="2:119" ht="51" x14ac:dyDescent="0.3">
      <c r="B111" s="204" t="s">
        <v>272</v>
      </c>
      <c r="C111" s="205" t="s">
        <v>289</v>
      </c>
      <c r="D111" s="205" t="s">
        <v>290</v>
      </c>
      <c r="E111" s="171" t="s">
        <v>676</v>
      </c>
      <c r="F111" s="171" t="s">
        <v>672</v>
      </c>
      <c r="G111" s="171" t="s">
        <v>677</v>
      </c>
      <c r="H111" s="205" t="s">
        <v>287</v>
      </c>
      <c r="I111" s="935" t="str">
        <f>'Energy NPV'!U37</f>
        <v>Total Recurring Costs</v>
      </c>
      <c r="J111" s="205" t="s">
        <v>291</v>
      </c>
      <c r="K111" s="171" t="s">
        <v>276</v>
      </c>
      <c r="L111" s="171" t="s">
        <v>678</v>
      </c>
      <c r="M111" s="171" t="s">
        <v>679</v>
      </c>
      <c r="N111" s="195" t="s">
        <v>277</v>
      </c>
      <c r="O111" s="171" t="s">
        <v>680</v>
      </c>
      <c r="P111" s="171" t="s">
        <v>278</v>
      </c>
      <c r="Q111" s="171" t="s">
        <v>681</v>
      </c>
      <c r="R111" s="198" t="s">
        <v>279</v>
      </c>
      <c r="S111" s="195" t="s">
        <v>280</v>
      </c>
      <c r="T111" s="171" t="s">
        <v>682</v>
      </c>
      <c r="U111" s="171" t="s">
        <v>281</v>
      </c>
      <c r="V111" s="171" t="s">
        <v>683</v>
      </c>
      <c r="W111" s="198" t="s">
        <v>282</v>
      </c>
      <c r="X111" s="171"/>
      <c r="Z111" s="204" t="s">
        <v>272</v>
      </c>
      <c r="AA111" s="205" t="s">
        <v>289</v>
      </c>
      <c r="AB111" s="205" t="s">
        <v>290</v>
      </c>
      <c r="AC111" s="171" t="s">
        <v>676</v>
      </c>
      <c r="AD111" s="171" t="s">
        <v>672</v>
      </c>
      <c r="AE111" s="171" t="s">
        <v>677</v>
      </c>
      <c r="AF111" s="205" t="s">
        <v>287</v>
      </c>
      <c r="AG111" s="935" t="str">
        <f>'Energy NPV'!U37</f>
        <v>Total Recurring Costs</v>
      </c>
      <c r="AH111" s="205" t="s">
        <v>291</v>
      </c>
      <c r="AI111" s="171" t="s">
        <v>276</v>
      </c>
      <c r="AJ111" s="171" t="s">
        <v>678</v>
      </c>
      <c r="AK111" s="171" t="s">
        <v>679</v>
      </c>
      <c r="AL111" s="195" t="s">
        <v>277</v>
      </c>
      <c r="AM111" s="171" t="s">
        <v>680</v>
      </c>
      <c r="AN111" s="171" t="s">
        <v>278</v>
      </c>
      <c r="AO111" s="171" t="s">
        <v>681</v>
      </c>
      <c r="AP111" s="198" t="s">
        <v>279</v>
      </c>
      <c r="AQ111" s="195" t="s">
        <v>280</v>
      </c>
      <c r="AR111" s="171" t="s">
        <v>682</v>
      </c>
      <c r="AS111" s="171" t="s">
        <v>281</v>
      </c>
      <c r="AT111" s="171" t="s">
        <v>683</v>
      </c>
      <c r="AU111" s="198" t="s">
        <v>282</v>
      </c>
      <c r="AV111" s="171"/>
      <c r="AX111" s="204" t="s">
        <v>272</v>
      </c>
      <c r="AY111" s="205" t="s">
        <v>289</v>
      </c>
      <c r="AZ111" s="205" t="s">
        <v>290</v>
      </c>
      <c r="BA111" s="171" t="s">
        <v>676</v>
      </c>
      <c r="BB111" s="171" t="s">
        <v>672</v>
      </c>
      <c r="BC111" s="171" t="s">
        <v>677</v>
      </c>
      <c r="BD111" s="205" t="s">
        <v>287</v>
      </c>
      <c r="BE111" s="935" t="str">
        <f>'Energy NPV'!U37</f>
        <v>Total Recurring Costs</v>
      </c>
      <c r="BF111" s="205" t="s">
        <v>291</v>
      </c>
      <c r="BG111" s="171" t="s">
        <v>276</v>
      </c>
      <c r="BH111" s="171" t="s">
        <v>678</v>
      </c>
      <c r="BI111" s="171" t="s">
        <v>679</v>
      </c>
      <c r="BJ111" s="195" t="s">
        <v>277</v>
      </c>
      <c r="BK111" s="171" t="s">
        <v>680</v>
      </c>
      <c r="BL111" s="171" t="s">
        <v>278</v>
      </c>
      <c r="BM111" s="171" t="s">
        <v>681</v>
      </c>
      <c r="BN111" s="198" t="s">
        <v>279</v>
      </c>
      <c r="BO111" s="195" t="s">
        <v>280</v>
      </c>
      <c r="BP111" s="171" t="s">
        <v>682</v>
      </c>
      <c r="BQ111" s="171" t="s">
        <v>281</v>
      </c>
      <c r="BR111" s="171" t="s">
        <v>683</v>
      </c>
      <c r="BS111" s="198" t="s">
        <v>282</v>
      </c>
      <c r="BT111" s="171"/>
      <c r="BV111" s="204" t="s">
        <v>272</v>
      </c>
      <c r="BW111" s="205" t="s">
        <v>289</v>
      </c>
      <c r="BX111" s="205" t="s">
        <v>290</v>
      </c>
      <c r="BY111" s="171" t="s">
        <v>676</v>
      </c>
      <c r="BZ111" s="171" t="s">
        <v>672</v>
      </c>
      <c r="CA111" s="171" t="s">
        <v>677</v>
      </c>
      <c r="CB111" s="205" t="s">
        <v>287</v>
      </c>
      <c r="CC111" s="935" t="str">
        <f>'Energy NPV'!U37</f>
        <v>Total Recurring Costs</v>
      </c>
      <c r="CD111" s="205" t="s">
        <v>291</v>
      </c>
      <c r="CE111" s="171" t="s">
        <v>276</v>
      </c>
      <c r="CF111" s="171" t="s">
        <v>678</v>
      </c>
      <c r="CG111" s="171" t="s">
        <v>679</v>
      </c>
      <c r="CH111" s="195" t="s">
        <v>277</v>
      </c>
      <c r="CI111" s="171" t="s">
        <v>680</v>
      </c>
      <c r="CJ111" s="171" t="s">
        <v>278</v>
      </c>
      <c r="CK111" s="171" t="s">
        <v>681</v>
      </c>
      <c r="CL111" s="198" t="s">
        <v>279</v>
      </c>
      <c r="CM111" s="195" t="s">
        <v>280</v>
      </c>
      <c r="CN111" s="171" t="s">
        <v>682</v>
      </c>
      <c r="CO111" s="171" t="s">
        <v>281</v>
      </c>
      <c r="CP111" s="171" t="s">
        <v>683</v>
      </c>
      <c r="CQ111" s="198" t="s">
        <v>282</v>
      </c>
      <c r="CR111" s="171"/>
      <c r="CT111" s="204" t="s">
        <v>272</v>
      </c>
      <c r="CU111" s="205" t="s">
        <v>289</v>
      </c>
      <c r="CV111" s="205" t="s">
        <v>290</v>
      </c>
      <c r="CW111" s="171" t="s">
        <v>676</v>
      </c>
      <c r="CX111" s="171" t="s">
        <v>672</v>
      </c>
      <c r="CY111" s="171" t="s">
        <v>677</v>
      </c>
      <c r="CZ111" s="205" t="s">
        <v>287</v>
      </c>
      <c r="DA111" s="935" t="str">
        <f>'Energy NPV'!U37</f>
        <v>Total Recurring Costs</v>
      </c>
      <c r="DB111" s="205" t="s">
        <v>291</v>
      </c>
      <c r="DC111" s="171" t="s">
        <v>276</v>
      </c>
      <c r="DD111" s="171" t="s">
        <v>678</v>
      </c>
      <c r="DE111" s="171" t="s">
        <v>679</v>
      </c>
      <c r="DF111" s="195" t="s">
        <v>277</v>
      </c>
      <c r="DG111" s="171" t="s">
        <v>680</v>
      </c>
      <c r="DH111" s="171" t="s">
        <v>278</v>
      </c>
      <c r="DI111" s="171" t="s">
        <v>681</v>
      </c>
      <c r="DJ111" s="198" t="s">
        <v>279</v>
      </c>
      <c r="DK111" s="195" t="s">
        <v>280</v>
      </c>
      <c r="DL111" s="171" t="s">
        <v>682</v>
      </c>
      <c r="DM111" s="171" t="s">
        <v>281</v>
      </c>
      <c r="DN111" s="171" t="s">
        <v>683</v>
      </c>
      <c r="DO111" s="198" t="s">
        <v>282</v>
      </c>
    </row>
    <row r="112" spans="2:119" x14ac:dyDescent="0.3">
      <c r="B112" s="173"/>
      <c r="C112" s="226" t="s">
        <v>332</v>
      </c>
      <c r="D112" s="226" t="s">
        <v>569</v>
      </c>
      <c r="E112" s="201" t="s">
        <v>567</v>
      </c>
      <c r="F112" s="201" t="s">
        <v>567</v>
      </c>
      <c r="G112" s="201" t="s">
        <v>567</v>
      </c>
      <c r="H112" s="201" t="s">
        <v>567</v>
      </c>
      <c r="I112" s="969" t="str">
        <f>'Energy NPV'!U38</f>
        <v>(€ ha-1)</v>
      </c>
      <c r="J112" s="201" t="s">
        <v>567</v>
      </c>
      <c r="K112" s="201" t="s">
        <v>567</v>
      </c>
      <c r="L112" s="201" t="s">
        <v>567</v>
      </c>
      <c r="M112" s="202" t="s">
        <v>567</v>
      </c>
      <c r="N112" s="201" t="s">
        <v>567</v>
      </c>
      <c r="O112" s="201" t="s">
        <v>567</v>
      </c>
      <c r="P112" s="201" t="s">
        <v>567</v>
      </c>
      <c r="Q112" s="201" t="s">
        <v>567</v>
      </c>
      <c r="R112" s="202" t="s">
        <v>567</v>
      </c>
      <c r="S112" s="201" t="s">
        <v>567</v>
      </c>
      <c r="T112" s="201" t="s">
        <v>567</v>
      </c>
      <c r="U112" s="201" t="s">
        <v>567</v>
      </c>
      <c r="V112" s="201" t="s">
        <v>567</v>
      </c>
      <c r="W112" s="202" t="s">
        <v>567</v>
      </c>
      <c r="X112" s="1002"/>
      <c r="Z112" s="173"/>
      <c r="AA112" s="226" t="s">
        <v>332</v>
      </c>
      <c r="AB112" s="226" t="s">
        <v>569</v>
      </c>
      <c r="AC112" s="201" t="s">
        <v>567</v>
      </c>
      <c r="AD112" s="201" t="s">
        <v>567</v>
      </c>
      <c r="AE112" s="201" t="s">
        <v>567</v>
      </c>
      <c r="AF112" s="201" t="s">
        <v>567</v>
      </c>
      <c r="AG112" s="969" t="str">
        <f>'Energy NPV'!U38</f>
        <v>(€ ha-1)</v>
      </c>
      <c r="AH112" s="201" t="s">
        <v>567</v>
      </c>
      <c r="AI112" s="201" t="s">
        <v>567</v>
      </c>
      <c r="AJ112" s="201" t="s">
        <v>567</v>
      </c>
      <c r="AK112" s="202" t="s">
        <v>567</v>
      </c>
      <c r="AL112" s="201" t="s">
        <v>567</v>
      </c>
      <c r="AM112" s="201" t="s">
        <v>567</v>
      </c>
      <c r="AN112" s="201" t="s">
        <v>567</v>
      </c>
      <c r="AO112" s="201" t="s">
        <v>567</v>
      </c>
      <c r="AP112" s="202" t="s">
        <v>567</v>
      </c>
      <c r="AQ112" s="201" t="s">
        <v>567</v>
      </c>
      <c r="AR112" s="201" t="s">
        <v>567</v>
      </c>
      <c r="AS112" s="201" t="s">
        <v>567</v>
      </c>
      <c r="AT112" s="201" t="s">
        <v>567</v>
      </c>
      <c r="AU112" s="202" t="s">
        <v>567</v>
      </c>
      <c r="AV112" s="1002"/>
      <c r="AX112" s="173"/>
      <c r="AY112" s="226" t="s">
        <v>332</v>
      </c>
      <c r="AZ112" s="226" t="s">
        <v>569</v>
      </c>
      <c r="BA112" s="201" t="s">
        <v>567</v>
      </c>
      <c r="BB112" s="201" t="s">
        <v>567</v>
      </c>
      <c r="BC112" s="201" t="s">
        <v>567</v>
      </c>
      <c r="BD112" s="201" t="s">
        <v>567</v>
      </c>
      <c r="BE112" s="969" t="str">
        <f>'Energy NPV'!U38</f>
        <v>(€ ha-1)</v>
      </c>
      <c r="BF112" s="201" t="s">
        <v>567</v>
      </c>
      <c r="BG112" s="201" t="s">
        <v>567</v>
      </c>
      <c r="BH112" s="201" t="s">
        <v>567</v>
      </c>
      <c r="BI112" s="202" t="s">
        <v>567</v>
      </c>
      <c r="BJ112" s="201" t="s">
        <v>567</v>
      </c>
      <c r="BK112" s="201" t="s">
        <v>567</v>
      </c>
      <c r="BL112" s="201" t="s">
        <v>567</v>
      </c>
      <c r="BM112" s="201" t="s">
        <v>567</v>
      </c>
      <c r="BN112" s="202" t="s">
        <v>567</v>
      </c>
      <c r="BO112" s="201" t="s">
        <v>567</v>
      </c>
      <c r="BP112" s="201" t="s">
        <v>567</v>
      </c>
      <c r="BQ112" s="201" t="s">
        <v>567</v>
      </c>
      <c r="BR112" s="201" t="s">
        <v>567</v>
      </c>
      <c r="BS112" s="202" t="s">
        <v>567</v>
      </c>
      <c r="BT112" s="1002"/>
      <c r="BV112" s="173"/>
      <c r="BW112" s="226" t="s">
        <v>332</v>
      </c>
      <c r="BX112" s="226" t="s">
        <v>569</v>
      </c>
      <c r="BY112" s="201" t="s">
        <v>567</v>
      </c>
      <c r="BZ112" s="201" t="s">
        <v>567</v>
      </c>
      <c r="CA112" s="201" t="s">
        <v>567</v>
      </c>
      <c r="CB112" s="201" t="s">
        <v>567</v>
      </c>
      <c r="CC112" s="969" t="str">
        <f>'Energy NPV'!U38</f>
        <v>(€ ha-1)</v>
      </c>
      <c r="CD112" s="201" t="s">
        <v>567</v>
      </c>
      <c r="CE112" s="201" t="s">
        <v>567</v>
      </c>
      <c r="CF112" s="201" t="s">
        <v>567</v>
      </c>
      <c r="CG112" s="202" t="s">
        <v>567</v>
      </c>
      <c r="CH112" s="201" t="s">
        <v>567</v>
      </c>
      <c r="CI112" s="201" t="s">
        <v>567</v>
      </c>
      <c r="CJ112" s="201" t="s">
        <v>567</v>
      </c>
      <c r="CK112" s="201" t="s">
        <v>567</v>
      </c>
      <c r="CL112" s="202" t="s">
        <v>567</v>
      </c>
      <c r="CM112" s="201" t="s">
        <v>567</v>
      </c>
      <c r="CN112" s="201" t="s">
        <v>567</v>
      </c>
      <c r="CO112" s="201" t="s">
        <v>567</v>
      </c>
      <c r="CP112" s="201" t="s">
        <v>567</v>
      </c>
      <c r="CQ112" s="202" t="s">
        <v>567</v>
      </c>
      <c r="CR112" s="1002"/>
      <c r="CT112" s="173"/>
      <c r="CU112" s="226" t="s">
        <v>332</v>
      </c>
      <c r="CV112" s="226" t="s">
        <v>569</v>
      </c>
      <c r="CW112" s="201" t="s">
        <v>567</v>
      </c>
      <c r="CX112" s="201" t="s">
        <v>567</v>
      </c>
      <c r="CY112" s="201" t="s">
        <v>567</v>
      </c>
      <c r="CZ112" s="201" t="s">
        <v>567</v>
      </c>
      <c r="DA112" s="969" t="str">
        <f>'Energy NPV'!U38</f>
        <v>(€ ha-1)</v>
      </c>
      <c r="DB112" s="201" t="s">
        <v>567</v>
      </c>
      <c r="DC112" s="201" t="s">
        <v>567</v>
      </c>
      <c r="DD112" s="201" t="s">
        <v>567</v>
      </c>
      <c r="DE112" s="202" t="s">
        <v>567</v>
      </c>
      <c r="DF112" s="201" t="s">
        <v>567</v>
      </c>
      <c r="DG112" s="201" t="s">
        <v>567</v>
      </c>
      <c r="DH112" s="201" t="s">
        <v>567</v>
      </c>
      <c r="DI112" s="201" t="s">
        <v>567</v>
      </c>
      <c r="DJ112" s="202" t="s">
        <v>567</v>
      </c>
      <c r="DK112" s="201" t="s">
        <v>567</v>
      </c>
      <c r="DL112" s="201" t="s">
        <v>567</v>
      </c>
      <c r="DM112" s="201" t="s">
        <v>567</v>
      </c>
      <c r="DN112" s="201" t="s">
        <v>567</v>
      </c>
      <c r="DO112" s="202" t="s">
        <v>567</v>
      </c>
    </row>
    <row r="113" spans="2:119" x14ac:dyDescent="0.3">
      <c r="B113" s="204">
        <v>1</v>
      </c>
      <c r="C113" s="760">
        <f>'Energy NPV'!$D39</f>
        <v>0.6</v>
      </c>
      <c r="D113" s="197">
        <f>'Energy margins'!$L$12</f>
        <v>43.75</v>
      </c>
      <c r="E113" s="197">
        <f>C113*D113</f>
        <v>26.25</v>
      </c>
      <c r="F113" s="197">
        <f>'Margins summary'!$S$14</f>
        <v>330</v>
      </c>
      <c r="G113" s="197">
        <f>E113+F113</f>
        <v>356.25</v>
      </c>
      <c r="H113" s="197">
        <f>'Margins summary'!$R$20</f>
        <v>2254.8232439999997</v>
      </c>
      <c r="I113" s="918">
        <f>'Energy NPV'!U39</f>
        <v>0</v>
      </c>
      <c r="J113" s="197"/>
      <c r="K113" s="197">
        <f>(H113+I113+J113)*$E$109</f>
        <v>2254.8232439999997</v>
      </c>
      <c r="L113" s="197">
        <f t="shared" ref="L113:L128" si="267">E113-K113</f>
        <v>-2228.5732439999997</v>
      </c>
      <c r="M113" s="197">
        <f t="shared" ref="M113:M128" si="268">G113-K113</f>
        <v>-1898.5732439999997</v>
      </c>
      <c r="N113" s="1033">
        <f>E113/((1+$B$4)^(B113-1))</f>
        <v>26.25</v>
      </c>
      <c r="O113" s="213">
        <f>F113/((1+$B$4)^(B113-1))</f>
        <v>330</v>
      </c>
      <c r="P113" s="213">
        <f>K113/((1+$B$4)^(B113-1))</f>
        <v>2254.8232439999997</v>
      </c>
      <c r="Q113" s="213">
        <f>L113/((1+$B$4)^(B113-1))</f>
        <v>-2228.5732439999997</v>
      </c>
      <c r="R113" s="929">
        <f>M113/((1+$B$4)^(B113-1))</f>
        <v>-1898.5732439999997</v>
      </c>
      <c r="S113" s="196">
        <f>N113</f>
        <v>26.25</v>
      </c>
      <c r="T113" s="197">
        <f>O113</f>
        <v>330</v>
      </c>
      <c r="U113" s="197">
        <f>P113</f>
        <v>2254.8232439999997</v>
      </c>
      <c r="V113" s="197">
        <f>Q113</f>
        <v>-2228.5732439999997</v>
      </c>
      <c r="W113" s="199">
        <f>R113</f>
        <v>-1898.5732439999997</v>
      </c>
      <c r="X113" s="197"/>
      <c r="Z113" s="204">
        <v>1</v>
      </c>
      <c r="AA113" s="760">
        <f>'Energy NPV'!$D39</f>
        <v>0.6</v>
      </c>
      <c r="AB113" s="197">
        <f>'Energy margins'!$L$12</f>
        <v>43.75</v>
      </c>
      <c r="AC113" s="197">
        <f>AA113*AB113</f>
        <v>26.25</v>
      </c>
      <c r="AD113" s="197">
        <f>'Margins summary'!$S$14</f>
        <v>330</v>
      </c>
      <c r="AE113" s="197">
        <f>AC113+AD113</f>
        <v>356.25</v>
      </c>
      <c r="AF113" s="197">
        <f>'Margins summary'!$R$20</f>
        <v>2254.8232439999997</v>
      </c>
      <c r="AG113" s="918">
        <f>'Energy NPV'!U39</f>
        <v>0</v>
      </c>
      <c r="AH113" s="197"/>
      <c r="AI113" s="197">
        <f>(AF113+AG113+AH113)*$AB$109</f>
        <v>3382.2348659999998</v>
      </c>
      <c r="AJ113" s="197">
        <f t="shared" ref="AJ113:AJ128" si="269">AC113-AI113</f>
        <v>-3355.9848659999998</v>
      </c>
      <c r="AK113" s="197">
        <f t="shared" ref="AK113:AK128" si="270">AE113-AI113</f>
        <v>-3025.9848659999998</v>
      </c>
      <c r="AL113" s="1033">
        <f>AC113/((1+$B$4)^(Z113-1))</f>
        <v>26.25</v>
      </c>
      <c r="AM113" s="213">
        <f>AD113/((1+$B$4)^(Z113-1))</f>
        <v>330</v>
      </c>
      <c r="AN113" s="213">
        <f>AI113/((1+$B$4)^(Z113-1))</f>
        <v>3382.2348659999998</v>
      </c>
      <c r="AO113" s="213">
        <f>AJ113/((1+$B$4)^(Z113-1))</f>
        <v>-3355.9848659999998</v>
      </c>
      <c r="AP113" s="929">
        <f>AK113/((1+$B$4)^(Z113-1))</f>
        <v>-3025.9848659999998</v>
      </c>
      <c r="AQ113" s="196">
        <f>AL113</f>
        <v>26.25</v>
      </c>
      <c r="AR113" s="197">
        <f>AM113</f>
        <v>330</v>
      </c>
      <c r="AS113" s="197">
        <f>AN113</f>
        <v>3382.2348659999998</v>
      </c>
      <c r="AT113" s="197">
        <f>AO113</f>
        <v>-3355.9848659999998</v>
      </c>
      <c r="AU113" s="199">
        <f>AP113</f>
        <v>-3025.9848659999998</v>
      </c>
      <c r="AV113" s="197"/>
      <c r="AX113" s="204">
        <v>1</v>
      </c>
      <c r="AY113" s="760">
        <f>'Energy NPV'!$D39</f>
        <v>0.6</v>
      </c>
      <c r="AZ113" s="197">
        <f>'Energy margins'!$L$12</f>
        <v>43.75</v>
      </c>
      <c r="BA113" s="197">
        <f>AY113*AZ113</f>
        <v>26.25</v>
      </c>
      <c r="BB113" s="197">
        <f>'Margins summary'!$S$14</f>
        <v>330</v>
      </c>
      <c r="BC113" s="197">
        <f>BA113+BB113</f>
        <v>356.25</v>
      </c>
      <c r="BD113" s="197">
        <f>'Margins summary'!$R$20</f>
        <v>2254.8232439999997</v>
      </c>
      <c r="BE113" s="918">
        <f>'Energy NPV'!U39</f>
        <v>0</v>
      </c>
      <c r="BF113" s="197"/>
      <c r="BG113" s="197">
        <f>(BD113+BE113+BF113)*$AZ$109</f>
        <v>1127.4116219999999</v>
      </c>
      <c r="BH113" s="197">
        <f t="shared" ref="BH113:BH128" si="271">BA113-BG113</f>
        <v>-1101.1616219999999</v>
      </c>
      <c r="BI113" s="197">
        <f t="shared" ref="BI113:BI128" si="272">BC113-BG113</f>
        <v>-771.16162199999985</v>
      </c>
      <c r="BJ113" s="1033">
        <f>BA113/((1+$B$4)^(AX113-1))</f>
        <v>26.25</v>
      </c>
      <c r="BK113" s="213">
        <f>BB113/((1+$B$4)^(AX113-1))</f>
        <v>330</v>
      </c>
      <c r="BL113" s="213">
        <f>BG113/((1+$B$4)^(AX113-1))</f>
        <v>1127.4116219999999</v>
      </c>
      <c r="BM113" s="213">
        <f>BH113/((1+$B$4)^(AX113-1))</f>
        <v>-1101.1616219999999</v>
      </c>
      <c r="BN113" s="929">
        <f>BI113/((1+$B$4)^(AX113-1))</f>
        <v>-771.16162199999985</v>
      </c>
      <c r="BO113" s="196">
        <f>BJ113</f>
        <v>26.25</v>
      </c>
      <c r="BP113" s="197">
        <f>BK113</f>
        <v>330</v>
      </c>
      <c r="BQ113" s="197">
        <f>BL113</f>
        <v>1127.4116219999999</v>
      </c>
      <c r="BR113" s="197">
        <f>BM113</f>
        <v>-1101.1616219999999</v>
      </c>
      <c r="BS113" s="199">
        <f>BN113</f>
        <v>-771.16162199999985</v>
      </c>
      <c r="BT113" s="197"/>
      <c r="BV113" s="204">
        <v>1</v>
      </c>
      <c r="BW113" s="760">
        <f>'Energy NPV'!$D39</f>
        <v>0.6</v>
      </c>
      <c r="BX113" s="197">
        <f>'Energy margins'!$L$12</f>
        <v>43.75</v>
      </c>
      <c r="BY113" s="197">
        <f>BW113*BX113</f>
        <v>26.25</v>
      </c>
      <c r="BZ113" s="197">
        <f>'Margins summary'!$S$14</f>
        <v>330</v>
      </c>
      <c r="CA113" s="197">
        <f>BY113+BZ113</f>
        <v>356.25</v>
      </c>
      <c r="CB113" s="197">
        <f>'Margins summary'!$R$20</f>
        <v>2254.8232439999997</v>
      </c>
      <c r="CC113" s="918">
        <f>'Energy NPV'!U39</f>
        <v>0</v>
      </c>
      <c r="CD113" s="197"/>
      <c r="CE113" s="197">
        <f>(CB113+CC113+CD113)*$BX$109</f>
        <v>4509.6464879999994</v>
      </c>
      <c r="CF113" s="197">
        <f t="shared" ref="CF113:CF128" si="273">BY113-CE113</f>
        <v>-4483.3964879999994</v>
      </c>
      <c r="CG113" s="197">
        <f t="shared" ref="CG113:CG128" si="274">CA113-CE113</f>
        <v>-4153.3964879999994</v>
      </c>
      <c r="CH113" s="1033">
        <f>BY113/((1+$B$4)^(BV113-1))</f>
        <v>26.25</v>
      </c>
      <c r="CI113" s="213">
        <f>BZ113/((1+$B$4)^(BV113-1))</f>
        <v>330</v>
      </c>
      <c r="CJ113" s="213">
        <f>CE113/((1+$B$4)^(BV113-1))</f>
        <v>4509.6464879999994</v>
      </c>
      <c r="CK113" s="213">
        <f>CF113/((1+$B$4)^(BV113-1))</f>
        <v>-4483.3964879999994</v>
      </c>
      <c r="CL113" s="929">
        <f>CG113/((1+$B$4)^(BV113-1))</f>
        <v>-4153.3964879999994</v>
      </c>
      <c r="CM113" s="196">
        <f>CH113</f>
        <v>26.25</v>
      </c>
      <c r="CN113" s="197">
        <f>CI113</f>
        <v>330</v>
      </c>
      <c r="CO113" s="197">
        <f>CJ113</f>
        <v>4509.6464879999994</v>
      </c>
      <c r="CP113" s="197">
        <f>CK113</f>
        <v>-4483.3964879999994</v>
      </c>
      <c r="CQ113" s="199">
        <f>CL113</f>
        <v>-4153.3964879999994</v>
      </c>
      <c r="CR113" s="197"/>
      <c r="CT113" s="204">
        <v>1</v>
      </c>
      <c r="CU113" s="760">
        <f>'Energy NPV'!$D39</f>
        <v>0.6</v>
      </c>
      <c r="CV113" s="197">
        <f>'Energy margins'!$L$12</f>
        <v>43.75</v>
      </c>
      <c r="CW113" s="197">
        <f>CU113*CV113</f>
        <v>26.25</v>
      </c>
      <c r="CX113" s="197">
        <f>'Margins summary'!$S$14</f>
        <v>330</v>
      </c>
      <c r="CY113" s="197">
        <f>CW113+CX113</f>
        <v>356.25</v>
      </c>
      <c r="CZ113" s="197">
        <f>'Margins summary'!$R$20</f>
        <v>2254.8232439999997</v>
      </c>
      <c r="DA113" s="918">
        <f>'Energy NPV'!U39</f>
        <v>0</v>
      </c>
      <c r="DB113" s="197"/>
      <c r="DC113" s="197">
        <f>(CZ113+DA113+DB113)*$CV$109</f>
        <v>0</v>
      </c>
      <c r="DD113" s="197">
        <f t="shared" ref="DD113:DD128" si="275">CW113-DC113</f>
        <v>26.25</v>
      </c>
      <c r="DE113" s="197">
        <f t="shared" ref="DE113:DE128" si="276">CY113-DC113</f>
        <v>356.25</v>
      </c>
      <c r="DF113" s="1033">
        <f>CW113/((1+$B$4)^(CT113-1))</f>
        <v>26.25</v>
      </c>
      <c r="DG113" s="213">
        <f>CX113/((1+$B$4)^(CT113-1))</f>
        <v>330</v>
      </c>
      <c r="DH113" s="213">
        <f>DC113/((1+$B$4)^(CT113-1))</f>
        <v>0</v>
      </c>
      <c r="DI113" s="213">
        <f>DD113/((1+$B$4)^(CT113-1))</f>
        <v>26.25</v>
      </c>
      <c r="DJ113" s="929">
        <f>DE113/((1+$B$4)^(CT113-1))</f>
        <v>356.25</v>
      </c>
      <c r="DK113" s="196">
        <f>DF113</f>
        <v>26.25</v>
      </c>
      <c r="DL113" s="197">
        <f>DG113</f>
        <v>330</v>
      </c>
      <c r="DM113" s="197">
        <f>DH113</f>
        <v>0</v>
      </c>
      <c r="DN113" s="197">
        <f>DI113</f>
        <v>26.25</v>
      </c>
      <c r="DO113" s="199">
        <f>DJ113</f>
        <v>356.25</v>
      </c>
    </row>
    <row r="114" spans="2:119" x14ac:dyDescent="0.3">
      <c r="B114" s="204">
        <v>2</v>
      </c>
      <c r="C114" s="760">
        <f>'Energy NPV'!$D40</f>
        <v>3.9250000000000007</v>
      </c>
      <c r="D114" s="197">
        <f>'Energy margins'!$L$12</f>
        <v>43.75</v>
      </c>
      <c r="E114" s="197">
        <f>C114*D114</f>
        <v>171.71875000000003</v>
      </c>
      <c r="F114" s="197">
        <f>'Margins summary'!$S$14</f>
        <v>330</v>
      </c>
      <c r="G114" s="197">
        <f t="shared" ref="G114:G128" si="277">E114+F114</f>
        <v>501.71875</v>
      </c>
      <c r="H114" s="197"/>
      <c r="I114" s="918">
        <f>'Energy NPV'!U40</f>
        <v>536.86224399999992</v>
      </c>
      <c r="J114" s="197"/>
      <c r="K114" s="197">
        <f t="shared" ref="K114:K128" si="278">(H114+I114+J114)*$E$109</f>
        <v>536.86224399999992</v>
      </c>
      <c r="L114" s="197">
        <f t="shared" si="267"/>
        <v>-365.14349399999992</v>
      </c>
      <c r="M114" s="197">
        <f t="shared" si="268"/>
        <v>-35.143493999999919</v>
      </c>
      <c r="N114" s="196">
        <f t="shared" ref="N114:N128" si="279">E114/((1+$B$4)^(B114-1))</f>
        <v>166.71723300970876</v>
      </c>
      <c r="O114" s="197">
        <f t="shared" ref="O114:O128" si="280">F114/((1+$B$4)^(B114-1))</f>
        <v>320.38834951456312</v>
      </c>
      <c r="P114" s="197">
        <f t="shared" ref="P114:P128" si="281">K114/((1+$B$4)^(B114-1))</f>
        <v>521.22547961165037</v>
      </c>
      <c r="Q114" s="197">
        <f t="shared" ref="Q114:Q128" si="282">L114/((1+$B$4)^(B114-1))</f>
        <v>-354.50824660194166</v>
      </c>
      <c r="R114" s="199">
        <f t="shared" ref="R114:R128" si="283">M114/((1+$B$4)^(B114-1))</f>
        <v>-34.119897087378561</v>
      </c>
      <c r="S114" s="196">
        <f>S113+N114</f>
        <v>192.96723300970876</v>
      </c>
      <c r="T114" s="197">
        <f t="shared" ref="T114:T128" si="284">T113+O114</f>
        <v>650.38834951456306</v>
      </c>
      <c r="U114" s="197">
        <f t="shared" ref="U114:U128" si="285">U113+P114</f>
        <v>2776.0487236116501</v>
      </c>
      <c r="V114" s="197">
        <f t="shared" ref="V114:V128" si="286">V113+Q114</f>
        <v>-2583.0814906019414</v>
      </c>
      <c r="W114" s="199">
        <f t="shared" ref="W114:W128" si="287">W113+R114</f>
        <v>-1932.6931410873783</v>
      </c>
      <c r="X114" s="197"/>
      <c r="Z114" s="204">
        <v>2</v>
      </c>
      <c r="AA114" s="760">
        <f>'Energy NPV'!$D40</f>
        <v>3.9250000000000007</v>
      </c>
      <c r="AB114" s="197">
        <f>'Energy margins'!$L$12</f>
        <v>43.75</v>
      </c>
      <c r="AC114" s="197">
        <f>AA114*AB114</f>
        <v>171.71875000000003</v>
      </c>
      <c r="AD114" s="197">
        <f>'Margins summary'!$S$14</f>
        <v>330</v>
      </c>
      <c r="AE114" s="197">
        <f t="shared" ref="AE114:AE128" si="288">AC114+AD114</f>
        <v>501.71875</v>
      </c>
      <c r="AF114" s="197"/>
      <c r="AG114" s="918">
        <f>'Energy NPV'!U40</f>
        <v>536.86224399999992</v>
      </c>
      <c r="AH114" s="197"/>
      <c r="AI114" s="197">
        <f t="shared" ref="AI114:AI128" si="289">(AF114+AG114+AH114)*$AB$109</f>
        <v>805.29336599999988</v>
      </c>
      <c r="AJ114" s="197">
        <f t="shared" si="269"/>
        <v>-633.57461599999988</v>
      </c>
      <c r="AK114" s="197">
        <f t="shared" si="270"/>
        <v>-303.57461599999988</v>
      </c>
      <c r="AL114" s="196">
        <f t="shared" ref="AL114:AL128" si="290">AC114/((1+$B$4)^(Z114-1))</f>
        <v>166.71723300970876</v>
      </c>
      <c r="AM114" s="197">
        <f t="shared" ref="AM114:AM128" si="291">AD114/((1+$B$4)^(Z114-1))</f>
        <v>320.38834951456312</v>
      </c>
      <c r="AN114" s="197">
        <f t="shared" ref="AN114:AN128" si="292">AI114/((1+$B$4)^(Z114-1))</f>
        <v>781.83821941747556</v>
      </c>
      <c r="AO114" s="197">
        <f t="shared" ref="AO114:AO128" si="293">AJ114/((1+$B$4)^(Z114-1))</f>
        <v>-615.12098640776685</v>
      </c>
      <c r="AP114" s="199">
        <f t="shared" ref="AP114:AP128" si="294">AK114/((1+$B$4)^(Z114-1))</f>
        <v>-294.73263689320373</v>
      </c>
      <c r="AQ114" s="196">
        <f>AQ113+AL114</f>
        <v>192.96723300970876</v>
      </c>
      <c r="AR114" s="197">
        <f t="shared" ref="AR114:AR128" si="295">AR113+AM114</f>
        <v>650.38834951456306</v>
      </c>
      <c r="AS114" s="197">
        <f t="shared" ref="AS114:AS128" si="296">AS113+AN114</f>
        <v>4164.0730854174753</v>
      </c>
      <c r="AT114" s="197">
        <f t="shared" ref="AT114:AT128" si="297">AT113+AO114</f>
        <v>-3971.1058524077666</v>
      </c>
      <c r="AU114" s="199">
        <f t="shared" ref="AU114:AU128" si="298">AU113+AP114</f>
        <v>-3320.7175028932033</v>
      </c>
      <c r="AV114" s="197"/>
      <c r="AX114" s="204">
        <v>2</v>
      </c>
      <c r="AY114" s="760">
        <f>'Energy NPV'!$D40</f>
        <v>3.9250000000000007</v>
      </c>
      <c r="AZ114" s="197">
        <f>'Energy margins'!$L$12</f>
        <v>43.75</v>
      </c>
      <c r="BA114" s="197">
        <f>AY114*AZ114</f>
        <v>171.71875000000003</v>
      </c>
      <c r="BB114" s="197">
        <f>'Margins summary'!$S$14</f>
        <v>330</v>
      </c>
      <c r="BC114" s="197">
        <f t="shared" ref="BC114:BC128" si="299">BA114+BB114</f>
        <v>501.71875</v>
      </c>
      <c r="BD114" s="197"/>
      <c r="BE114" s="918">
        <f>'Energy NPV'!U40</f>
        <v>536.86224399999992</v>
      </c>
      <c r="BF114" s="197"/>
      <c r="BG114" s="197">
        <f t="shared" ref="BG114:BG128" si="300">(BD114+BE114+BF114)*$AZ$109</f>
        <v>268.43112199999996</v>
      </c>
      <c r="BH114" s="197">
        <f t="shared" si="271"/>
        <v>-96.712371999999931</v>
      </c>
      <c r="BI114" s="197">
        <f t="shared" si="272"/>
        <v>233.28762800000004</v>
      </c>
      <c r="BJ114" s="196">
        <f t="shared" ref="BJ114:BJ128" si="301">BA114/((1+$B$4)^(AX114-1))</f>
        <v>166.71723300970876</v>
      </c>
      <c r="BK114" s="197">
        <f t="shared" ref="BK114:BK128" si="302">BB114/((1+$B$4)^(AX114-1))</f>
        <v>320.38834951456312</v>
      </c>
      <c r="BL114" s="197">
        <f t="shared" ref="BL114:BL128" si="303">BG114/((1+$B$4)^(AX114-1))</f>
        <v>260.61273980582519</v>
      </c>
      <c r="BM114" s="197">
        <f t="shared" ref="BM114:BM128" si="304">BH114/((1+$B$4)^(AX114-1))</f>
        <v>-93.895506796116436</v>
      </c>
      <c r="BN114" s="199">
        <f t="shared" ref="BN114:BN128" si="305">BI114/((1+$B$4)^(AX114-1))</f>
        <v>226.49284271844664</v>
      </c>
      <c r="BO114" s="196">
        <f>BO113+BJ114</f>
        <v>192.96723300970876</v>
      </c>
      <c r="BP114" s="197">
        <f t="shared" ref="BP114:BP128" si="306">BP113+BK114</f>
        <v>650.38834951456306</v>
      </c>
      <c r="BQ114" s="197">
        <f t="shared" ref="BQ114:BQ128" si="307">BQ113+BL114</f>
        <v>1388.024361805825</v>
      </c>
      <c r="BR114" s="197">
        <f t="shared" ref="BR114:BR128" si="308">BR113+BM114</f>
        <v>-1195.0571287961163</v>
      </c>
      <c r="BS114" s="199">
        <f t="shared" ref="BS114:BS128" si="309">BS113+BN114</f>
        <v>-544.66877928155327</v>
      </c>
      <c r="BT114" s="197"/>
      <c r="BV114" s="204">
        <v>2</v>
      </c>
      <c r="BW114" s="760">
        <f>'Energy NPV'!$D40</f>
        <v>3.9250000000000007</v>
      </c>
      <c r="BX114" s="197">
        <f>'Energy margins'!$L$12</f>
        <v>43.75</v>
      </c>
      <c r="BY114" s="197">
        <f>BW114*BX114</f>
        <v>171.71875000000003</v>
      </c>
      <c r="BZ114" s="197">
        <f>'Margins summary'!$S$14</f>
        <v>330</v>
      </c>
      <c r="CA114" s="197">
        <f t="shared" ref="CA114:CA128" si="310">BY114+BZ114</f>
        <v>501.71875</v>
      </c>
      <c r="CB114" s="197"/>
      <c r="CC114" s="918">
        <f>'Energy NPV'!U40</f>
        <v>536.86224399999992</v>
      </c>
      <c r="CD114" s="197"/>
      <c r="CE114" s="197">
        <f t="shared" ref="CE114:CE128" si="311">(CB114+CC114+CD114)*$BX$109</f>
        <v>1073.7244879999998</v>
      </c>
      <c r="CF114" s="197">
        <f t="shared" si="273"/>
        <v>-902.00573799999984</v>
      </c>
      <c r="CG114" s="197">
        <f t="shared" si="274"/>
        <v>-572.00573799999984</v>
      </c>
      <c r="CH114" s="196">
        <f t="shared" ref="CH114:CH128" si="312">BY114/((1+$B$4)^(BV114-1))</f>
        <v>166.71723300970876</v>
      </c>
      <c r="CI114" s="197">
        <f t="shared" ref="CI114:CI128" si="313">BZ114/((1+$B$4)^(BV114-1))</f>
        <v>320.38834951456312</v>
      </c>
      <c r="CJ114" s="197">
        <f t="shared" ref="CJ114:CJ128" si="314">CE114/((1+$B$4)^(BV114-1))</f>
        <v>1042.4509592233007</v>
      </c>
      <c r="CK114" s="197">
        <f t="shared" ref="CK114:CK128" si="315">CF114/((1+$B$4)^(BV114-1))</f>
        <v>-875.73372621359204</v>
      </c>
      <c r="CL114" s="199">
        <f t="shared" ref="CL114:CL128" si="316">CG114/((1+$B$4)^(BV114-1))</f>
        <v>-555.34537669902898</v>
      </c>
      <c r="CM114" s="196">
        <f>CM113+CH114</f>
        <v>192.96723300970876</v>
      </c>
      <c r="CN114" s="197">
        <f t="shared" ref="CN114:CN128" si="317">CN113+CI114</f>
        <v>650.38834951456306</v>
      </c>
      <c r="CO114" s="197">
        <f t="shared" ref="CO114:CO128" si="318">CO113+CJ114</f>
        <v>5552.0974472233002</v>
      </c>
      <c r="CP114" s="197">
        <f t="shared" ref="CP114:CP128" si="319">CP113+CK114</f>
        <v>-5359.1302142135919</v>
      </c>
      <c r="CQ114" s="199">
        <f t="shared" ref="CQ114:CQ128" si="320">CQ113+CL114</f>
        <v>-4708.7418646990282</v>
      </c>
      <c r="CR114" s="197"/>
      <c r="CT114" s="204">
        <v>2</v>
      </c>
      <c r="CU114" s="760">
        <f>'Energy NPV'!$D40</f>
        <v>3.9250000000000007</v>
      </c>
      <c r="CV114" s="197">
        <f>'Energy margins'!$L$12</f>
        <v>43.75</v>
      </c>
      <c r="CW114" s="197">
        <f>CU114*CV114</f>
        <v>171.71875000000003</v>
      </c>
      <c r="CX114" s="197">
        <f>'Margins summary'!$S$14</f>
        <v>330</v>
      </c>
      <c r="CY114" s="197">
        <f t="shared" ref="CY114:CY128" si="321">CW114+CX114</f>
        <v>501.71875</v>
      </c>
      <c r="CZ114" s="197"/>
      <c r="DA114" s="918">
        <f>'Energy NPV'!U40</f>
        <v>536.86224399999992</v>
      </c>
      <c r="DB114" s="197"/>
      <c r="DC114" s="197">
        <f t="shared" ref="DC114:DC128" si="322">(CZ114+DA114+DB114)*$CV$109</f>
        <v>0</v>
      </c>
      <c r="DD114" s="197">
        <f t="shared" si="275"/>
        <v>171.71875000000003</v>
      </c>
      <c r="DE114" s="197">
        <f t="shared" si="276"/>
        <v>501.71875</v>
      </c>
      <c r="DF114" s="196">
        <f t="shared" ref="DF114:DF128" si="323">CW114/((1+$B$4)^(CT114-1))</f>
        <v>166.71723300970876</v>
      </c>
      <c r="DG114" s="197">
        <f t="shared" ref="DG114:DG128" si="324">CX114/((1+$B$4)^(CT114-1))</f>
        <v>320.38834951456312</v>
      </c>
      <c r="DH114" s="197">
        <f t="shared" ref="DH114:DH128" si="325">DC114/((1+$B$4)^(CT114-1))</f>
        <v>0</v>
      </c>
      <c r="DI114" s="197">
        <f t="shared" ref="DI114:DI128" si="326">DD114/((1+$B$4)^(CT114-1))</f>
        <v>166.71723300970876</v>
      </c>
      <c r="DJ114" s="199">
        <f t="shared" ref="DJ114:DJ127" si="327">DE114/((1+$B$4)^(CT114-1))</f>
        <v>487.10558252427182</v>
      </c>
      <c r="DK114" s="196">
        <f>DK113+DF114</f>
        <v>192.96723300970876</v>
      </c>
      <c r="DL114" s="197">
        <f t="shared" ref="DL114:DL128" si="328">DL113+DG114</f>
        <v>650.38834951456306</v>
      </c>
      <c r="DM114" s="197">
        <f t="shared" ref="DM114:DM128" si="329">DM113+DH114</f>
        <v>0</v>
      </c>
      <c r="DN114" s="197">
        <f t="shared" ref="DN114:DN128" si="330">DN113+DI114</f>
        <v>192.96723300970876</v>
      </c>
      <c r="DO114" s="199">
        <f t="shared" ref="DO114:DO128" si="331">DO113+DJ114</f>
        <v>843.35558252427177</v>
      </c>
    </row>
    <row r="115" spans="2:119" x14ac:dyDescent="0.3">
      <c r="B115" s="204">
        <f t="shared" ref="B115:B128" si="332">B114+1</f>
        <v>3</v>
      </c>
      <c r="C115" s="760">
        <f>'Energy NPV'!$D41</f>
        <v>11.099999999999998</v>
      </c>
      <c r="D115" s="197">
        <f>'Energy margins'!$L$12</f>
        <v>43.75</v>
      </c>
      <c r="E115" s="197">
        <f t="shared" ref="E115:E128" si="333">C115*D115</f>
        <v>485.62499999999989</v>
      </c>
      <c r="F115" s="197">
        <f>'Margins summary'!$S$14</f>
        <v>330</v>
      </c>
      <c r="G115" s="197">
        <f t="shared" si="277"/>
        <v>815.62499999999989</v>
      </c>
      <c r="H115" s="197"/>
      <c r="I115" s="918">
        <f>'Energy NPV'!U41</f>
        <v>536.86224399999992</v>
      </c>
      <c r="J115" s="197"/>
      <c r="K115" s="197">
        <f t="shared" si="278"/>
        <v>536.86224399999992</v>
      </c>
      <c r="L115" s="197">
        <f t="shared" si="267"/>
        <v>-51.237244000000032</v>
      </c>
      <c r="M115" s="197">
        <f t="shared" si="268"/>
        <v>278.76275599999997</v>
      </c>
      <c r="N115" s="196">
        <f t="shared" si="279"/>
        <v>457.74813837307937</v>
      </c>
      <c r="O115" s="197">
        <f t="shared" si="280"/>
        <v>311.05665001413894</v>
      </c>
      <c r="P115" s="197">
        <f t="shared" si="281"/>
        <v>506.04415496276738</v>
      </c>
      <c r="Q115" s="197">
        <f t="shared" si="282"/>
        <v>-48.296016589688037</v>
      </c>
      <c r="R115" s="199">
        <f t="shared" si="283"/>
        <v>262.76063342445093</v>
      </c>
      <c r="S115" s="196">
        <f t="shared" ref="S115:S128" si="334">S114+N115</f>
        <v>650.71537138278813</v>
      </c>
      <c r="T115" s="197">
        <f t="shared" si="284"/>
        <v>961.44499952870206</v>
      </c>
      <c r="U115" s="197">
        <f t="shared" si="285"/>
        <v>3282.0928785744172</v>
      </c>
      <c r="V115" s="197">
        <f t="shared" si="286"/>
        <v>-2631.3775071916293</v>
      </c>
      <c r="W115" s="199">
        <f t="shared" si="287"/>
        <v>-1669.9325076629275</v>
      </c>
      <c r="X115" s="197"/>
      <c r="Z115" s="204">
        <f t="shared" ref="Z115:Z128" si="335">Z114+1</f>
        <v>3</v>
      </c>
      <c r="AA115" s="760">
        <f>'Energy NPV'!$D41</f>
        <v>11.099999999999998</v>
      </c>
      <c r="AB115" s="197">
        <f>'Energy margins'!$L$12</f>
        <v>43.75</v>
      </c>
      <c r="AC115" s="197">
        <f t="shared" ref="AC115:AC128" si="336">AA115*AB115</f>
        <v>485.62499999999989</v>
      </c>
      <c r="AD115" s="197">
        <f>'Margins summary'!$S$14</f>
        <v>330</v>
      </c>
      <c r="AE115" s="197">
        <f t="shared" si="288"/>
        <v>815.62499999999989</v>
      </c>
      <c r="AF115" s="197"/>
      <c r="AG115" s="918">
        <f>'Energy NPV'!U41</f>
        <v>536.86224399999992</v>
      </c>
      <c r="AH115" s="197"/>
      <c r="AI115" s="197">
        <f t="shared" si="289"/>
        <v>805.29336599999988</v>
      </c>
      <c r="AJ115" s="197">
        <f t="shared" si="269"/>
        <v>-319.66836599999999</v>
      </c>
      <c r="AK115" s="197">
        <f t="shared" si="270"/>
        <v>10.331634000000008</v>
      </c>
      <c r="AL115" s="196">
        <f t="shared" si="290"/>
        <v>457.74813837307937</v>
      </c>
      <c r="AM115" s="197">
        <f t="shared" si="291"/>
        <v>311.05665001413894</v>
      </c>
      <c r="AN115" s="197">
        <f t="shared" si="292"/>
        <v>759.06623244415107</v>
      </c>
      <c r="AO115" s="197">
        <f t="shared" si="293"/>
        <v>-301.31809407107176</v>
      </c>
      <c r="AP115" s="199">
        <f t="shared" si="294"/>
        <v>9.7385559430672153</v>
      </c>
      <c r="AQ115" s="196">
        <f t="shared" ref="AQ115:AQ127" si="337">AQ114+AL115</f>
        <v>650.71537138278813</v>
      </c>
      <c r="AR115" s="197">
        <f t="shared" si="295"/>
        <v>961.44499952870206</v>
      </c>
      <c r="AS115" s="197">
        <f t="shared" si="296"/>
        <v>4923.1393178616263</v>
      </c>
      <c r="AT115" s="197">
        <f t="shared" si="297"/>
        <v>-4272.4239464788388</v>
      </c>
      <c r="AU115" s="199">
        <f t="shared" si="298"/>
        <v>-3310.9789469501361</v>
      </c>
      <c r="AV115" s="197"/>
      <c r="AX115" s="204">
        <f t="shared" ref="AX115:AX128" si="338">AX114+1</f>
        <v>3</v>
      </c>
      <c r="AY115" s="760">
        <f>'Energy NPV'!$D41</f>
        <v>11.099999999999998</v>
      </c>
      <c r="AZ115" s="197">
        <f>'Energy margins'!$L$12</f>
        <v>43.75</v>
      </c>
      <c r="BA115" s="197">
        <f t="shared" ref="BA115:BA128" si="339">AY115*AZ115</f>
        <v>485.62499999999989</v>
      </c>
      <c r="BB115" s="197">
        <f>'Margins summary'!$S$14</f>
        <v>330</v>
      </c>
      <c r="BC115" s="197">
        <f t="shared" si="299"/>
        <v>815.62499999999989</v>
      </c>
      <c r="BD115" s="197"/>
      <c r="BE115" s="918">
        <f>'Energy NPV'!U41</f>
        <v>536.86224399999992</v>
      </c>
      <c r="BF115" s="197"/>
      <c r="BG115" s="197">
        <f t="shared" si="300"/>
        <v>268.43112199999996</v>
      </c>
      <c r="BH115" s="197">
        <f t="shared" si="271"/>
        <v>217.19387799999993</v>
      </c>
      <c r="BI115" s="197">
        <f t="shared" si="272"/>
        <v>547.19387799999993</v>
      </c>
      <c r="BJ115" s="196">
        <f t="shared" si="301"/>
        <v>457.74813837307937</v>
      </c>
      <c r="BK115" s="197">
        <f t="shared" si="302"/>
        <v>311.05665001413894</v>
      </c>
      <c r="BL115" s="197">
        <f t="shared" si="303"/>
        <v>253.02207748138369</v>
      </c>
      <c r="BM115" s="197">
        <f t="shared" si="304"/>
        <v>204.72606089169568</v>
      </c>
      <c r="BN115" s="199">
        <f t="shared" si="305"/>
        <v>515.78271090583462</v>
      </c>
      <c r="BO115" s="196">
        <f t="shared" ref="BO115:BO128" si="340">BO114+BJ115</f>
        <v>650.71537138278813</v>
      </c>
      <c r="BP115" s="197">
        <f t="shared" si="306"/>
        <v>961.44499952870206</v>
      </c>
      <c r="BQ115" s="197">
        <f t="shared" si="307"/>
        <v>1641.0464392872086</v>
      </c>
      <c r="BR115" s="197">
        <f t="shared" si="308"/>
        <v>-990.33106790442071</v>
      </c>
      <c r="BS115" s="199">
        <f t="shared" si="309"/>
        <v>-28.886068375718651</v>
      </c>
      <c r="BT115" s="197"/>
      <c r="BV115" s="204">
        <f t="shared" ref="BV115:BV128" si="341">BV114+1</f>
        <v>3</v>
      </c>
      <c r="BW115" s="760">
        <f>'Energy NPV'!$D41</f>
        <v>11.099999999999998</v>
      </c>
      <c r="BX115" s="197">
        <f>'Energy margins'!$L$12</f>
        <v>43.75</v>
      </c>
      <c r="BY115" s="197">
        <f t="shared" ref="BY115:BY128" si="342">BW115*BX115</f>
        <v>485.62499999999989</v>
      </c>
      <c r="BZ115" s="197">
        <f>'Margins summary'!$S$14</f>
        <v>330</v>
      </c>
      <c r="CA115" s="197">
        <f t="shared" si="310"/>
        <v>815.62499999999989</v>
      </c>
      <c r="CB115" s="197"/>
      <c r="CC115" s="918">
        <f>'Energy NPV'!U41</f>
        <v>536.86224399999992</v>
      </c>
      <c r="CD115" s="197"/>
      <c r="CE115" s="197">
        <f t="shared" si="311"/>
        <v>1073.7244879999998</v>
      </c>
      <c r="CF115" s="197">
        <f t="shared" si="273"/>
        <v>-588.09948799999995</v>
      </c>
      <c r="CG115" s="197">
        <f t="shared" si="274"/>
        <v>-258.09948799999995</v>
      </c>
      <c r="CH115" s="196">
        <f t="shared" si="312"/>
        <v>457.74813837307937</v>
      </c>
      <c r="CI115" s="197">
        <f t="shared" si="313"/>
        <v>311.05665001413894</v>
      </c>
      <c r="CJ115" s="197">
        <f t="shared" si="314"/>
        <v>1012.0883099255348</v>
      </c>
      <c r="CK115" s="197">
        <f t="shared" si="315"/>
        <v>-554.34017155245544</v>
      </c>
      <c r="CL115" s="199">
        <f t="shared" si="316"/>
        <v>-243.28352153831648</v>
      </c>
      <c r="CM115" s="196">
        <f t="shared" ref="CM115:CM128" si="343">CM114+CH115</f>
        <v>650.71537138278813</v>
      </c>
      <c r="CN115" s="197">
        <f t="shared" si="317"/>
        <v>961.44499952870206</v>
      </c>
      <c r="CO115" s="197">
        <f t="shared" si="318"/>
        <v>6564.1857571488345</v>
      </c>
      <c r="CP115" s="197">
        <f t="shared" si="319"/>
        <v>-5913.470385766047</v>
      </c>
      <c r="CQ115" s="199">
        <f t="shared" si="320"/>
        <v>-4952.0253862373447</v>
      </c>
      <c r="CR115" s="197"/>
      <c r="CT115" s="204">
        <f t="shared" ref="CT115:CT128" si="344">CT114+1</f>
        <v>3</v>
      </c>
      <c r="CU115" s="760">
        <f>'Energy NPV'!$D41</f>
        <v>11.099999999999998</v>
      </c>
      <c r="CV115" s="197">
        <f>'Energy margins'!$L$12</f>
        <v>43.75</v>
      </c>
      <c r="CW115" s="197">
        <f t="shared" ref="CW115:CW128" si="345">CU115*CV115</f>
        <v>485.62499999999989</v>
      </c>
      <c r="CX115" s="197">
        <f>'Margins summary'!$S$14</f>
        <v>330</v>
      </c>
      <c r="CY115" s="197">
        <f t="shared" si="321"/>
        <v>815.62499999999989</v>
      </c>
      <c r="CZ115" s="197"/>
      <c r="DA115" s="918">
        <f>'Energy NPV'!U41</f>
        <v>536.86224399999992</v>
      </c>
      <c r="DB115" s="197"/>
      <c r="DC115" s="197">
        <f t="shared" si="322"/>
        <v>0</v>
      </c>
      <c r="DD115" s="197">
        <f t="shared" si="275"/>
        <v>485.62499999999989</v>
      </c>
      <c r="DE115" s="197">
        <f t="shared" si="276"/>
        <v>815.62499999999989</v>
      </c>
      <c r="DF115" s="196">
        <f t="shared" si="323"/>
        <v>457.74813837307937</v>
      </c>
      <c r="DG115" s="197">
        <f t="shared" si="324"/>
        <v>311.05665001413894</v>
      </c>
      <c r="DH115" s="197">
        <f t="shared" si="325"/>
        <v>0</v>
      </c>
      <c r="DI115" s="197">
        <f t="shared" si="326"/>
        <v>457.74813837307937</v>
      </c>
      <c r="DJ115" s="199">
        <f t="shared" si="327"/>
        <v>768.80478838721831</v>
      </c>
      <c r="DK115" s="196">
        <f t="shared" ref="DK115:DK128" si="346">DK114+DF115</f>
        <v>650.71537138278813</v>
      </c>
      <c r="DL115" s="197">
        <f t="shared" si="328"/>
        <v>961.44499952870206</v>
      </c>
      <c r="DM115" s="197">
        <f t="shared" si="329"/>
        <v>0</v>
      </c>
      <c r="DN115" s="197">
        <f t="shared" si="330"/>
        <v>650.71537138278813</v>
      </c>
      <c r="DO115" s="199">
        <f t="shared" si="331"/>
        <v>1612.1603709114902</v>
      </c>
    </row>
    <row r="116" spans="2:119" x14ac:dyDescent="0.3">
      <c r="B116" s="204">
        <f t="shared" si="332"/>
        <v>4</v>
      </c>
      <c r="C116" s="760">
        <f>'Energy NPV'!$D42</f>
        <v>12.54</v>
      </c>
      <c r="D116" s="197">
        <f>'Energy margins'!$L$12</f>
        <v>43.75</v>
      </c>
      <c r="E116" s="197">
        <f t="shared" si="333"/>
        <v>548.625</v>
      </c>
      <c r="F116" s="197">
        <f>'Margins summary'!$S$14</f>
        <v>330</v>
      </c>
      <c r="G116" s="197">
        <f t="shared" si="277"/>
        <v>878.625</v>
      </c>
      <c r="H116" s="197"/>
      <c r="I116" s="918">
        <f>'Energy NPV'!U42</f>
        <v>423.52324399999998</v>
      </c>
      <c r="J116" s="197"/>
      <c r="K116" s="197">
        <f t="shared" si="278"/>
        <v>423.52324399999998</v>
      </c>
      <c r="L116" s="197">
        <f t="shared" si="267"/>
        <v>125.10175600000002</v>
      </c>
      <c r="M116" s="197">
        <f t="shared" si="268"/>
        <v>455.10175600000002</v>
      </c>
      <c r="N116" s="196">
        <f t="shared" si="279"/>
        <v>502.06959286262719</v>
      </c>
      <c r="O116" s="197">
        <f t="shared" si="280"/>
        <v>301.99674758654265</v>
      </c>
      <c r="P116" s="197">
        <f t="shared" si="281"/>
        <v>387.58376428879308</v>
      </c>
      <c r="Q116" s="197">
        <f t="shared" si="282"/>
        <v>114.48582857383411</v>
      </c>
      <c r="R116" s="199">
        <f t="shared" si="283"/>
        <v>416.48257616037677</v>
      </c>
      <c r="S116" s="196">
        <f t="shared" si="334"/>
        <v>1152.7849642454153</v>
      </c>
      <c r="T116" s="197">
        <f t="shared" si="284"/>
        <v>1263.4417471152447</v>
      </c>
      <c r="U116" s="197">
        <f t="shared" si="285"/>
        <v>3669.6766428632104</v>
      </c>
      <c r="V116" s="197">
        <f t="shared" si="286"/>
        <v>-2516.8916786177952</v>
      </c>
      <c r="W116" s="199">
        <f t="shared" si="287"/>
        <v>-1253.4499315025507</v>
      </c>
      <c r="X116" s="197"/>
      <c r="Z116" s="204">
        <f t="shared" si="335"/>
        <v>4</v>
      </c>
      <c r="AA116" s="760">
        <f>'Energy NPV'!$D42</f>
        <v>12.54</v>
      </c>
      <c r="AB116" s="197">
        <f>'Energy margins'!$L$12</f>
        <v>43.75</v>
      </c>
      <c r="AC116" s="197">
        <f t="shared" si="336"/>
        <v>548.625</v>
      </c>
      <c r="AD116" s="197">
        <f>'Margins summary'!$S$14</f>
        <v>330</v>
      </c>
      <c r="AE116" s="197">
        <f t="shared" si="288"/>
        <v>878.625</v>
      </c>
      <c r="AF116" s="197"/>
      <c r="AG116" s="918">
        <f>'Energy NPV'!U42</f>
        <v>423.52324399999998</v>
      </c>
      <c r="AH116" s="197"/>
      <c r="AI116" s="197">
        <f t="shared" si="289"/>
        <v>635.28486599999997</v>
      </c>
      <c r="AJ116" s="197">
        <f t="shared" si="269"/>
        <v>-86.659865999999965</v>
      </c>
      <c r="AK116" s="197">
        <f t="shared" si="270"/>
        <v>243.34013400000003</v>
      </c>
      <c r="AL116" s="196">
        <f t="shared" si="290"/>
        <v>502.06959286262719</v>
      </c>
      <c r="AM116" s="197">
        <f t="shared" si="291"/>
        <v>301.99674758654265</v>
      </c>
      <c r="AN116" s="197">
        <f t="shared" si="292"/>
        <v>581.37564643318956</v>
      </c>
      <c r="AO116" s="197">
        <f t="shared" si="293"/>
        <v>-79.306053570562426</v>
      </c>
      <c r="AP116" s="199">
        <f t="shared" si="294"/>
        <v>222.69069401598023</v>
      </c>
      <c r="AQ116" s="196">
        <f t="shared" si="337"/>
        <v>1152.7849642454153</v>
      </c>
      <c r="AR116" s="197">
        <f t="shared" si="295"/>
        <v>1263.4417471152447</v>
      </c>
      <c r="AS116" s="197">
        <f t="shared" si="296"/>
        <v>5504.5149642948163</v>
      </c>
      <c r="AT116" s="197">
        <f t="shared" si="297"/>
        <v>-4351.7300000494015</v>
      </c>
      <c r="AU116" s="199">
        <f t="shared" si="298"/>
        <v>-3088.2882529341559</v>
      </c>
      <c r="AV116" s="197"/>
      <c r="AX116" s="204">
        <f t="shared" si="338"/>
        <v>4</v>
      </c>
      <c r="AY116" s="760">
        <f>'Energy NPV'!$D42</f>
        <v>12.54</v>
      </c>
      <c r="AZ116" s="197">
        <f>'Energy margins'!$L$12</f>
        <v>43.75</v>
      </c>
      <c r="BA116" s="197">
        <f t="shared" si="339"/>
        <v>548.625</v>
      </c>
      <c r="BB116" s="197">
        <f>'Margins summary'!$S$14</f>
        <v>330</v>
      </c>
      <c r="BC116" s="197">
        <f t="shared" si="299"/>
        <v>878.625</v>
      </c>
      <c r="BD116" s="197"/>
      <c r="BE116" s="918">
        <f>'Energy NPV'!U42</f>
        <v>423.52324399999998</v>
      </c>
      <c r="BF116" s="197"/>
      <c r="BG116" s="197">
        <f t="shared" si="300"/>
        <v>211.76162199999999</v>
      </c>
      <c r="BH116" s="197">
        <f t="shared" si="271"/>
        <v>336.86337800000001</v>
      </c>
      <c r="BI116" s="197">
        <f t="shared" si="272"/>
        <v>666.86337800000001</v>
      </c>
      <c r="BJ116" s="196">
        <f t="shared" si="301"/>
        <v>502.06959286262719</v>
      </c>
      <c r="BK116" s="197">
        <f t="shared" si="302"/>
        <v>301.99674758654265</v>
      </c>
      <c r="BL116" s="197">
        <f t="shared" si="303"/>
        <v>193.79188214439654</v>
      </c>
      <c r="BM116" s="197">
        <f t="shared" si="304"/>
        <v>308.27771071823065</v>
      </c>
      <c r="BN116" s="199">
        <f t="shared" si="305"/>
        <v>610.27445830477325</v>
      </c>
      <c r="BO116" s="196">
        <f t="shared" si="340"/>
        <v>1152.7849642454153</v>
      </c>
      <c r="BP116" s="197">
        <f t="shared" si="306"/>
        <v>1263.4417471152447</v>
      </c>
      <c r="BQ116" s="197">
        <f t="shared" si="307"/>
        <v>1834.8383214316052</v>
      </c>
      <c r="BR116" s="197">
        <f t="shared" si="308"/>
        <v>-682.05335718619006</v>
      </c>
      <c r="BS116" s="199">
        <f t="shared" si="309"/>
        <v>581.3883899290546</v>
      </c>
      <c r="BT116" s="197"/>
      <c r="BV116" s="204">
        <f t="shared" si="341"/>
        <v>4</v>
      </c>
      <c r="BW116" s="760">
        <f>'Energy NPV'!$D42</f>
        <v>12.54</v>
      </c>
      <c r="BX116" s="197">
        <f>'Energy margins'!$L$12</f>
        <v>43.75</v>
      </c>
      <c r="BY116" s="197">
        <f t="shared" si="342"/>
        <v>548.625</v>
      </c>
      <c r="BZ116" s="197">
        <f>'Margins summary'!$S$14</f>
        <v>330</v>
      </c>
      <c r="CA116" s="197">
        <f t="shared" si="310"/>
        <v>878.625</v>
      </c>
      <c r="CB116" s="197"/>
      <c r="CC116" s="918">
        <f>'Energy NPV'!U42</f>
        <v>423.52324399999998</v>
      </c>
      <c r="CD116" s="197"/>
      <c r="CE116" s="197">
        <f t="shared" si="311"/>
        <v>847.04648799999995</v>
      </c>
      <c r="CF116" s="197">
        <f t="shared" si="273"/>
        <v>-298.42148799999995</v>
      </c>
      <c r="CG116" s="197">
        <f t="shared" si="274"/>
        <v>31.578512000000046</v>
      </c>
      <c r="CH116" s="196">
        <f t="shared" si="312"/>
        <v>502.06959286262719</v>
      </c>
      <c r="CI116" s="197">
        <f t="shared" si="313"/>
        <v>301.99674758654265</v>
      </c>
      <c r="CJ116" s="197">
        <f t="shared" si="314"/>
        <v>775.16752857758615</v>
      </c>
      <c r="CK116" s="197">
        <f t="shared" si="315"/>
        <v>-273.09793571495896</v>
      </c>
      <c r="CL116" s="199">
        <f t="shared" si="316"/>
        <v>28.898811871583703</v>
      </c>
      <c r="CM116" s="196">
        <f t="shared" si="343"/>
        <v>1152.7849642454153</v>
      </c>
      <c r="CN116" s="197">
        <f t="shared" si="317"/>
        <v>1263.4417471152447</v>
      </c>
      <c r="CO116" s="197">
        <f t="shared" si="318"/>
        <v>7339.3532857264208</v>
      </c>
      <c r="CP116" s="197">
        <f t="shared" si="319"/>
        <v>-6186.568321481006</v>
      </c>
      <c r="CQ116" s="199">
        <f t="shared" si="320"/>
        <v>-4923.1265743657614</v>
      </c>
      <c r="CR116" s="197"/>
      <c r="CT116" s="204">
        <f t="shared" si="344"/>
        <v>4</v>
      </c>
      <c r="CU116" s="760">
        <f>'Energy NPV'!$D42</f>
        <v>12.54</v>
      </c>
      <c r="CV116" s="197">
        <f>'Energy margins'!$L$12</f>
        <v>43.75</v>
      </c>
      <c r="CW116" s="197">
        <f t="shared" si="345"/>
        <v>548.625</v>
      </c>
      <c r="CX116" s="197">
        <f>'Margins summary'!$S$14</f>
        <v>330</v>
      </c>
      <c r="CY116" s="197">
        <f t="shared" si="321"/>
        <v>878.625</v>
      </c>
      <c r="CZ116" s="197"/>
      <c r="DA116" s="918">
        <f>'Energy NPV'!U42</f>
        <v>423.52324399999998</v>
      </c>
      <c r="DB116" s="197"/>
      <c r="DC116" s="197">
        <f t="shared" si="322"/>
        <v>0</v>
      </c>
      <c r="DD116" s="197">
        <f t="shared" si="275"/>
        <v>548.625</v>
      </c>
      <c r="DE116" s="197">
        <f t="shared" si="276"/>
        <v>878.625</v>
      </c>
      <c r="DF116" s="196">
        <f t="shared" si="323"/>
        <v>502.06959286262719</v>
      </c>
      <c r="DG116" s="197">
        <f t="shared" si="324"/>
        <v>301.99674758654265</v>
      </c>
      <c r="DH116" s="197">
        <f t="shared" si="325"/>
        <v>0</v>
      </c>
      <c r="DI116" s="197">
        <f t="shared" si="326"/>
        <v>502.06959286262719</v>
      </c>
      <c r="DJ116" s="199">
        <f t="shared" si="327"/>
        <v>804.06634044916984</v>
      </c>
      <c r="DK116" s="196">
        <f t="shared" si="346"/>
        <v>1152.7849642454153</v>
      </c>
      <c r="DL116" s="197">
        <f t="shared" si="328"/>
        <v>1263.4417471152447</v>
      </c>
      <c r="DM116" s="197">
        <f t="shared" si="329"/>
        <v>0</v>
      </c>
      <c r="DN116" s="197">
        <f t="shared" si="330"/>
        <v>1152.7849642454153</v>
      </c>
      <c r="DO116" s="199">
        <f t="shared" si="331"/>
        <v>2416.2267113606599</v>
      </c>
    </row>
    <row r="117" spans="2:119" x14ac:dyDescent="0.3">
      <c r="B117" s="204">
        <f t="shared" si="332"/>
        <v>5</v>
      </c>
      <c r="C117" s="760">
        <f>'Energy NPV'!$D43</f>
        <v>12.54</v>
      </c>
      <c r="D117" s="197">
        <f>'Energy margins'!$L$12</f>
        <v>43.75</v>
      </c>
      <c r="E117" s="197">
        <f t="shared" si="333"/>
        <v>548.625</v>
      </c>
      <c r="F117" s="197">
        <f>'Margins summary'!$S$14</f>
        <v>330</v>
      </c>
      <c r="G117" s="197">
        <f t="shared" si="277"/>
        <v>878.625</v>
      </c>
      <c r="H117" s="197"/>
      <c r="I117" s="918">
        <f>'Energy NPV'!U43</f>
        <v>423.52324399999998</v>
      </c>
      <c r="J117" s="197"/>
      <c r="K117" s="197">
        <f t="shared" si="278"/>
        <v>423.52324399999998</v>
      </c>
      <c r="L117" s="197">
        <f t="shared" si="267"/>
        <v>125.10175600000002</v>
      </c>
      <c r="M117" s="197">
        <f t="shared" si="268"/>
        <v>455.10175600000002</v>
      </c>
      <c r="N117" s="196">
        <f t="shared" si="279"/>
        <v>487.44620666274488</v>
      </c>
      <c r="O117" s="197">
        <f t="shared" si="280"/>
        <v>293.20072581217738</v>
      </c>
      <c r="P117" s="197">
        <f t="shared" si="281"/>
        <v>376.29491678523601</v>
      </c>
      <c r="Q117" s="197">
        <f t="shared" si="282"/>
        <v>111.15128987750884</v>
      </c>
      <c r="R117" s="199">
        <f t="shared" si="283"/>
        <v>404.3520156896862</v>
      </c>
      <c r="S117" s="196">
        <f t="shared" si="334"/>
        <v>1640.23117090816</v>
      </c>
      <c r="T117" s="197">
        <f t="shared" si="284"/>
        <v>1556.642472927422</v>
      </c>
      <c r="U117" s="197">
        <f t="shared" si="285"/>
        <v>4045.9715596484466</v>
      </c>
      <c r="V117" s="197">
        <f t="shared" si="286"/>
        <v>-2405.7403887402861</v>
      </c>
      <c r="W117" s="199">
        <f t="shared" si="287"/>
        <v>-849.09791581286458</v>
      </c>
      <c r="X117" s="197"/>
      <c r="Z117" s="204">
        <f t="shared" si="335"/>
        <v>5</v>
      </c>
      <c r="AA117" s="760">
        <f>'Energy NPV'!$D43</f>
        <v>12.54</v>
      </c>
      <c r="AB117" s="197">
        <f>'Energy margins'!$L$12</f>
        <v>43.75</v>
      </c>
      <c r="AC117" s="197">
        <f t="shared" si="336"/>
        <v>548.625</v>
      </c>
      <c r="AD117" s="197">
        <f>'Margins summary'!$S$14</f>
        <v>330</v>
      </c>
      <c r="AE117" s="197">
        <f t="shared" si="288"/>
        <v>878.625</v>
      </c>
      <c r="AF117" s="197"/>
      <c r="AG117" s="918">
        <f>'Energy NPV'!U43</f>
        <v>423.52324399999998</v>
      </c>
      <c r="AH117" s="197"/>
      <c r="AI117" s="197">
        <f t="shared" si="289"/>
        <v>635.28486599999997</v>
      </c>
      <c r="AJ117" s="197">
        <f t="shared" si="269"/>
        <v>-86.659865999999965</v>
      </c>
      <c r="AK117" s="197">
        <f t="shared" si="270"/>
        <v>243.34013400000003</v>
      </c>
      <c r="AL117" s="196">
        <f t="shared" si="290"/>
        <v>487.44620666274488</v>
      </c>
      <c r="AM117" s="197">
        <f t="shared" si="291"/>
        <v>293.20072581217738</v>
      </c>
      <c r="AN117" s="197">
        <f t="shared" si="292"/>
        <v>564.44237517785405</v>
      </c>
      <c r="AO117" s="197">
        <f t="shared" si="293"/>
        <v>-76.996168515109161</v>
      </c>
      <c r="AP117" s="199">
        <f t="shared" si="294"/>
        <v>216.20455729706822</v>
      </c>
      <c r="AQ117" s="196">
        <f t="shared" si="337"/>
        <v>1640.23117090816</v>
      </c>
      <c r="AR117" s="197">
        <f t="shared" si="295"/>
        <v>1556.642472927422</v>
      </c>
      <c r="AS117" s="197">
        <f t="shared" si="296"/>
        <v>6068.9573394726704</v>
      </c>
      <c r="AT117" s="197">
        <f t="shared" si="297"/>
        <v>-4428.7261685645108</v>
      </c>
      <c r="AU117" s="199">
        <f t="shared" si="298"/>
        <v>-2872.0836956370877</v>
      </c>
      <c r="AV117" s="197"/>
      <c r="AX117" s="204">
        <f t="shared" si="338"/>
        <v>5</v>
      </c>
      <c r="AY117" s="760">
        <f>'Energy NPV'!$D43</f>
        <v>12.54</v>
      </c>
      <c r="AZ117" s="197">
        <f>'Energy margins'!$L$12</f>
        <v>43.75</v>
      </c>
      <c r="BA117" s="197">
        <f t="shared" si="339"/>
        <v>548.625</v>
      </c>
      <c r="BB117" s="197">
        <f>'Margins summary'!$S$14</f>
        <v>330</v>
      </c>
      <c r="BC117" s="197">
        <f t="shared" si="299"/>
        <v>878.625</v>
      </c>
      <c r="BD117" s="197"/>
      <c r="BE117" s="918">
        <f>'Energy NPV'!U43</f>
        <v>423.52324399999998</v>
      </c>
      <c r="BF117" s="197"/>
      <c r="BG117" s="197">
        <f t="shared" si="300"/>
        <v>211.76162199999999</v>
      </c>
      <c r="BH117" s="197">
        <f t="shared" si="271"/>
        <v>336.86337800000001</v>
      </c>
      <c r="BI117" s="197">
        <f t="shared" si="272"/>
        <v>666.86337800000001</v>
      </c>
      <c r="BJ117" s="196">
        <f t="shared" si="301"/>
        <v>487.44620666274488</v>
      </c>
      <c r="BK117" s="197">
        <f t="shared" si="302"/>
        <v>293.20072581217738</v>
      </c>
      <c r="BL117" s="197">
        <f t="shared" si="303"/>
        <v>188.14745839261801</v>
      </c>
      <c r="BM117" s="197">
        <f t="shared" si="304"/>
        <v>299.29874827012685</v>
      </c>
      <c r="BN117" s="199">
        <f t="shared" si="305"/>
        <v>592.49947408230423</v>
      </c>
      <c r="BO117" s="196">
        <f t="shared" si="340"/>
        <v>1640.23117090816</v>
      </c>
      <c r="BP117" s="197">
        <f t="shared" si="306"/>
        <v>1556.642472927422</v>
      </c>
      <c r="BQ117" s="197">
        <f t="shared" si="307"/>
        <v>2022.9857798242233</v>
      </c>
      <c r="BR117" s="197">
        <f t="shared" si="308"/>
        <v>-382.75460891606321</v>
      </c>
      <c r="BS117" s="199">
        <f t="shared" si="309"/>
        <v>1173.8878640113589</v>
      </c>
      <c r="BT117" s="197"/>
      <c r="BV117" s="204">
        <f t="shared" si="341"/>
        <v>5</v>
      </c>
      <c r="BW117" s="760">
        <f>'Energy NPV'!$D43</f>
        <v>12.54</v>
      </c>
      <c r="BX117" s="197">
        <f>'Energy margins'!$L$12</f>
        <v>43.75</v>
      </c>
      <c r="BY117" s="197">
        <f t="shared" si="342"/>
        <v>548.625</v>
      </c>
      <c r="BZ117" s="197">
        <f>'Margins summary'!$S$14</f>
        <v>330</v>
      </c>
      <c r="CA117" s="197">
        <f t="shared" si="310"/>
        <v>878.625</v>
      </c>
      <c r="CB117" s="197"/>
      <c r="CC117" s="918">
        <f>'Energy NPV'!U43</f>
        <v>423.52324399999998</v>
      </c>
      <c r="CD117" s="197"/>
      <c r="CE117" s="197">
        <f t="shared" si="311"/>
        <v>847.04648799999995</v>
      </c>
      <c r="CF117" s="197">
        <f t="shared" si="273"/>
        <v>-298.42148799999995</v>
      </c>
      <c r="CG117" s="197">
        <f t="shared" si="274"/>
        <v>31.578512000000046</v>
      </c>
      <c r="CH117" s="196">
        <f t="shared" si="312"/>
        <v>487.44620666274488</v>
      </c>
      <c r="CI117" s="197">
        <f t="shared" si="313"/>
        <v>293.20072581217738</v>
      </c>
      <c r="CJ117" s="197">
        <f t="shared" si="314"/>
        <v>752.58983357047202</v>
      </c>
      <c r="CK117" s="197">
        <f t="shared" si="315"/>
        <v>-265.14362690772714</v>
      </c>
      <c r="CL117" s="199">
        <f t="shared" si="316"/>
        <v>28.0570989044502</v>
      </c>
      <c r="CM117" s="196">
        <f t="shared" si="343"/>
        <v>1640.23117090816</v>
      </c>
      <c r="CN117" s="197">
        <f t="shared" si="317"/>
        <v>1556.642472927422</v>
      </c>
      <c r="CO117" s="197">
        <f t="shared" si="318"/>
        <v>8091.9431192968932</v>
      </c>
      <c r="CP117" s="197">
        <f t="shared" si="319"/>
        <v>-6451.7119483887327</v>
      </c>
      <c r="CQ117" s="199">
        <f t="shared" si="320"/>
        <v>-4895.0694754613114</v>
      </c>
      <c r="CR117" s="197"/>
      <c r="CT117" s="204">
        <f t="shared" si="344"/>
        <v>5</v>
      </c>
      <c r="CU117" s="760">
        <f>'Energy NPV'!$D43</f>
        <v>12.54</v>
      </c>
      <c r="CV117" s="197">
        <f>'Energy margins'!$L$12</f>
        <v>43.75</v>
      </c>
      <c r="CW117" s="197">
        <f t="shared" si="345"/>
        <v>548.625</v>
      </c>
      <c r="CX117" s="197">
        <f>'Margins summary'!$S$14</f>
        <v>330</v>
      </c>
      <c r="CY117" s="197">
        <f t="shared" si="321"/>
        <v>878.625</v>
      </c>
      <c r="CZ117" s="197"/>
      <c r="DA117" s="918">
        <f>'Energy NPV'!U43</f>
        <v>423.52324399999998</v>
      </c>
      <c r="DB117" s="197"/>
      <c r="DC117" s="197">
        <f t="shared" si="322"/>
        <v>0</v>
      </c>
      <c r="DD117" s="197">
        <f t="shared" si="275"/>
        <v>548.625</v>
      </c>
      <c r="DE117" s="197">
        <f t="shared" si="276"/>
        <v>878.625</v>
      </c>
      <c r="DF117" s="196">
        <f t="shared" si="323"/>
        <v>487.44620666274488</v>
      </c>
      <c r="DG117" s="197">
        <f t="shared" si="324"/>
        <v>293.20072581217738</v>
      </c>
      <c r="DH117" s="197">
        <f t="shared" si="325"/>
        <v>0</v>
      </c>
      <c r="DI117" s="197">
        <f t="shared" si="326"/>
        <v>487.44620666274488</v>
      </c>
      <c r="DJ117" s="199">
        <f t="shared" si="327"/>
        <v>780.64693247492221</v>
      </c>
      <c r="DK117" s="196">
        <f t="shared" si="346"/>
        <v>1640.23117090816</v>
      </c>
      <c r="DL117" s="197">
        <f t="shared" si="328"/>
        <v>1556.642472927422</v>
      </c>
      <c r="DM117" s="197">
        <f t="shared" si="329"/>
        <v>0</v>
      </c>
      <c r="DN117" s="197">
        <f t="shared" si="330"/>
        <v>1640.23117090816</v>
      </c>
      <c r="DO117" s="199">
        <f t="shared" si="331"/>
        <v>3196.8736438355822</v>
      </c>
    </row>
    <row r="118" spans="2:119" x14ac:dyDescent="0.3">
      <c r="B118" s="204">
        <f t="shared" si="332"/>
        <v>6</v>
      </c>
      <c r="C118" s="760">
        <f>'Energy NPV'!$D44</f>
        <v>12.54</v>
      </c>
      <c r="D118" s="197">
        <f>'Energy margins'!$L$12</f>
        <v>43.75</v>
      </c>
      <c r="E118" s="197">
        <f t="shared" si="333"/>
        <v>548.625</v>
      </c>
      <c r="F118" s="197">
        <f>'Margins summary'!$S$14</f>
        <v>330</v>
      </c>
      <c r="G118" s="197">
        <f t="shared" si="277"/>
        <v>878.625</v>
      </c>
      <c r="H118" s="197"/>
      <c r="I118" s="918">
        <f>'Energy NPV'!U44</f>
        <v>423.52324399999998</v>
      </c>
      <c r="J118" s="197"/>
      <c r="K118" s="197">
        <f t="shared" si="278"/>
        <v>423.52324399999998</v>
      </c>
      <c r="L118" s="197">
        <f t="shared" si="267"/>
        <v>125.10175600000002</v>
      </c>
      <c r="M118" s="197">
        <f t="shared" si="268"/>
        <v>455.10175600000002</v>
      </c>
      <c r="N118" s="196">
        <f t="shared" si="279"/>
        <v>473.24874433276204</v>
      </c>
      <c r="O118" s="197">
        <f t="shared" si="280"/>
        <v>284.66089884677416</v>
      </c>
      <c r="P118" s="197">
        <f t="shared" si="281"/>
        <v>365.33487066527772</v>
      </c>
      <c r="Q118" s="197">
        <f t="shared" si="282"/>
        <v>107.91387366748432</v>
      </c>
      <c r="R118" s="199">
        <f t="shared" si="283"/>
        <v>392.57477251425848</v>
      </c>
      <c r="S118" s="196">
        <f t="shared" si="334"/>
        <v>2113.4799152409223</v>
      </c>
      <c r="T118" s="197">
        <f t="shared" si="284"/>
        <v>1841.3033717741962</v>
      </c>
      <c r="U118" s="197">
        <f t="shared" si="285"/>
        <v>4411.3064303137244</v>
      </c>
      <c r="V118" s="197">
        <f t="shared" si="286"/>
        <v>-2297.8265150728016</v>
      </c>
      <c r="W118" s="199">
        <f t="shared" si="287"/>
        <v>-456.5231432986061</v>
      </c>
      <c r="X118" s="197"/>
      <c r="Z118" s="204">
        <f t="shared" si="335"/>
        <v>6</v>
      </c>
      <c r="AA118" s="760">
        <f>'Energy NPV'!$D44</f>
        <v>12.54</v>
      </c>
      <c r="AB118" s="197">
        <f>'Energy margins'!$L$12</f>
        <v>43.75</v>
      </c>
      <c r="AC118" s="197">
        <f t="shared" si="336"/>
        <v>548.625</v>
      </c>
      <c r="AD118" s="197">
        <f>'Margins summary'!$S$14</f>
        <v>330</v>
      </c>
      <c r="AE118" s="197">
        <f t="shared" si="288"/>
        <v>878.625</v>
      </c>
      <c r="AF118" s="197"/>
      <c r="AG118" s="918">
        <f>'Energy NPV'!U44</f>
        <v>423.52324399999998</v>
      </c>
      <c r="AH118" s="197"/>
      <c r="AI118" s="197">
        <f t="shared" si="289"/>
        <v>635.28486599999997</v>
      </c>
      <c r="AJ118" s="197">
        <f t="shared" si="269"/>
        <v>-86.659865999999965</v>
      </c>
      <c r="AK118" s="197">
        <f t="shared" si="270"/>
        <v>243.34013400000003</v>
      </c>
      <c r="AL118" s="196">
        <f t="shared" si="290"/>
        <v>473.24874433276204</v>
      </c>
      <c r="AM118" s="197">
        <f t="shared" si="291"/>
        <v>284.66089884677416</v>
      </c>
      <c r="AN118" s="197">
        <f t="shared" si="292"/>
        <v>548.00230599791655</v>
      </c>
      <c r="AO118" s="197">
        <f t="shared" si="293"/>
        <v>-74.753561665154521</v>
      </c>
      <c r="AP118" s="199">
        <f t="shared" si="294"/>
        <v>209.90733718161962</v>
      </c>
      <c r="AQ118" s="196">
        <f t="shared" si="337"/>
        <v>2113.4799152409223</v>
      </c>
      <c r="AR118" s="197">
        <f t="shared" si="295"/>
        <v>1841.3033717741962</v>
      </c>
      <c r="AS118" s="197">
        <f t="shared" si="296"/>
        <v>6616.959645470587</v>
      </c>
      <c r="AT118" s="197">
        <f t="shared" si="297"/>
        <v>-4503.4797302296656</v>
      </c>
      <c r="AU118" s="199">
        <f t="shared" si="298"/>
        <v>-2662.1763584554678</v>
      </c>
      <c r="AV118" s="197"/>
      <c r="AX118" s="204">
        <f t="shared" si="338"/>
        <v>6</v>
      </c>
      <c r="AY118" s="760">
        <f>'Energy NPV'!$D44</f>
        <v>12.54</v>
      </c>
      <c r="AZ118" s="197">
        <f>'Energy margins'!$L$12</f>
        <v>43.75</v>
      </c>
      <c r="BA118" s="197">
        <f t="shared" si="339"/>
        <v>548.625</v>
      </c>
      <c r="BB118" s="197">
        <f>'Margins summary'!$S$14</f>
        <v>330</v>
      </c>
      <c r="BC118" s="197">
        <f t="shared" si="299"/>
        <v>878.625</v>
      </c>
      <c r="BD118" s="197"/>
      <c r="BE118" s="918">
        <f>'Energy NPV'!U44</f>
        <v>423.52324399999998</v>
      </c>
      <c r="BF118" s="197"/>
      <c r="BG118" s="197">
        <f t="shared" si="300"/>
        <v>211.76162199999999</v>
      </c>
      <c r="BH118" s="197">
        <f t="shared" si="271"/>
        <v>336.86337800000001</v>
      </c>
      <c r="BI118" s="197">
        <f t="shared" si="272"/>
        <v>666.86337800000001</v>
      </c>
      <c r="BJ118" s="196">
        <f t="shared" si="301"/>
        <v>473.24874433276204</v>
      </c>
      <c r="BK118" s="197">
        <f t="shared" si="302"/>
        <v>284.66089884677416</v>
      </c>
      <c r="BL118" s="197">
        <f t="shared" si="303"/>
        <v>182.66743533263886</v>
      </c>
      <c r="BM118" s="197">
        <f t="shared" si="304"/>
        <v>290.58130900012316</v>
      </c>
      <c r="BN118" s="199">
        <f t="shared" si="305"/>
        <v>575.24220784689737</v>
      </c>
      <c r="BO118" s="196">
        <f t="shared" si="340"/>
        <v>2113.4799152409223</v>
      </c>
      <c r="BP118" s="197">
        <f t="shared" si="306"/>
        <v>1841.3033717741962</v>
      </c>
      <c r="BQ118" s="197">
        <f t="shared" si="307"/>
        <v>2205.6532151568622</v>
      </c>
      <c r="BR118" s="197">
        <f t="shared" si="308"/>
        <v>-92.173299915940049</v>
      </c>
      <c r="BS118" s="199">
        <f t="shared" si="309"/>
        <v>1749.1300718582563</v>
      </c>
      <c r="BT118" s="197"/>
      <c r="BV118" s="204">
        <f t="shared" si="341"/>
        <v>6</v>
      </c>
      <c r="BW118" s="760">
        <f>'Energy NPV'!$D44</f>
        <v>12.54</v>
      </c>
      <c r="BX118" s="197">
        <f>'Energy margins'!$L$12</f>
        <v>43.75</v>
      </c>
      <c r="BY118" s="197">
        <f t="shared" si="342"/>
        <v>548.625</v>
      </c>
      <c r="BZ118" s="197">
        <f>'Margins summary'!$S$14</f>
        <v>330</v>
      </c>
      <c r="CA118" s="197">
        <f t="shared" si="310"/>
        <v>878.625</v>
      </c>
      <c r="CB118" s="197"/>
      <c r="CC118" s="918">
        <f>'Energy NPV'!U44</f>
        <v>423.52324399999998</v>
      </c>
      <c r="CD118" s="197"/>
      <c r="CE118" s="197">
        <f t="shared" si="311"/>
        <v>847.04648799999995</v>
      </c>
      <c r="CF118" s="197">
        <f t="shared" si="273"/>
        <v>-298.42148799999995</v>
      </c>
      <c r="CG118" s="197">
        <f t="shared" si="274"/>
        <v>31.578512000000046</v>
      </c>
      <c r="CH118" s="196">
        <f t="shared" si="312"/>
        <v>473.24874433276204</v>
      </c>
      <c r="CI118" s="197">
        <f t="shared" si="313"/>
        <v>284.66089884677416</v>
      </c>
      <c r="CJ118" s="197">
        <f t="shared" si="314"/>
        <v>730.66974133055544</v>
      </c>
      <c r="CK118" s="197">
        <f t="shared" si="315"/>
        <v>-257.4209969977934</v>
      </c>
      <c r="CL118" s="199">
        <f t="shared" si="316"/>
        <v>27.239901848980779</v>
      </c>
      <c r="CM118" s="196">
        <f t="shared" si="343"/>
        <v>2113.4799152409223</v>
      </c>
      <c r="CN118" s="197">
        <f t="shared" si="317"/>
        <v>1841.3033717741962</v>
      </c>
      <c r="CO118" s="197">
        <f t="shared" si="318"/>
        <v>8822.6128606274488</v>
      </c>
      <c r="CP118" s="197">
        <f t="shared" si="319"/>
        <v>-6709.1329453865264</v>
      </c>
      <c r="CQ118" s="199">
        <f t="shared" si="320"/>
        <v>-4867.8295736123309</v>
      </c>
      <c r="CR118" s="197"/>
      <c r="CT118" s="204">
        <f t="shared" si="344"/>
        <v>6</v>
      </c>
      <c r="CU118" s="760">
        <f>'Energy NPV'!$D44</f>
        <v>12.54</v>
      </c>
      <c r="CV118" s="197">
        <f>'Energy margins'!$L$12</f>
        <v>43.75</v>
      </c>
      <c r="CW118" s="197">
        <f t="shared" si="345"/>
        <v>548.625</v>
      </c>
      <c r="CX118" s="197">
        <f>'Margins summary'!$S$14</f>
        <v>330</v>
      </c>
      <c r="CY118" s="197">
        <f t="shared" si="321"/>
        <v>878.625</v>
      </c>
      <c r="CZ118" s="197"/>
      <c r="DA118" s="918">
        <f>'Energy NPV'!U44</f>
        <v>423.52324399999998</v>
      </c>
      <c r="DB118" s="197"/>
      <c r="DC118" s="197">
        <f t="shared" si="322"/>
        <v>0</v>
      </c>
      <c r="DD118" s="197">
        <f t="shared" si="275"/>
        <v>548.625</v>
      </c>
      <c r="DE118" s="197">
        <f t="shared" si="276"/>
        <v>878.625</v>
      </c>
      <c r="DF118" s="196">
        <f t="shared" si="323"/>
        <v>473.24874433276204</v>
      </c>
      <c r="DG118" s="197">
        <f t="shared" si="324"/>
        <v>284.66089884677416</v>
      </c>
      <c r="DH118" s="197">
        <f t="shared" si="325"/>
        <v>0</v>
      </c>
      <c r="DI118" s="197">
        <f t="shared" si="326"/>
        <v>473.24874433276204</v>
      </c>
      <c r="DJ118" s="199">
        <f t="shared" si="327"/>
        <v>757.90964317953615</v>
      </c>
      <c r="DK118" s="196">
        <f t="shared" si="346"/>
        <v>2113.4799152409223</v>
      </c>
      <c r="DL118" s="197">
        <f t="shared" si="328"/>
        <v>1841.3033717741962</v>
      </c>
      <c r="DM118" s="197">
        <f t="shared" si="329"/>
        <v>0</v>
      </c>
      <c r="DN118" s="197">
        <f t="shared" si="330"/>
        <v>2113.4799152409223</v>
      </c>
      <c r="DO118" s="199">
        <f t="shared" si="331"/>
        <v>3954.7832870151183</v>
      </c>
    </row>
    <row r="119" spans="2:119" x14ac:dyDescent="0.3">
      <c r="B119" s="204">
        <f t="shared" si="332"/>
        <v>7</v>
      </c>
      <c r="C119" s="760">
        <f>'Energy NPV'!$D45</f>
        <v>12.54</v>
      </c>
      <c r="D119" s="197">
        <f>'Energy margins'!$L$12</f>
        <v>43.75</v>
      </c>
      <c r="E119" s="197">
        <f t="shared" si="333"/>
        <v>548.625</v>
      </c>
      <c r="F119" s="197">
        <f>'Margins summary'!$S$14</f>
        <v>330</v>
      </c>
      <c r="G119" s="197">
        <f t="shared" si="277"/>
        <v>878.625</v>
      </c>
      <c r="H119" s="197"/>
      <c r="I119" s="918">
        <f>'Energy NPV'!U45</f>
        <v>423.52324399999998</v>
      </c>
      <c r="J119" s="197"/>
      <c r="K119" s="197">
        <f t="shared" si="278"/>
        <v>423.52324399999998</v>
      </c>
      <c r="L119" s="197">
        <f t="shared" si="267"/>
        <v>125.10175600000002</v>
      </c>
      <c r="M119" s="197">
        <f t="shared" si="268"/>
        <v>455.10175600000002</v>
      </c>
      <c r="N119" s="196">
        <f t="shared" si="279"/>
        <v>459.46480032306988</v>
      </c>
      <c r="O119" s="197">
        <f t="shared" si="280"/>
        <v>276.36980470560593</v>
      </c>
      <c r="P119" s="197">
        <f t="shared" si="281"/>
        <v>354.69404918958998</v>
      </c>
      <c r="Q119" s="197">
        <f t="shared" si="282"/>
        <v>104.77075113347992</v>
      </c>
      <c r="R119" s="199">
        <f t="shared" si="283"/>
        <v>381.14055583908589</v>
      </c>
      <c r="S119" s="196">
        <f t="shared" si="334"/>
        <v>2572.9447155639923</v>
      </c>
      <c r="T119" s="197">
        <f t="shared" si="284"/>
        <v>2117.6731764798024</v>
      </c>
      <c r="U119" s="197">
        <f t="shared" si="285"/>
        <v>4766.0004795033146</v>
      </c>
      <c r="V119" s="197">
        <f t="shared" si="286"/>
        <v>-2193.0557639393219</v>
      </c>
      <c r="W119" s="199">
        <f t="shared" si="287"/>
        <v>-75.382587459520209</v>
      </c>
      <c r="X119" s="197"/>
      <c r="Z119" s="204">
        <f t="shared" si="335"/>
        <v>7</v>
      </c>
      <c r="AA119" s="760">
        <f>'Energy NPV'!$D45</f>
        <v>12.54</v>
      </c>
      <c r="AB119" s="197">
        <f>'Energy margins'!$L$12</f>
        <v>43.75</v>
      </c>
      <c r="AC119" s="197">
        <f t="shared" si="336"/>
        <v>548.625</v>
      </c>
      <c r="AD119" s="197">
        <f>'Margins summary'!$S$14</f>
        <v>330</v>
      </c>
      <c r="AE119" s="197">
        <f t="shared" si="288"/>
        <v>878.625</v>
      </c>
      <c r="AF119" s="197"/>
      <c r="AG119" s="918">
        <f>'Energy NPV'!U45</f>
        <v>423.52324399999998</v>
      </c>
      <c r="AH119" s="197"/>
      <c r="AI119" s="197">
        <f t="shared" si="289"/>
        <v>635.28486599999997</v>
      </c>
      <c r="AJ119" s="197">
        <f t="shared" si="269"/>
        <v>-86.659865999999965</v>
      </c>
      <c r="AK119" s="197">
        <f t="shared" si="270"/>
        <v>243.34013400000003</v>
      </c>
      <c r="AL119" s="196">
        <f t="shared" si="290"/>
        <v>459.46480032306988</v>
      </c>
      <c r="AM119" s="197">
        <f t="shared" si="291"/>
        <v>276.36980470560593</v>
      </c>
      <c r="AN119" s="197">
        <f t="shared" si="292"/>
        <v>532.04107378438493</v>
      </c>
      <c r="AO119" s="197">
        <f t="shared" si="293"/>
        <v>-72.576273461315068</v>
      </c>
      <c r="AP119" s="199">
        <f t="shared" si="294"/>
        <v>203.7935312442909</v>
      </c>
      <c r="AQ119" s="196">
        <f t="shared" si="337"/>
        <v>2572.9447155639923</v>
      </c>
      <c r="AR119" s="197">
        <f t="shared" si="295"/>
        <v>2117.6731764798024</v>
      </c>
      <c r="AS119" s="197">
        <f t="shared" si="296"/>
        <v>7149.000719254972</v>
      </c>
      <c r="AT119" s="197">
        <f t="shared" si="297"/>
        <v>-4576.056003690981</v>
      </c>
      <c r="AU119" s="199">
        <f t="shared" si="298"/>
        <v>-2458.3828272111768</v>
      </c>
      <c r="AV119" s="197"/>
      <c r="AX119" s="204">
        <f t="shared" si="338"/>
        <v>7</v>
      </c>
      <c r="AY119" s="760">
        <f>'Energy NPV'!$D45</f>
        <v>12.54</v>
      </c>
      <c r="AZ119" s="197">
        <f>'Energy margins'!$L$12</f>
        <v>43.75</v>
      </c>
      <c r="BA119" s="197">
        <f t="shared" si="339"/>
        <v>548.625</v>
      </c>
      <c r="BB119" s="197">
        <f>'Margins summary'!$S$14</f>
        <v>330</v>
      </c>
      <c r="BC119" s="197">
        <f t="shared" si="299"/>
        <v>878.625</v>
      </c>
      <c r="BD119" s="197"/>
      <c r="BE119" s="918">
        <f>'Energy NPV'!U45</f>
        <v>423.52324399999998</v>
      </c>
      <c r="BF119" s="197"/>
      <c r="BG119" s="197">
        <f t="shared" si="300"/>
        <v>211.76162199999999</v>
      </c>
      <c r="BH119" s="197">
        <f t="shared" si="271"/>
        <v>336.86337800000001</v>
      </c>
      <c r="BI119" s="197">
        <f t="shared" si="272"/>
        <v>666.86337800000001</v>
      </c>
      <c r="BJ119" s="196">
        <f t="shared" si="301"/>
        <v>459.46480032306988</v>
      </c>
      <c r="BK119" s="197">
        <f t="shared" si="302"/>
        <v>276.36980470560593</v>
      </c>
      <c r="BL119" s="197">
        <f t="shared" si="303"/>
        <v>177.34702459479499</v>
      </c>
      <c r="BM119" s="197">
        <f t="shared" si="304"/>
        <v>282.11777572827492</v>
      </c>
      <c r="BN119" s="199">
        <f t="shared" si="305"/>
        <v>558.48758043388091</v>
      </c>
      <c r="BO119" s="196">
        <f t="shared" si="340"/>
        <v>2572.9447155639923</v>
      </c>
      <c r="BP119" s="197">
        <f t="shared" si="306"/>
        <v>2117.6731764798024</v>
      </c>
      <c r="BQ119" s="197">
        <f t="shared" si="307"/>
        <v>2383.0002397516573</v>
      </c>
      <c r="BR119" s="197">
        <f t="shared" si="308"/>
        <v>189.94447581233487</v>
      </c>
      <c r="BS119" s="199">
        <f t="shared" si="309"/>
        <v>2307.6176522921373</v>
      </c>
      <c r="BT119" s="197"/>
      <c r="BV119" s="204">
        <f t="shared" si="341"/>
        <v>7</v>
      </c>
      <c r="BW119" s="760">
        <f>'Energy NPV'!$D45</f>
        <v>12.54</v>
      </c>
      <c r="BX119" s="197">
        <f>'Energy margins'!$L$12</f>
        <v>43.75</v>
      </c>
      <c r="BY119" s="197">
        <f t="shared" si="342"/>
        <v>548.625</v>
      </c>
      <c r="BZ119" s="197">
        <f>'Margins summary'!$S$14</f>
        <v>330</v>
      </c>
      <c r="CA119" s="197">
        <f t="shared" si="310"/>
        <v>878.625</v>
      </c>
      <c r="CB119" s="197"/>
      <c r="CC119" s="918">
        <f>'Energy NPV'!U45</f>
        <v>423.52324399999998</v>
      </c>
      <c r="CD119" s="197"/>
      <c r="CE119" s="197">
        <f t="shared" si="311"/>
        <v>847.04648799999995</v>
      </c>
      <c r="CF119" s="197">
        <f t="shared" si="273"/>
        <v>-298.42148799999995</v>
      </c>
      <c r="CG119" s="197">
        <f t="shared" si="274"/>
        <v>31.578512000000046</v>
      </c>
      <c r="CH119" s="196">
        <f t="shared" si="312"/>
        <v>459.46480032306988</v>
      </c>
      <c r="CI119" s="197">
        <f t="shared" si="313"/>
        <v>276.36980470560593</v>
      </c>
      <c r="CJ119" s="197">
        <f t="shared" si="314"/>
        <v>709.38809837917995</v>
      </c>
      <c r="CK119" s="197">
        <f t="shared" si="315"/>
        <v>-249.92329805611007</v>
      </c>
      <c r="CL119" s="199">
        <f t="shared" si="316"/>
        <v>26.446506649495898</v>
      </c>
      <c r="CM119" s="196">
        <f t="shared" si="343"/>
        <v>2572.9447155639923</v>
      </c>
      <c r="CN119" s="197">
        <f t="shared" si="317"/>
        <v>2117.6731764798024</v>
      </c>
      <c r="CO119" s="197">
        <f t="shared" si="318"/>
        <v>9532.0009590066293</v>
      </c>
      <c r="CP119" s="197">
        <f t="shared" si="319"/>
        <v>-6959.0562434426365</v>
      </c>
      <c r="CQ119" s="199">
        <f t="shared" si="320"/>
        <v>-4841.3830669628351</v>
      </c>
      <c r="CR119" s="197"/>
      <c r="CT119" s="204">
        <f t="shared" si="344"/>
        <v>7</v>
      </c>
      <c r="CU119" s="760">
        <f>'Energy NPV'!$D45</f>
        <v>12.54</v>
      </c>
      <c r="CV119" s="197">
        <f>'Energy margins'!$L$12</f>
        <v>43.75</v>
      </c>
      <c r="CW119" s="197">
        <f t="shared" si="345"/>
        <v>548.625</v>
      </c>
      <c r="CX119" s="197">
        <f>'Margins summary'!$S$14</f>
        <v>330</v>
      </c>
      <c r="CY119" s="197">
        <f t="shared" si="321"/>
        <v>878.625</v>
      </c>
      <c r="CZ119" s="197"/>
      <c r="DA119" s="918">
        <f>'Energy NPV'!U45</f>
        <v>423.52324399999998</v>
      </c>
      <c r="DB119" s="197"/>
      <c r="DC119" s="197">
        <f t="shared" si="322"/>
        <v>0</v>
      </c>
      <c r="DD119" s="197">
        <f t="shared" si="275"/>
        <v>548.625</v>
      </c>
      <c r="DE119" s="197">
        <f t="shared" si="276"/>
        <v>878.625</v>
      </c>
      <c r="DF119" s="196">
        <f t="shared" si="323"/>
        <v>459.46480032306988</v>
      </c>
      <c r="DG119" s="197">
        <f t="shared" si="324"/>
        <v>276.36980470560593</v>
      </c>
      <c r="DH119" s="197">
        <f t="shared" si="325"/>
        <v>0</v>
      </c>
      <c r="DI119" s="197">
        <f t="shared" si="326"/>
        <v>459.46480032306988</v>
      </c>
      <c r="DJ119" s="199">
        <f t="shared" si="327"/>
        <v>735.83460502867581</v>
      </c>
      <c r="DK119" s="196">
        <f t="shared" si="346"/>
        <v>2572.9447155639923</v>
      </c>
      <c r="DL119" s="197">
        <f t="shared" si="328"/>
        <v>2117.6731764798024</v>
      </c>
      <c r="DM119" s="197">
        <f t="shared" si="329"/>
        <v>0</v>
      </c>
      <c r="DN119" s="197">
        <f t="shared" si="330"/>
        <v>2572.9447155639923</v>
      </c>
      <c r="DO119" s="199">
        <f t="shared" si="331"/>
        <v>4690.6178920437942</v>
      </c>
    </row>
    <row r="120" spans="2:119" x14ac:dyDescent="0.3">
      <c r="B120" s="204">
        <f t="shared" si="332"/>
        <v>8</v>
      </c>
      <c r="C120" s="760">
        <f>'Energy NPV'!$D46</f>
        <v>12.54</v>
      </c>
      <c r="D120" s="197">
        <f>'Energy margins'!$L$12</f>
        <v>43.75</v>
      </c>
      <c r="E120" s="197">
        <f t="shared" si="333"/>
        <v>548.625</v>
      </c>
      <c r="F120" s="197">
        <f>'Margins summary'!$S$14</f>
        <v>330</v>
      </c>
      <c r="G120" s="197">
        <f t="shared" si="277"/>
        <v>878.625</v>
      </c>
      <c r="H120" s="197"/>
      <c r="I120" s="918">
        <f>'Energy NPV'!U46</f>
        <v>423.52324399999998</v>
      </c>
      <c r="J120" s="197"/>
      <c r="K120" s="197">
        <f t="shared" si="278"/>
        <v>423.52324399999998</v>
      </c>
      <c r="L120" s="197">
        <f t="shared" si="267"/>
        <v>125.10175600000002</v>
      </c>
      <c r="M120" s="197">
        <f t="shared" si="268"/>
        <v>455.10175600000002</v>
      </c>
      <c r="N120" s="196">
        <f t="shared" si="279"/>
        <v>446.08233041074743</v>
      </c>
      <c r="O120" s="197">
        <f t="shared" si="280"/>
        <v>268.32019874330672</v>
      </c>
      <c r="P120" s="197">
        <f t="shared" si="281"/>
        <v>344.36315455299996</v>
      </c>
      <c r="Q120" s="197">
        <f t="shared" si="282"/>
        <v>101.71917585774749</v>
      </c>
      <c r="R120" s="199">
        <f t="shared" si="283"/>
        <v>370.03937460105425</v>
      </c>
      <c r="S120" s="196">
        <f t="shared" si="334"/>
        <v>3019.0270459747398</v>
      </c>
      <c r="T120" s="197">
        <f t="shared" si="284"/>
        <v>2385.9933752231091</v>
      </c>
      <c r="U120" s="197">
        <f t="shared" si="285"/>
        <v>5110.3636340563144</v>
      </c>
      <c r="V120" s="197">
        <f t="shared" si="286"/>
        <v>-2091.3365880815745</v>
      </c>
      <c r="W120" s="199">
        <f t="shared" si="287"/>
        <v>294.65678714153404</v>
      </c>
      <c r="X120" s="197"/>
      <c r="Z120" s="204">
        <f t="shared" si="335"/>
        <v>8</v>
      </c>
      <c r="AA120" s="760">
        <f>'Energy NPV'!$D46</f>
        <v>12.54</v>
      </c>
      <c r="AB120" s="197">
        <f>'Energy margins'!$L$12</f>
        <v>43.75</v>
      </c>
      <c r="AC120" s="197">
        <f t="shared" si="336"/>
        <v>548.625</v>
      </c>
      <c r="AD120" s="197">
        <f>'Margins summary'!$S$14</f>
        <v>330</v>
      </c>
      <c r="AE120" s="197">
        <f t="shared" si="288"/>
        <v>878.625</v>
      </c>
      <c r="AF120" s="197"/>
      <c r="AG120" s="918">
        <f>'Energy NPV'!U46</f>
        <v>423.52324399999998</v>
      </c>
      <c r="AH120" s="197"/>
      <c r="AI120" s="197">
        <f t="shared" si="289"/>
        <v>635.28486599999997</v>
      </c>
      <c r="AJ120" s="197">
        <f t="shared" si="269"/>
        <v>-86.659865999999965</v>
      </c>
      <c r="AK120" s="197">
        <f t="shared" si="270"/>
        <v>243.34013400000003</v>
      </c>
      <c r="AL120" s="196">
        <f t="shared" si="290"/>
        <v>446.08233041074743</v>
      </c>
      <c r="AM120" s="197">
        <f t="shared" si="291"/>
        <v>268.32019874330672</v>
      </c>
      <c r="AN120" s="197">
        <f t="shared" si="292"/>
        <v>516.54473182949994</v>
      </c>
      <c r="AO120" s="197">
        <f t="shared" si="293"/>
        <v>-70.462401418752492</v>
      </c>
      <c r="AP120" s="199">
        <f t="shared" si="294"/>
        <v>197.85779732455424</v>
      </c>
      <c r="AQ120" s="196">
        <f t="shared" si="337"/>
        <v>3019.0270459747398</v>
      </c>
      <c r="AR120" s="197">
        <f t="shared" si="295"/>
        <v>2385.9933752231091</v>
      </c>
      <c r="AS120" s="197">
        <f t="shared" si="296"/>
        <v>7665.545451084472</v>
      </c>
      <c r="AT120" s="197">
        <f t="shared" si="297"/>
        <v>-4646.5184051097331</v>
      </c>
      <c r="AU120" s="199">
        <f t="shared" si="298"/>
        <v>-2260.5250298866226</v>
      </c>
      <c r="AV120" s="197"/>
      <c r="AX120" s="204">
        <f t="shared" si="338"/>
        <v>8</v>
      </c>
      <c r="AY120" s="760">
        <f>'Energy NPV'!$D46</f>
        <v>12.54</v>
      </c>
      <c r="AZ120" s="197">
        <f>'Energy margins'!$L$12</f>
        <v>43.75</v>
      </c>
      <c r="BA120" s="197">
        <f t="shared" si="339"/>
        <v>548.625</v>
      </c>
      <c r="BB120" s="197">
        <f>'Margins summary'!$S$14</f>
        <v>330</v>
      </c>
      <c r="BC120" s="197">
        <f t="shared" si="299"/>
        <v>878.625</v>
      </c>
      <c r="BD120" s="197"/>
      <c r="BE120" s="918">
        <f>'Energy NPV'!U46</f>
        <v>423.52324399999998</v>
      </c>
      <c r="BF120" s="197"/>
      <c r="BG120" s="197">
        <f t="shared" si="300"/>
        <v>211.76162199999999</v>
      </c>
      <c r="BH120" s="197">
        <f t="shared" si="271"/>
        <v>336.86337800000001</v>
      </c>
      <c r="BI120" s="197">
        <f t="shared" si="272"/>
        <v>666.86337800000001</v>
      </c>
      <c r="BJ120" s="196">
        <f t="shared" si="301"/>
        <v>446.08233041074743</v>
      </c>
      <c r="BK120" s="197">
        <f t="shared" si="302"/>
        <v>268.32019874330672</v>
      </c>
      <c r="BL120" s="197">
        <f t="shared" si="303"/>
        <v>172.18157727649998</v>
      </c>
      <c r="BM120" s="197">
        <f t="shared" si="304"/>
        <v>273.90075313424745</v>
      </c>
      <c r="BN120" s="199">
        <f t="shared" si="305"/>
        <v>542.22095187755417</v>
      </c>
      <c r="BO120" s="196">
        <f t="shared" si="340"/>
        <v>3019.0270459747398</v>
      </c>
      <c r="BP120" s="197">
        <f t="shared" si="306"/>
        <v>2385.9933752231091</v>
      </c>
      <c r="BQ120" s="197">
        <f t="shared" si="307"/>
        <v>2555.1818170281572</v>
      </c>
      <c r="BR120" s="197">
        <f t="shared" si="308"/>
        <v>463.84522894658232</v>
      </c>
      <c r="BS120" s="199">
        <f t="shared" si="309"/>
        <v>2849.8386041696913</v>
      </c>
      <c r="BT120" s="197"/>
      <c r="BV120" s="204">
        <f t="shared" si="341"/>
        <v>8</v>
      </c>
      <c r="BW120" s="760">
        <f>'Energy NPV'!$D46</f>
        <v>12.54</v>
      </c>
      <c r="BX120" s="197">
        <f>'Energy margins'!$L$12</f>
        <v>43.75</v>
      </c>
      <c r="BY120" s="197">
        <f t="shared" si="342"/>
        <v>548.625</v>
      </c>
      <c r="BZ120" s="197">
        <f>'Margins summary'!$S$14</f>
        <v>330</v>
      </c>
      <c r="CA120" s="197">
        <f t="shared" si="310"/>
        <v>878.625</v>
      </c>
      <c r="CB120" s="197"/>
      <c r="CC120" s="918">
        <f>'Energy NPV'!U46</f>
        <v>423.52324399999998</v>
      </c>
      <c r="CD120" s="197"/>
      <c r="CE120" s="197">
        <f t="shared" si="311"/>
        <v>847.04648799999995</v>
      </c>
      <c r="CF120" s="197">
        <f t="shared" si="273"/>
        <v>-298.42148799999995</v>
      </c>
      <c r="CG120" s="197">
        <f t="shared" si="274"/>
        <v>31.578512000000046</v>
      </c>
      <c r="CH120" s="196">
        <f t="shared" si="312"/>
        <v>446.08233041074743</v>
      </c>
      <c r="CI120" s="197">
        <f t="shared" si="313"/>
        <v>268.32019874330672</v>
      </c>
      <c r="CJ120" s="197">
        <f t="shared" si="314"/>
        <v>688.72630910599992</v>
      </c>
      <c r="CK120" s="197">
        <f t="shared" si="315"/>
        <v>-242.64397869525246</v>
      </c>
      <c r="CL120" s="199">
        <f t="shared" si="316"/>
        <v>25.676220048054269</v>
      </c>
      <c r="CM120" s="196">
        <f t="shared" si="343"/>
        <v>3019.0270459747398</v>
      </c>
      <c r="CN120" s="197">
        <f t="shared" si="317"/>
        <v>2385.9933752231091</v>
      </c>
      <c r="CO120" s="197">
        <f t="shared" si="318"/>
        <v>10220.727268112629</v>
      </c>
      <c r="CP120" s="197">
        <f t="shared" si="319"/>
        <v>-7201.7002221378889</v>
      </c>
      <c r="CQ120" s="199">
        <f t="shared" si="320"/>
        <v>-4815.7068469147807</v>
      </c>
      <c r="CR120" s="197"/>
      <c r="CT120" s="204">
        <f t="shared" si="344"/>
        <v>8</v>
      </c>
      <c r="CU120" s="760">
        <f>'Energy NPV'!$D46</f>
        <v>12.54</v>
      </c>
      <c r="CV120" s="197">
        <f>'Energy margins'!$L$12</f>
        <v>43.75</v>
      </c>
      <c r="CW120" s="197">
        <f t="shared" si="345"/>
        <v>548.625</v>
      </c>
      <c r="CX120" s="197">
        <f>'Margins summary'!$S$14</f>
        <v>330</v>
      </c>
      <c r="CY120" s="197">
        <f t="shared" si="321"/>
        <v>878.625</v>
      </c>
      <c r="CZ120" s="197"/>
      <c r="DA120" s="918">
        <f>'Energy NPV'!U46</f>
        <v>423.52324399999998</v>
      </c>
      <c r="DB120" s="197"/>
      <c r="DC120" s="197">
        <f t="shared" si="322"/>
        <v>0</v>
      </c>
      <c r="DD120" s="197">
        <f t="shared" si="275"/>
        <v>548.625</v>
      </c>
      <c r="DE120" s="197">
        <f t="shared" si="276"/>
        <v>878.625</v>
      </c>
      <c r="DF120" s="196">
        <f t="shared" si="323"/>
        <v>446.08233041074743</v>
      </c>
      <c r="DG120" s="197">
        <f t="shared" si="324"/>
        <v>268.32019874330672</v>
      </c>
      <c r="DH120" s="197">
        <f t="shared" si="325"/>
        <v>0</v>
      </c>
      <c r="DI120" s="197">
        <f t="shared" si="326"/>
        <v>446.08233041074743</v>
      </c>
      <c r="DJ120" s="199">
        <f t="shared" si="327"/>
        <v>714.40252915405415</v>
      </c>
      <c r="DK120" s="196">
        <f t="shared" si="346"/>
        <v>3019.0270459747398</v>
      </c>
      <c r="DL120" s="197">
        <f t="shared" si="328"/>
        <v>2385.9933752231091</v>
      </c>
      <c r="DM120" s="197">
        <f t="shared" si="329"/>
        <v>0</v>
      </c>
      <c r="DN120" s="197">
        <f t="shared" si="330"/>
        <v>3019.0270459747398</v>
      </c>
      <c r="DO120" s="199">
        <f t="shared" si="331"/>
        <v>5405.020421197848</v>
      </c>
    </row>
    <row r="121" spans="2:119" x14ac:dyDescent="0.3">
      <c r="B121" s="204">
        <f t="shared" si="332"/>
        <v>9</v>
      </c>
      <c r="C121" s="760">
        <f>'Energy NPV'!$D47</f>
        <v>12.54</v>
      </c>
      <c r="D121" s="197">
        <f>'Energy margins'!$L$12</f>
        <v>43.75</v>
      </c>
      <c r="E121" s="197">
        <f t="shared" si="333"/>
        <v>548.625</v>
      </c>
      <c r="F121" s="197">
        <f>'Margins summary'!$S$14</f>
        <v>330</v>
      </c>
      <c r="G121" s="197">
        <f t="shared" si="277"/>
        <v>878.625</v>
      </c>
      <c r="H121" s="197"/>
      <c r="I121" s="918">
        <f>'Energy NPV'!U47</f>
        <v>423.52324399999998</v>
      </c>
      <c r="J121" s="197"/>
      <c r="K121" s="197">
        <f t="shared" si="278"/>
        <v>423.52324399999998</v>
      </c>
      <c r="L121" s="197">
        <f t="shared" si="267"/>
        <v>125.10175600000002</v>
      </c>
      <c r="M121" s="197">
        <f t="shared" si="268"/>
        <v>455.10175600000002</v>
      </c>
      <c r="N121" s="196">
        <f t="shared" si="279"/>
        <v>433.089641175483</v>
      </c>
      <c r="O121" s="197">
        <f t="shared" si="280"/>
        <v>260.50504732359883</v>
      </c>
      <c r="P121" s="197">
        <f t="shared" si="281"/>
        <v>334.33315976019418</v>
      </c>
      <c r="Q121" s="197">
        <f t="shared" si="282"/>
        <v>98.756481415288846</v>
      </c>
      <c r="R121" s="199">
        <f t="shared" si="283"/>
        <v>359.26152873888765</v>
      </c>
      <c r="S121" s="196">
        <f t="shared" si="334"/>
        <v>3452.1166871502228</v>
      </c>
      <c r="T121" s="197">
        <f t="shared" si="284"/>
        <v>2646.4984225467078</v>
      </c>
      <c r="U121" s="197">
        <f t="shared" si="285"/>
        <v>5444.6967938165089</v>
      </c>
      <c r="V121" s="197">
        <f t="shared" si="286"/>
        <v>-1992.5801066662857</v>
      </c>
      <c r="W121" s="199">
        <f t="shared" si="287"/>
        <v>653.91831588042169</v>
      </c>
      <c r="X121" s="197"/>
      <c r="Z121" s="204">
        <f t="shared" si="335"/>
        <v>9</v>
      </c>
      <c r="AA121" s="760">
        <f>'Energy NPV'!$D47</f>
        <v>12.54</v>
      </c>
      <c r="AB121" s="197">
        <f>'Energy margins'!$L$12</f>
        <v>43.75</v>
      </c>
      <c r="AC121" s="197">
        <f t="shared" si="336"/>
        <v>548.625</v>
      </c>
      <c r="AD121" s="197">
        <f>'Margins summary'!$S$14</f>
        <v>330</v>
      </c>
      <c r="AE121" s="197">
        <f t="shared" si="288"/>
        <v>878.625</v>
      </c>
      <c r="AF121" s="197"/>
      <c r="AG121" s="918">
        <f>'Energy NPV'!U47</f>
        <v>423.52324399999998</v>
      </c>
      <c r="AH121" s="197"/>
      <c r="AI121" s="197">
        <f t="shared" si="289"/>
        <v>635.28486599999997</v>
      </c>
      <c r="AJ121" s="197">
        <f t="shared" si="269"/>
        <v>-86.659865999999965</v>
      </c>
      <c r="AK121" s="197">
        <f t="shared" si="270"/>
        <v>243.34013400000003</v>
      </c>
      <c r="AL121" s="196">
        <f t="shared" si="290"/>
        <v>433.089641175483</v>
      </c>
      <c r="AM121" s="197">
        <f t="shared" si="291"/>
        <v>260.50504732359883</v>
      </c>
      <c r="AN121" s="197">
        <f t="shared" si="292"/>
        <v>501.49973964029124</v>
      </c>
      <c r="AO121" s="197">
        <f t="shared" si="293"/>
        <v>-68.410098464808243</v>
      </c>
      <c r="AP121" s="199">
        <f t="shared" si="294"/>
        <v>192.09494885879056</v>
      </c>
      <c r="AQ121" s="196">
        <f t="shared" si="337"/>
        <v>3452.1166871502228</v>
      </c>
      <c r="AR121" s="197">
        <f t="shared" si="295"/>
        <v>2646.4984225467078</v>
      </c>
      <c r="AS121" s="197">
        <f t="shared" si="296"/>
        <v>8167.0451907247634</v>
      </c>
      <c r="AT121" s="197">
        <f t="shared" si="297"/>
        <v>-4714.9285035745415</v>
      </c>
      <c r="AU121" s="199">
        <f t="shared" si="298"/>
        <v>-2068.4300810278319</v>
      </c>
      <c r="AV121" s="197"/>
      <c r="AX121" s="204">
        <f t="shared" si="338"/>
        <v>9</v>
      </c>
      <c r="AY121" s="760">
        <f>'Energy NPV'!$D47</f>
        <v>12.54</v>
      </c>
      <c r="AZ121" s="197">
        <f>'Energy margins'!$L$12</f>
        <v>43.75</v>
      </c>
      <c r="BA121" s="197">
        <f t="shared" si="339"/>
        <v>548.625</v>
      </c>
      <c r="BB121" s="197">
        <f>'Margins summary'!$S$14</f>
        <v>330</v>
      </c>
      <c r="BC121" s="197">
        <f t="shared" si="299"/>
        <v>878.625</v>
      </c>
      <c r="BD121" s="197"/>
      <c r="BE121" s="918">
        <f>'Energy NPV'!U47</f>
        <v>423.52324399999998</v>
      </c>
      <c r="BF121" s="197"/>
      <c r="BG121" s="197">
        <f t="shared" si="300"/>
        <v>211.76162199999999</v>
      </c>
      <c r="BH121" s="197">
        <f t="shared" si="271"/>
        <v>336.86337800000001</v>
      </c>
      <c r="BI121" s="197">
        <f t="shared" si="272"/>
        <v>666.86337800000001</v>
      </c>
      <c r="BJ121" s="196">
        <f t="shared" si="301"/>
        <v>433.089641175483</v>
      </c>
      <c r="BK121" s="197">
        <f t="shared" si="302"/>
        <v>260.50504732359883</v>
      </c>
      <c r="BL121" s="197">
        <f t="shared" si="303"/>
        <v>167.16657988009709</v>
      </c>
      <c r="BM121" s="197">
        <f t="shared" si="304"/>
        <v>265.92306129538593</v>
      </c>
      <c r="BN121" s="199">
        <f t="shared" si="305"/>
        <v>526.42810861898477</v>
      </c>
      <c r="BO121" s="196">
        <f t="shared" si="340"/>
        <v>3452.1166871502228</v>
      </c>
      <c r="BP121" s="197">
        <f t="shared" si="306"/>
        <v>2646.4984225467078</v>
      </c>
      <c r="BQ121" s="197">
        <f t="shared" si="307"/>
        <v>2722.3483969082545</v>
      </c>
      <c r="BR121" s="197">
        <f t="shared" si="308"/>
        <v>729.76829024196832</v>
      </c>
      <c r="BS121" s="199">
        <f t="shared" si="309"/>
        <v>3376.2667127886762</v>
      </c>
      <c r="BT121" s="197"/>
      <c r="BV121" s="204">
        <f t="shared" si="341"/>
        <v>9</v>
      </c>
      <c r="BW121" s="760">
        <f>'Energy NPV'!$D47</f>
        <v>12.54</v>
      </c>
      <c r="BX121" s="197">
        <f>'Energy margins'!$L$12</f>
        <v>43.75</v>
      </c>
      <c r="BY121" s="197">
        <f t="shared" si="342"/>
        <v>548.625</v>
      </c>
      <c r="BZ121" s="197">
        <f>'Margins summary'!$S$14</f>
        <v>330</v>
      </c>
      <c r="CA121" s="197">
        <f t="shared" si="310"/>
        <v>878.625</v>
      </c>
      <c r="CB121" s="197"/>
      <c r="CC121" s="918">
        <f>'Energy NPV'!U47</f>
        <v>423.52324399999998</v>
      </c>
      <c r="CD121" s="197"/>
      <c r="CE121" s="197">
        <f t="shared" si="311"/>
        <v>847.04648799999995</v>
      </c>
      <c r="CF121" s="197">
        <f t="shared" si="273"/>
        <v>-298.42148799999995</v>
      </c>
      <c r="CG121" s="197">
        <f t="shared" si="274"/>
        <v>31.578512000000046</v>
      </c>
      <c r="CH121" s="196">
        <f t="shared" si="312"/>
        <v>433.089641175483</v>
      </c>
      <c r="CI121" s="197">
        <f t="shared" si="313"/>
        <v>260.50504732359883</v>
      </c>
      <c r="CJ121" s="197">
        <f t="shared" si="314"/>
        <v>668.66631952038836</v>
      </c>
      <c r="CK121" s="197">
        <f t="shared" si="315"/>
        <v>-235.57667834490533</v>
      </c>
      <c r="CL121" s="199">
        <f t="shared" si="316"/>
        <v>24.92836897869347</v>
      </c>
      <c r="CM121" s="196">
        <f t="shared" si="343"/>
        <v>3452.1166871502228</v>
      </c>
      <c r="CN121" s="197">
        <f t="shared" si="317"/>
        <v>2646.4984225467078</v>
      </c>
      <c r="CO121" s="197">
        <f t="shared" si="318"/>
        <v>10889.393587633018</v>
      </c>
      <c r="CP121" s="197">
        <f t="shared" si="319"/>
        <v>-7437.2769004827942</v>
      </c>
      <c r="CQ121" s="199">
        <f t="shared" si="320"/>
        <v>-4790.7784779360873</v>
      </c>
      <c r="CR121" s="197"/>
      <c r="CT121" s="204">
        <f t="shared" si="344"/>
        <v>9</v>
      </c>
      <c r="CU121" s="760">
        <f>'Energy NPV'!$D47</f>
        <v>12.54</v>
      </c>
      <c r="CV121" s="197">
        <f>'Energy margins'!$L$12</f>
        <v>43.75</v>
      </c>
      <c r="CW121" s="197">
        <f t="shared" si="345"/>
        <v>548.625</v>
      </c>
      <c r="CX121" s="197">
        <f>'Margins summary'!$S$14</f>
        <v>330</v>
      </c>
      <c r="CY121" s="197">
        <f t="shared" si="321"/>
        <v>878.625</v>
      </c>
      <c r="CZ121" s="197"/>
      <c r="DA121" s="918">
        <f>'Energy NPV'!U47</f>
        <v>423.52324399999998</v>
      </c>
      <c r="DB121" s="197"/>
      <c r="DC121" s="197">
        <f t="shared" si="322"/>
        <v>0</v>
      </c>
      <c r="DD121" s="197">
        <f t="shared" si="275"/>
        <v>548.625</v>
      </c>
      <c r="DE121" s="197">
        <f t="shared" si="276"/>
        <v>878.625</v>
      </c>
      <c r="DF121" s="196">
        <f t="shared" si="323"/>
        <v>433.089641175483</v>
      </c>
      <c r="DG121" s="197">
        <f t="shared" si="324"/>
        <v>260.50504732359883</v>
      </c>
      <c r="DH121" s="197">
        <f t="shared" si="325"/>
        <v>0</v>
      </c>
      <c r="DI121" s="197">
        <f t="shared" si="326"/>
        <v>433.089641175483</v>
      </c>
      <c r="DJ121" s="199">
        <f t="shared" si="327"/>
        <v>693.59468849908183</v>
      </c>
      <c r="DK121" s="196">
        <f t="shared" si="346"/>
        <v>3452.1166871502228</v>
      </c>
      <c r="DL121" s="197">
        <f t="shared" si="328"/>
        <v>2646.4984225467078</v>
      </c>
      <c r="DM121" s="197">
        <f t="shared" si="329"/>
        <v>0</v>
      </c>
      <c r="DN121" s="197">
        <f t="shared" si="330"/>
        <v>3452.1166871502228</v>
      </c>
      <c r="DO121" s="199">
        <f t="shared" si="331"/>
        <v>6098.6151096969297</v>
      </c>
    </row>
    <row r="122" spans="2:119" x14ac:dyDescent="0.3">
      <c r="B122" s="204">
        <f t="shared" si="332"/>
        <v>10</v>
      </c>
      <c r="C122" s="760">
        <f>'Energy NPV'!$D48</f>
        <v>12.54</v>
      </c>
      <c r="D122" s="197">
        <f>'Energy margins'!$L$12</f>
        <v>43.75</v>
      </c>
      <c r="E122" s="197">
        <f t="shared" si="333"/>
        <v>548.625</v>
      </c>
      <c r="F122" s="197">
        <f>'Margins summary'!$S$14</f>
        <v>330</v>
      </c>
      <c r="G122" s="197">
        <f t="shared" si="277"/>
        <v>878.625</v>
      </c>
      <c r="H122" s="197"/>
      <c r="I122" s="918">
        <f>'Energy NPV'!U48</f>
        <v>423.52324399999998</v>
      </c>
      <c r="J122" s="197"/>
      <c r="K122" s="197">
        <f t="shared" si="278"/>
        <v>423.52324399999998</v>
      </c>
      <c r="L122" s="197">
        <f t="shared" si="267"/>
        <v>125.10175600000002</v>
      </c>
      <c r="M122" s="197">
        <f t="shared" si="268"/>
        <v>455.10175600000002</v>
      </c>
      <c r="N122" s="196">
        <f t="shared" si="279"/>
        <v>420.47537978202234</v>
      </c>
      <c r="O122" s="197">
        <f t="shared" si="280"/>
        <v>252.91752167339689</v>
      </c>
      <c r="P122" s="197">
        <f t="shared" si="281"/>
        <v>324.59530073805257</v>
      </c>
      <c r="Q122" s="197">
        <f t="shared" si="282"/>
        <v>95.880079043969744</v>
      </c>
      <c r="R122" s="199">
        <f t="shared" si="283"/>
        <v>348.79760071736661</v>
      </c>
      <c r="S122" s="196">
        <f t="shared" si="334"/>
        <v>3872.592066932245</v>
      </c>
      <c r="T122" s="197">
        <f t="shared" si="284"/>
        <v>2899.4159442201048</v>
      </c>
      <c r="U122" s="197">
        <f t="shared" si="285"/>
        <v>5769.2920945545611</v>
      </c>
      <c r="V122" s="197">
        <f t="shared" si="286"/>
        <v>-1896.7000276223159</v>
      </c>
      <c r="W122" s="199">
        <f t="shared" si="287"/>
        <v>1002.7159165977882</v>
      </c>
      <c r="X122" s="197"/>
      <c r="Z122" s="204">
        <f t="shared" si="335"/>
        <v>10</v>
      </c>
      <c r="AA122" s="760">
        <f>'Energy NPV'!$D48</f>
        <v>12.54</v>
      </c>
      <c r="AB122" s="197">
        <f>'Energy margins'!$L$12</f>
        <v>43.75</v>
      </c>
      <c r="AC122" s="197">
        <f t="shared" si="336"/>
        <v>548.625</v>
      </c>
      <c r="AD122" s="197">
        <f>'Margins summary'!$S$14</f>
        <v>330</v>
      </c>
      <c r="AE122" s="197">
        <f t="shared" si="288"/>
        <v>878.625</v>
      </c>
      <c r="AF122" s="197"/>
      <c r="AG122" s="918">
        <f>'Energy NPV'!U48</f>
        <v>423.52324399999998</v>
      </c>
      <c r="AH122" s="197"/>
      <c r="AI122" s="197">
        <f t="shared" si="289"/>
        <v>635.28486599999997</v>
      </c>
      <c r="AJ122" s="197">
        <f t="shared" si="269"/>
        <v>-86.659865999999965</v>
      </c>
      <c r="AK122" s="197">
        <f t="shared" si="270"/>
        <v>243.34013400000003</v>
      </c>
      <c r="AL122" s="196">
        <f t="shared" si="290"/>
        <v>420.47537978202234</v>
      </c>
      <c r="AM122" s="197">
        <f t="shared" si="291"/>
        <v>252.91752167339689</v>
      </c>
      <c r="AN122" s="197">
        <f t="shared" si="292"/>
        <v>486.89295110707889</v>
      </c>
      <c r="AO122" s="197">
        <f t="shared" si="293"/>
        <v>-66.417571325056556</v>
      </c>
      <c r="AP122" s="199">
        <f t="shared" si="294"/>
        <v>186.49995034834035</v>
      </c>
      <c r="AQ122" s="196">
        <f t="shared" si="337"/>
        <v>3872.592066932245</v>
      </c>
      <c r="AR122" s="197">
        <f t="shared" si="295"/>
        <v>2899.4159442201048</v>
      </c>
      <c r="AS122" s="197">
        <f t="shared" si="296"/>
        <v>8653.9381418318426</v>
      </c>
      <c r="AT122" s="197">
        <f t="shared" si="297"/>
        <v>-4781.3460748995985</v>
      </c>
      <c r="AU122" s="199">
        <f t="shared" si="298"/>
        <v>-1881.9301306794914</v>
      </c>
      <c r="AV122" s="197"/>
      <c r="AX122" s="204">
        <f t="shared" si="338"/>
        <v>10</v>
      </c>
      <c r="AY122" s="760">
        <f>'Energy NPV'!$D48</f>
        <v>12.54</v>
      </c>
      <c r="AZ122" s="197">
        <f>'Energy margins'!$L$12</f>
        <v>43.75</v>
      </c>
      <c r="BA122" s="197">
        <f t="shared" si="339"/>
        <v>548.625</v>
      </c>
      <c r="BB122" s="197">
        <f>'Margins summary'!$S$14</f>
        <v>330</v>
      </c>
      <c r="BC122" s="197">
        <f t="shared" si="299"/>
        <v>878.625</v>
      </c>
      <c r="BD122" s="197"/>
      <c r="BE122" s="918">
        <f>'Energy NPV'!U48</f>
        <v>423.52324399999998</v>
      </c>
      <c r="BF122" s="197"/>
      <c r="BG122" s="197">
        <f t="shared" si="300"/>
        <v>211.76162199999999</v>
      </c>
      <c r="BH122" s="197">
        <f t="shared" si="271"/>
        <v>336.86337800000001</v>
      </c>
      <c r="BI122" s="197">
        <f t="shared" si="272"/>
        <v>666.86337800000001</v>
      </c>
      <c r="BJ122" s="196">
        <f t="shared" si="301"/>
        <v>420.47537978202234</v>
      </c>
      <c r="BK122" s="197">
        <f t="shared" si="302"/>
        <v>252.91752167339689</v>
      </c>
      <c r="BL122" s="197">
        <f t="shared" si="303"/>
        <v>162.29765036902629</v>
      </c>
      <c r="BM122" s="197">
        <f t="shared" si="304"/>
        <v>258.17772941299603</v>
      </c>
      <c r="BN122" s="199">
        <f t="shared" si="305"/>
        <v>511.09525108639292</v>
      </c>
      <c r="BO122" s="196">
        <f t="shared" si="340"/>
        <v>3872.592066932245</v>
      </c>
      <c r="BP122" s="197">
        <f t="shared" si="306"/>
        <v>2899.4159442201048</v>
      </c>
      <c r="BQ122" s="197">
        <f t="shared" si="307"/>
        <v>2884.6460472772806</v>
      </c>
      <c r="BR122" s="197">
        <f t="shared" si="308"/>
        <v>987.9460196549644</v>
      </c>
      <c r="BS122" s="199">
        <f t="shared" si="309"/>
        <v>3887.3619638750693</v>
      </c>
      <c r="BT122" s="197"/>
      <c r="BV122" s="204">
        <f t="shared" si="341"/>
        <v>10</v>
      </c>
      <c r="BW122" s="760">
        <f>'Energy NPV'!$D48</f>
        <v>12.54</v>
      </c>
      <c r="BX122" s="197">
        <f>'Energy margins'!$L$12</f>
        <v>43.75</v>
      </c>
      <c r="BY122" s="197">
        <f t="shared" si="342"/>
        <v>548.625</v>
      </c>
      <c r="BZ122" s="197">
        <f>'Margins summary'!$S$14</f>
        <v>330</v>
      </c>
      <c r="CA122" s="197">
        <f t="shared" si="310"/>
        <v>878.625</v>
      </c>
      <c r="CB122" s="197"/>
      <c r="CC122" s="918">
        <f>'Energy NPV'!U48</f>
        <v>423.52324399999998</v>
      </c>
      <c r="CD122" s="197"/>
      <c r="CE122" s="197">
        <f t="shared" si="311"/>
        <v>847.04648799999995</v>
      </c>
      <c r="CF122" s="197">
        <f t="shared" si="273"/>
        <v>-298.42148799999995</v>
      </c>
      <c r="CG122" s="197">
        <f t="shared" si="274"/>
        <v>31.578512000000046</v>
      </c>
      <c r="CH122" s="196">
        <f t="shared" si="312"/>
        <v>420.47537978202234</v>
      </c>
      <c r="CI122" s="197">
        <f t="shared" si="313"/>
        <v>252.91752167339689</v>
      </c>
      <c r="CJ122" s="197">
        <f t="shared" si="314"/>
        <v>649.19060147610514</v>
      </c>
      <c r="CK122" s="197">
        <f t="shared" si="315"/>
        <v>-228.71522169408286</v>
      </c>
      <c r="CL122" s="199">
        <f t="shared" si="316"/>
        <v>24.202299979314049</v>
      </c>
      <c r="CM122" s="196">
        <f t="shared" si="343"/>
        <v>3872.592066932245</v>
      </c>
      <c r="CN122" s="197">
        <f t="shared" si="317"/>
        <v>2899.4159442201048</v>
      </c>
      <c r="CO122" s="197">
        <f t="shared" si="318"/>
        <v>11538.584189109122</v>
      </c>
      <c r="CP122" s="197">
        <f t="shared" si="319"/>
        <v>-7665.9921221768773</v>
      </c>
      <c r="CQ122" s="199">
        <f t="shared" si="320"/>
        <v>-4766.5761779567729</v>
      </c>
      <c r="CR122" s="197"/>
      <c r="CT122" s="204">
        <f t="shared" si="344"/>
        <v>10</v>
      </c>
      <c r="CU122" s="760">
        <f>'Energy NPV'!$D48</f>
        <v>12.54</v>
      </c>
      <c r="CV122" s="197">
        <f>'Energy margins'!$L$12</f>
        <v>43.75</v>
      </c>
      <c r="CW122" s="197">
        <f t="shared" si="345"/>
        <v>548.625</v>
      </c>
      <c r="CX122" s="197">
        <f>'Margins summary'!$S$14</f>
        <v>330</v>
      </c>
      <c r="CY122" s="197">
        <f t="shared" si="321"/>
        <v>878.625</v>
      </c>
      <c r="CZ122" s="197"/>
      <c r="DA122" s="918">
        <f>'Energy NPV'!U48</f>
        <v>423.52324399999998</v>
      </c>
      <c r="DB122" s="197"/>
      <c r="DC122" s="197">
        <f t="shared" si="322"/>
        <v>0</v>
      </c>
      <c r="DD122" s="197">
        <f t="shared" si="275"/>
        <v>548.625</v>
      </c>
      <c r="DE122" s="197">
        <f t="shared" si="276"/>
        <v>878.625</v>
      </c>
      <c r="DF122" s="196">
        <f t="shared" si="323"/>
        <v>420.47537978202234</v>
      </c>
      <c r="DG122" s="197">
        <f t="shared" si="324"/>
        <v>252.91752167339689</v>
      </c>
      <c r="DH122" s="197">
        <f t="shared" si="325"/>
        <v>0</v>
      </c>
      <c r="DI122" s="197">
        <f t="shared" si="326"/>
        <v>420.47537978202234</v>
      </c>
      <c r="DJ122" s="199">
        <f t="shared" si="327"/>
        <v>673.39290145541918</v>
      </c>
      <c r="DK122" s="196">
        <f t="shared" si="346"/>
        <v>3872.592066932245</v>
      </c>
      <c r="DL122" s="197">
        <f t="shared" si="328"/>
        <v>2899.4159442201048</v>
      </c>
      <c r="DM122" s="197">
        <f t="shared" si="329"/>
        <v>0</v>
      </c>
      <c r="DN122" s="197">
        <f t="shared" si="330"/>
        <v>3872.592066932245</v>
      </c>
      <c r="DO122" s="199">
        <f t="shared" si="331"/>
        <v>6772.0080111523494</v>
      </c>
    </row>
    <row r="123" spans="2:119" x14ac:dyDescent="0.3">
      <c r="B123" s="204">
        <f t="shared" si="332"/>
        <v>11</v>
      </c>
      <c r="C123" s="760">
        <f>'Energy NPV'!$D49</f>
        <v>12.54</v>
      </c>
      <c r="D123" s="197">
        <f>'Energy margins'!$L$12</f>
        <v>43.75</v>
      </c>
      <c r="E123" s="197">
        <f t="shared" si="333"/>
        <v>548.625</v>
      </c>
      <c r="F123" s="197">
        <f>'Margins summary'!$S$14</f>
        <v>330</v>
      </c>
      <c r="G123" s="197">
        <f t="shared" si="277"/>
        <v>878.625</v>
      </c>
      <c r="H123" s="197"/>
      <c r="I123" s="918">
        <f>'Energy NPV'!U49</f>
        <v>423.52324399999998</v>
      </c>
      <c r="J123" s="197"/>
      <c r="K123" s="197">
        <f t="shared" si="278"/>
        <v>423.52324399999998</v>
      </c>
      <c r="L123" s="197">
        <f t="shared" si="267"/>
        <v>125.10175600000002</v>
      </c>
      <c r="M123" s="197">
        <f t="shared" si="268"/>
        <v>455.10175600000002</v>
      </c>
      <c r="N123" s="196">
        <f t="shared" si="279"/>
        <v>408.22852406021588</v>
      </c>
      <c r="O123" s="197">
        <f t="shared" si="280"/>
        <v>245.55099191591933</v>
      </c>
      <c r="P123" s="197">
        <f t="shared" si="281"/>
        <v>315.14106867772097</v>
      </c>
      <c r="Q123" s="197">
        <f t="shared" si="282"/>
        <v>93.087455382494895</v>
      </c>
      <c r="R123" s="199">
        <f t="shared" si="283"/>
        <v>338.63844729841423</v>
      </c>
      <c r="S123" s="196">
        <f t="shared" si="334"/>
        <v>4280.8205909924609</v>
      </c>
      <c r="T123" s="197">
        <f t="shared" si="284"/>
        <v>3144.9669361360243</v>
      </c>
      <c r="U123" s="197">
        <f t="shared" si="285"/>
        <v>6084.4331632322819</v>
      </c>
      <c r="V123" s="197">
        <f t="shared" si="286"/>
        <v>-1803.612572239821</v>
      </c>
      <c r="W123" s="199">
        <f t="shared" si="287"/>
        <v>1341.3543638962024</v>
      </c>
      <c r="X123" s="197"/>
      <c r="Z123" s="204">
        <f t="shared" si="335"/>
        <v>11</v>
      </c>
      <c r="AA123" s="760">
        <f>'Energy NPV'!$D49</f>
        <v>12.54</v>
      </c>
      <c r="AB123" s="197">
        <f>'Energy margins'!$L$12</f>
        <v>43.75</v>
      </c>
      <c r="AC123" s="197">
        <f t="shared" si="336"/>
        <v>548.625</v>
      </c>
      <c r="AD123" s="197">
        <f>'Margins summary'!$S$14</f>
        <v>330</v>
      </c>
      <c r="AE123" s="197">
        <f t="shared" si="288"/>
        <v>878.625</v>
      </c>
      <c r="AF123" s="197"/>
      <c r="AG123" s="918">
        <f>'Energy NPV'!U49</f>
        <v>423.52324399999998</v>
      </c>
      <c r="AH123" s="197"/>
      <c r="AI123" s="197">
        <f t="shared" si="289"/>
        <v>635.28486599999997</v>
      </c>
      <c r="AJ123" s="197">
        <f t="shared" si="269"/>
        <v>-86.659865999999965</v>
      </c>
      <c r="AK123" s="197">
        <f t="shared" si="270"/>
        <v>243.34013400000003</v>
      </c>
      <c r="AL123" s="196">
        <f t="shared" si="290"/>
        <v>408.22852406021588</v>
      </c>
      <c r="AM123" s="197">
        <f t="shared" si="291"/>
        <v>245.55099191591933</v>
      </c>
      <c r="AN123" s="197">
        <f t="shared" si="292"/>
        <v>472.71160301658142</v>
      </c>
      <c r="AO123" s="197">
        <f t="shared" si="293"/>
        <v>-64.483078956365588</v>
      </c>
      <c r="AP123" s="199">
        <f t="shared" si="294"/>
        <v>181.06791295955372</v>
      </c>
      <c r="AQ123" s="196">
        <f t="shared" si="337"/>
        <v>4280.8205909924609</v>
      </c>
      <c r="AR123" s="197">
        <f t="shared" si="295"/>
        <v>3144.9669361360243</v>
      </c>
      <c r="AS123" s="197">
        <f t="shared" si="296"/>
        <v>9126.6497448484242</v>
      </c>
      <c r="AT123" s="197">
        <f t="shared" si="297"/>
        <v>-4845.8291538559643</v>
      </c>
      <c r="AU123" s="199">
        <f t="shared" si="298"/>
        <v>-1700.8622177199377</v>
      </c>
      <c r="AV123" s="197"/>
      <c r="AX123" s="204">
        <f t="shared" si="338"/>
        <v>11</v>
      </c>
      <c r="AY123" s="760">
        <f>'Energy NPV'!$D49</f>
        <v>12.54</v>
      </c>
      <c r="AZ123" s="197">
        <f>'Energy margins'!$L$12</f>
        <v>43.75</v>
      </c>
      <c r="BA123" s="197">
        <f t="shared" si="339"/>
        <v>548.625</v>
      </c>
      <c r="BB123" s="197">
        <f>'Margins summary'!$S$14</f>
        <v>330</v>
      </c>
      <c r="BC123" s="197">
        <f t="shared" si="299"/>
        <v>878.625</v>
      </c>
      <c r="BD123" s="197"/>
      <c r="BE123" s="918">
        <f>'Energy NPV'!U49</f>
        <v>423.52324399999998</v>
      </c>
      <c r="BF123" s="197"/>
      <c r="BG123" s="197">
        <f t="shared" si="300"/>
        <v>211.76162199999999</v>
      </c>
      <c r="BH123" s="197">
        <f t="shared" si="271"/>
        <v>336.86337800000001</v>
      </c>
      <c r="BI123" s="197">
        <f t="shared" si="272"/>
        <v>666.86337800000001</v>
      </c>
      <c r="BJ123" s="196">
        <f t="shared" si="301"/>
        <v>408.22852406021588</v>
      </c>
      <c r="BK123" s="197">
        <f t="shared" si="302"/>
        <v>245.55099191591933</v>
      </c>
      <c r="BL123" s="197">
        <f t="shared" si="303"/>
        <v>157.57053433886048</v>
      </c>
      <c r="BM123" s="197">
        <f t="shared" si="304"/>
        <v>250.65798972135536</v>
      </c>
      <c r="BN123" s="199">
        <f t="shared" si="305"/>
        <v>496.20898163727469</v>
      </c>
      <c r="BO123" s="196">
        <f t="shared" si="340"/>
        <v>4280.8205909924609</v>
      </c>
      <c r="BP123" s="197">
        <f t="shared" si="306"/>
        <v>3144.9669361360243</v>
      </c>
      <c r="BQ123" s="197">
        <f t="shared" si="307"/>
        <v>3042.216581616141</v>
      </c>
      <c r="BR123" s="197">
        <f t="shared" si="308"/>
        <v>1238.6040093763197</v>
      </c>
      <c r="BS123" s="199">
        <f t="shared" si="309"/>
        <v>4383.5709455123442</v>
      </c>
      <c r="BT123" s="197"/>
      <c r="BV123" s="204">
        <f t="shared" si="341"/>
        <v>11</v>
      </c>
      <c r="BW123" s="760">
        <f>'Energy NPV'!$D49</f>
        <v>12.54</v>
      </c>
      <c r="BX123" s="197">
        <f>'Energy margins'!$L$12</f>
        <v>43.75</v>
      </c>
      <c r="BY123" s="197">
        <f t="shared" si="342"/>
        <v>548.625</v>
      </c>
      <c r="BZ123" s="197">
        <f>'Margins summary'!$S$14</f>
        <v>330</v>
      </c>
      <c r="CA123" s="197">
        <f t="shared" si="310"/>
        <v>878.625</v>
      </c>
      <c r="CB123" s="197"/>
      <c r="CC123" s="918">
        <f>'Energy NPV'!U49</f>
        <v>423.52324399999998</v>
      </c>
      <c r="CD123" s="197"/>
      <c r="CE123" s="197">
        <f t="shared" si="311"/>
        <v>847.04648799999995</v>
      </c>
      <c r="CF123" s="197">
        <f t="shared" si="273"/>
        <v>-298.42148799999995</v>
      </c>
      <c r="CG123" s="197">
        <f t="shared" si="274"/>
        <v>31.578512000000046</v>
      </c>
      <c r="CH123" s="196">
        <f t="shared" si="312"/>
        <v>408.22852406021588</v>
      </c>
      <c r="CI123" s="197">
        <f t="shared" si="313"/>
        <v>245.55099191591933</v>
      </c>
      <c r="CJ123" s="197">
        <f t="shared" si="314"/>
        <v>630.28213735544193</v>
      </c>
      <c r="CK123" s="197">
        <f t="shared" si="315"/>
        <v>-222.05361329522606</v>
      </c>
      <c r="CL123" s="199">
        <f t="shared" si="316"/>
        <v>23.497378620693251</v>
      </c>
      <c r="CM123" s="196">
        <f t="shared" si="343"/>
        <v>4280.8205909924609</v>
      </c>
      <c r="CN123" s="197">
        <f t="shared" si="317"/>
        <v>3144.9669361360243</v>
      </c>
      <c r="CO123" s="197">
        <f t="shared" si="318"/>
        <v>12168.866326464564</v>
      </c>
      <c r="CP123" s="197">
        <f t="shared" si="319"/>
        <v>-7888.0457354721029</v>
      </c>
      <c r="CQ123" s="199">
        <f t="shared" si="320"/>
        <v>-4743.07879933608</v>
      </c>
      <c r="CR123" s="197"/>
      <c r="CT123" s="204">
        <f t="shared" si="344"/>
        <v>11</v>
      </c>
      <c r="CU123" s="760">
        <f>'Energy NPV'!$D49</f>
        <v>12.54</v>
      </c>
      <c r="CV123" s="197">
        <f>'Energy margins'!$L$12</f>
        <v>43.75</v>
      </c>
      <c r="CW123" s="197">
        <f t="shared" si="345"/>
        <v>548.625</v>
      </c>
      <c r="CX123" s="197">
        <f>'Margins summary'!$S$14</f>
        <v>330</v>
      </c>
      <c r="CY123" s="197">
        <f t="shared" si="321"/>
        <v>878.625</v>
      </c>
      <c r="CZ123" s="197"/>
      <c r="DA123" s="918">
        <f>'Energy NPV'!U49</f>
        <v>423.52324399999998</v>
      </c>
      <c r="DB123" s="197"/>
      <c r="DC123" s="197">
        <f t="shared" si="322"/>
        <v>0</v>
      </c>
      <c r="DD123" s="197">
        <f t="shared" si="275"/>
        <v>548.625</v>
      </c>
      <c r="DE123" s="197">
        <f t="shared" si="276"/>
        <v>878.625</v>
      </c>
      <c r="DF123" s="196">
        <f t="shared" si="323"/>
        <v>408.22852406021588</v>
      </c>
      <c r="DG123" s="197">
        <f t="shared" si="324"/>
        <v>245.55099191591933</v>
      </c>
      <c r="DH123" s="197">
        <f t="shared" si="325"/>
        <v>0</v>
      </c>
      <c r="DI123" s="197">
        <f t="shared" si="326"/>
        <v>408.22852406021588</v>
      </c>
      <c r="DJ123" s="199">
        <f t="shared" si="327"/>
        <v>653.77951597613514</v>
      </c>
      <c r="DK123" s="196">
        <f t="shared" si="346"/>
        <v>4280.8205909924609</v>
      </c>
      <c r="DL123" s="197">
        <f t="shared" si="328"/>
        <v>3144.9669361360243</v>
      </c>
      <c r="DM123" s="197">
        <f t="shared" si="329"/>
        <v>0</v>
      </c>
      <c r="DN123" s="197">
        <f t="shared" si="330"/>
        <v>4280.8205909924609</v>
      </c>
      <c r="DO123" s="199">
        <f t="shared" si="331"/>
        <v>7425.7875271284847</v>
      </c>
    </row>
    <row r="124" spans="2:119" x14ac:dyDescent="0.3">
      <c r="B124" s="204">
        <f t="shared" si="332"/>
        <v>12</v>
      </c>
      <c r="C124" s="760">
        <f>'Energy NPV'!$D50</f>
        <v>12.54</v>
      </c>
      <c r="D124" s="197">
        <f>'Energy margins'!$L$12</f>
        <v>43.75</v>
      </c>
      <c r="E124" s="197">
        <f t="shared" si="333"/>
        <v>548.625</v>
      </c>
      <c r="F124" s="197">
        <f>'Margins summary'!$S$14</f>
        <v>330</v>
      </c>
      <c r="G124" s="197">
        <f t="shared" si="277"/>
        <v>878.625</v>
      </c>
      <c r="H124" s="197"/>
      <c r="I124" s="918">
        <f>'Energy NPV'!U50</f>
        <v>423.52324399999998</v>
      </c>
      <c r="J124" s="197"/>
      <c r="K124" s="197">
        <f t="shared" si="278"/>
        <v>423.52324399999998</v>
      </c>
      <c r="L124" s="197">
        <f t="shared" si="267"/>
        <v>125.10175600000002</v>
      </c>
      <c r="M124" s="197">
        <f t="shared" si="268"/>
        <v>455.10175600000002</v>
      </c>
      <c r="N124" s="196">
        <f t="shared" si="279"/>
        <v>396.33837287399598</v>
      </c>
      <c r="O124" s="197">
        <f t="shared" si="280"/>
        <v>238.39902127759154</v>
      </c>
      <c r="P124" s="197">
        <f t="shared" si="281"/>
        <v>305.9622025997291</v>
      </c>
      <c r="Q124" s="197">
        <f t="shared" si="282"/>
        <v>90.376170274266883</v>
      </c>
      <c r="R124" s="199">
        <f t="shared" si="283"/>
        <v>328.77519155185843</v>
      </c>
      <c r="S124" s="196">
        <f t="shared" si="334"/>
        <v>4677.1589638664573</v>
      </c>
      <c r="T124" s="197">
        <f t="shared" si="284"/>
        <v>3383.3659574136159</v>
      </c>
      <c r="U124" s="197">
        <f t="shared" si="285"/>
        <v>6390.3953658320106</v>
      </c>
      <c r="V124" s="197">
        <f t="shared" si="286"/>
        <v>-1713.2364019655543</v>
      </c>
      <c r="W124" s="199">
        <f t="shared" si="287"/>
        <v>1670.1295554480607</v>
      </c>
      <c r="X124" s="197"/>
      <c r="Z124" s="204">
        <f t="shared" si="335"/>
        <v>12</v>
      </c>
      <c r="AA124" s="760">
        <f>'Energy NPV'!$D50</f>
        <v>12.54</v>
      </c>
      <c r="AB124" s="197">
        <f>'Energy margins'!$L$12</f>
        <v>43.75</v>
      </c>
      <c r="AC124" s="197">
        <f t="shared" si="336"/>
        <v>548.625</v>
      </c>
      <c r="AD124" s="197">
        <f>'Margins summary'!$S$14</f>
        <v>330</v>
      </c>
      <c r="AE124" s="197">
        <f t="shared" si="288"/>
        <v>878.625</v>
      </c>
      <c r="AF124" s="197"/>
      <c r="AG124" s="918">
        <f>'Energy NPV'!U50</f>
        <v>423.52324399999998</v>
      </c>
      <c r="AH124" s="197"/>
      <c r="AI124" s="197">
        <f t="shared" si="289"/>
        <v>635.28486599999997</v>
      </c>
      <c r="AJ124" s="197">
        <f t="shared" si="269"/>
        <v>-86.659865999999965</v>
      </c>
      <c r="AK124" s="197">
        <f t="shared" si="270"/>
        <v>243.34013400000003</v>
      </c>
      <c r="AL124" s="196">
        <f t="shared" si="290"/>
        <v>396.33837287399598</v>
      </c>
      <c r="AM124" s="197">
        <f t="shared" si="291"/>
        <v>238.39902127759154</v>
      </c>
      <c r="AN124" s="197">
        <f t="shared" si="292"/>
        <v>458.94330389959362</v>
      </c>
      <c r="AO124" s="197">
        <f t="shared" si="293"/>
        <v>-62.604931025597651</v>
      </c>
      <c r="AP124" s="199">
        <f t="shared" si="294"/>
        <v>175.79409025199391</v>
      </c>
      <c r="AQ124" s="196">
        <f t="shared" si="337"/>
        <v>4677.1589638664573</v>
      </c>
      <c r="AR124" s="197">
        <f t="shared" si="295"/>
        <v>3383.3659574136159</v>
      </c>
      <c r="AS124" s="197">
        <f t="shared" si="296"/>
        <v>9585.5930487480182</v>
      </c>
      <c r="AT124" s="197">
        <f t="shared" si="297"/>
        <v>-4908.4340848815618</v>
      </c>
      <c r="AU124" s="199">
        <f t="shared" si="298"/>
        <v>-1525.0681274679437</v>
      </c>
      <c r="AV124" s="197"/>
      <c r="AX124" s="204">
        <f t="shared" si="338"/>
        <v>12</v>
      </c>
      <c r="AY124" s="760">
        <f>'Energy NPV'!$D50</f>
        <v>12.54</v>
      </c>
      <c r="AZ124" s="197">
        <f>'Energy margins'!$L$12</f>
        <v>43.75</v>
      </c>
      <c r="BA124" s="197">
        <f t="shared" si="339"/>
        <v>548.625</v>
      </c>
      <c r="BB124" s="197">
        <f>'Margins summary'!$S$14</f>
        <v>330</v>
      </c>
      <c r="BC124" s="197">
        <f t="shared" si="299"/>
        <v>878.625</v>
      </c>
      <c r="BD124" s="197"/>
      <c r="BE124" s="918">
        <f>'Energy NPV'!U50</f>
        <v>423.52324399999998</v>
      </c>
      <c r="BF124" s="197"/>
      <c r="BG124" s="197">
        <f t="shared" si="300"/>
        <v>211.76162199999999</v>
      </c>
      <c r="BH124" s="197">
        <f t="shared" si="271"/>
        <v>336.86337800000001</v>
      </c>
      <c r="BI124" s="197">
        <f t="shared" si="272"/>
        <v>666.86337800000001</v>
      </c>
      <c r="BJ124" s="196">
        <f t="shared" si="301"/>
        <v>396.33837287399598</v>
      </c>
      <c r="BK124" s="197">
        <f t="shared" si="302"/>
        <v>238.39902127759154</v>
      </c>
      <c r="BL124" s="197">
        <f t="shared" si="303"/>
        <v>152.98110129986455</v>
      </c>
      <c r="BM124" s="197">
        <f t="shared" si="304"/>
        <v>243.35727157413143</v>
      </c>
      <c r="BN124" s="199">
        <f t="shared" si="305"/>
        <v>481.756292851723</v>
      </c>
      <c r="BO124" s="196">
        <f t="shared" si="340"/>
        <v>4677.1589638664573</v>
      </c>
      <c r="BP124" s="197">
        <f t="shared" si="306"/>
        <v>3383.3659574136159</v>
      </c>
      <c r="BQ124" s="197">
        <f t="shared" si="307"/>
        <v>3195.1976829160053</v>
      </c>
      <c r="BR124" s="197">
        <f t="shared" si="308"/>
        <v>1481.9612809504511</v>
      </c>
      <c r="BS124" s="199">
        <f t="shared" si="309"/>
        <v>4865.3272383640669</v>
      </c>
      <c r="BT124" s="197"/>
      <c r="BV124" s="204">
        <f t="shared" si="341"/>
        <v>12</v>
      </c>
      <c r="BW124" s="760">
        <f>'Energy NPV'!$D50</f>
        <v>12.54</v>
      </c>
      <c r="BX124" s="197">
        <f>'Energy margins'!$L$12</f>
        <v>43.75</v>
      </c>
      <c r="BY124" s="197">
        <f t="shared" si="342"/>
        <v>548.625</v>
      </c>
      <c r="BZ124" s="197">
        <f>'Margins summary'!$S$14</f>
        <v>330</v>
      </c>
      <c r="CA124" s="197">
        <f t="shared" si="310"/>
        <v>878.625</v>
      </c>
      <c r="CB124" s="197"/>
      <c r="CC124" s="918">
        <f>'Energy NPV'!U50</f>
        <v>423.52324399999998</v>
      </c>
      <c r="CD124" s="197"/>
      <c r="CE124" s="197">
        <f t="shared" si="311"/>
        <v>847.04648799999995</v>
      </c>
      <c r="CF124" s="197">
        <f t="shared" si="273"/>
        <v>-298.42148799999995</v>
      </c>
      <c r="CG124" s="197">
        <f t="shared" si="274"/>
        <v>31.578512000000046</v>
      </c>
      <c r="CH124" s="196">
        <f t="shared" si="312"/>
        <v>396.33837287399598</v>
      </c>
      <c r="CI124" s="197">
        <f t="shared" si="313"/>
        <v>238.39902127759154</v>
      </c>
      <c r="CJ124" s="197">
        <f t="shared" si="314"/>
        <v>611.92440519945819</v>
      </c>
      <c r="CK124" s="197">
        <f t="shared" si="315"/>
        <v>-215.58603232546218</v>
      </c>
      <c r="CL124" s="199">
        <f t="shared" si="316"/>
        <v>22.812988952129366</v>
      </c>
      <c r="CM124" s="196">
        <f t="shared" si="343"/>
        <v>4677.1589638664573</v>
      </c>
      <c r="CN124" s="197">
        <f t="shared" si="317"/>
        <v>3383.3659574136159</v>
      </c>
      <c r="CO124" s="197">
        <f t="shared" si="318"/>
        <v>12780.790731664021</v>
      </c>
      <c r="CP124" s="197">
        <f t="shared" si="319"/>
        <v>-8103.6317677975649</v>
      </c>
      <c r="CQ124" s="199">
        <f t="shared" si="320"/>
        <v>-4720.2658103839503</v>
      </c>
      <c r="CR124" s="197"/>
      <c r="CT124" s="204">
        <f t="shared" si="344"/>
        <v>12</v>
      </c>
      <c r="CU124" s="760">
        <f>'Energy NPV'!$D50</f>
        <v>12.54</v>
      </c>
      <c r="CV124" s="197">
        <f>'Energy margins'!$L$12</f>
        <v>43.75</v>
      </c>
      <c r="CW124" s="197">
        <f t="shared" si="345"/>
        <v>548.625</v>
      </c>
      <c r="CX124" s="197">
        <f>'Margins summary'!$S$14</f>
        <v>330</v>
      </c>
      <c r="CY124" s="197">
        <f t="shared" si="321"/>
        <v>878.625</v>
      </c>
      <c r="CZ124" s="197"/>
      <c r="DA124" s="918">
        <f>'Energy NPV'!U50</f>
        <v>423.52324399999998</v>
      </c>
      <c r="DB124" s="197"/>
      <c r="DC124" s="197">
        <f t="shared" si="322"/>
        <v>0</v>
      </c>
      <c r="DD124" s="197">
        <f t="shared" si="275"/>
        <v>548.625</v>
      </c>
      <c r="DE124" s="197">
        <f t="shared" si="276"/>
        <v>878.625</v>
      </c>
      <c r="DF124" s="196">
        <f t="shared" si="323"/>
        <v>396.33837287399598</v>
      </c>
      <c r="DG124" s="197">
        <f t="shared" si="324"/>
        <v>238.39902127759154</v>
      </c>
      <c r="DH124" s="197">
        <f t="shared" si="325"/>
        <v>0</v>
      </c>
      <c r="DI124" s="197">
        <f t="shared" si="326"/>
        <v>396.33837287399598</v>
      </c>
      <c r="DJ124" s="199">
        <f t="shared" si="327"/>
        <v>634.73739415158752</v>
      </c>
      <c r="DK124" s="196">
        <f t="shared" si="346"/>
        <v>4677.1589638664573</v>
      </c>
      <c r="DL124" s="197">
        <f t="shared" si="328"/>
        <v>3383.3659574136159</v>
      </c>
      <c r="DM124" s="197">
        <f t="shared" si="329"/>
        <v>0</v>
      </c>
      <c r="DN124" s="197">
        <f t="shared" si="330"/>
        <v>4677.1589638664573</v>
      </c>
      <c r="DO124" s="199">
        <f t="shared" si="331"/>
        <v>8060.5249212800718</v>
      </c>
    </row>
    <row r="125" spans="2:119" x14ac:dyDescent="0.3">
      <c r="B125" s="204">
        <f t="shared" si="332"/>
        <v>13</v>
      </c>
      <c r="C125" s="760">
        <f>'Energy NPV'!$D51</f>
        <v>12.54</v>
      </c>
      <c r="D125" s="197">
        <f>'Energy margins'!$L$12</f>
        <v>43.75</v>
      </c>
      <c r="E125" s="197">
        <f t="shared" si="333"/>
        <v>548.625</v>
      </c>
      <c r="F125" s="197">
        <f>'Margins summary'!$S$14</f>
        <v>330</v>
      </c>
      <c r="G125" s="197">
        <f t="shared" si="277"/>
        <v>878.625</v>
      </c>
      <c r="H125" s="197"/>
      <c r="I125" s="918">
        <f>'Energy NPV'!U51</f>
        <v>423.52324399999998</v>
      </c>
      <c r="J125" s="197"/>
      <c r="K125" s="197">
        <f t="shared" si="278"/>
        <v>423.52324399999998</v>
      </c>
      <c r="L125" s="197">
        <f t="shared" si="267"/>
        <v>125.10175600000002</v>
      </c>
      <c r="M125" s="197">
        <f t="shared" si="268"/>
        <v>455.10175600000002</v>
      </c>
      <c r="N125" s="196">
        <f t="shared" si="279"/>
        <v>384.79453677086991</v>
      </c>
      <c r="O125" s="197">
        <f t="shared" si="280"/>
        <v>231.45536046368116</v>
      </c>
      <c r="P125" s="197">
        <f t="shared" si="281"/>
        <v>297.05068213565932</v>
      </c>
      <c r="Q125" s="197">
        <f t="shared" si="282"/>
        <v>87.743854635210582</v>
      </c>
      <c r="R125" s="199">
        <f t="shared" si="283"/>
        <v>319.19921509889173</v>
      </c>
      <c r="S125" s="196">
        <f t="shared" si="334"/>
        <v>5061.9535006373271</v>
      </c>
      <c r="T125" s="197">
        <f t="shared" si="284"/>
        <v>3614.8213178772971</v>
      </c>
      <c r="U125" s="197">
        <f t="shared" si="285"/>
        <v>6687.44604796767</v>
      </c>
      <c r="V125" s="197">
        <f t="shared" si="286"/>
        <v>-1625.4925473303438</v>
      </c>
      <c r="W125" s="199">
        <f t="shared" si="287"/>
        <v>1989.3287705469525</v>
      </c>
      <c r="X125" s="197"/>
      <c r="Z125" s="204">
        <f t="shared" si="335"/>
        <v>13</v>
      </c>
      <c r="AA125" s="760">
        <f>'Energy NPV'!$D51</f>
        <v>12.54</v>
      </c>
      <c r="AB125" s="197">
        <f>'Energy margins'!$L$12</f>
        <v>43.75</v>
      </c>
      <c r="AC125" s="197">
        <f t="shared" si="336"/>
        <v>548.625</v>
      </c>
      <c r="AD125" s="197">
        <f>'Margins summary'!$S$14</f>
        <v>330</v>
      </c>
      <c r="AE125" s="197">
        <f t="shared" si="288"/>
        <v>878.625</v>
      </c>
      <c r="AF125" s="197"/>
      <c r="AG125" s="918">
        <f>'Energy NPV'!U51</f>
        <v>423.52324399999998</v>
      </c>
      <c r="AH125" s="197"/>
      <c r="AI125" s="197">
        <f t="shared" si="289"/>
        <v>635.28486599999997</v>
      </c>
      <c r="AJ125" s="197">
        <f t="shared" si="269"/>
        <v>-86.659865999999965</v>
      </c>
      <c r="AK125" s="197">
        <f t="shared" si="270"/>
        <v>243.34013400000003</v>
      </c>
      <c r="AL125" s="196">
        <f t="shared" si="290"/>
        <v>384.79453677086991</v>
      </c>
      <c r="AM125" s="197">
        <f t="shared" si="291"/>
        <v>231.45536046368116</v>
      </c>
      <c r="AN125" s="197">
        <f t="shared" si="292"/>
        <v>445.576023203489</v>
      </c>
      <c r="AO125" s="197">
        <f t="shared" si="293"/>
        <v>-60.78148643261909</v>
      </c>
      <c r="AP125" s="199">
        <f t="shared" si="294"/>
        <v>170.67387403106207</v>
      </c>
      <c r="AQ125" s="196">
        <f t="shared" si="337"/>
        <v>5061.9535006373271</v>
      </c>
      <c r="AR125" s="197">
        <f t="shared" si="295"/>
        <v>3614.8213178772971</v>
      </c>
      <c r="AS125" s="197">
        <f t="shared" si="296"/>
        <v>10031.169071951506</v>
      </c>
      <c r="AT125" s="197">
        <f t="shared" si="297"/>
        <v>-4969.215571314181</v>
      </c>
      <c r="AU125" s="199">
        <f t="shared" si="298"/>
        <v>-1354.3942534368816</v>
      </c>
      <c r="AV125" s="197"/>
      <c r="AX125" s="204">
        <f t="shared" si="338"/>
        <v>13</v>
      </c>
      <c r="AY125" s="760">
        <f>'Energy NPV'!$D51</f>
        <v>12.54</v>
      </c>
      <c r="AZ125" s="197">
        <f>'Energy margins'!$L$12</f>
        <v>43.75</v>
      </c>
      <c r="BA125" s="197">
        <f t="shared" si="339"/>
        <v>548.625</v>
      </c>
      <c r="BB125" s="197">
        <f>'Margins summary'!$S$14</f>
        <v>330</v>
      </c>
      <c r="BC125" s="197">
        <f t="shared" si="299"/>
        <v>878.625</v>
      </c>
      <c r="BD125" s="197"/>
      <c r="BE125" s="918">
        <f>'Energy NPV'!U51</f>
        <v>423.52324399999998</v>
      </c>
      <c r="BF125" s="197"/>
      <c r="BG125" s="197">
        <f t="shared" si="300"/>
        <v>211.76162199999999</v>
      </c>
      <c r="BH125" s="197">
        <f t="shared" si="271"/>
        <v>336.86337800000001</v>
      </c>
      <c r="BI125" s="197">
        <f t="shared" si="272"/>
        <v>666.86337800000001</v>
      </c>
      <c r="BJ125" s="196">
        <f t="shared" si="301"/>
        <v>384.79453677086991</v>
      </c>
      <c r="BK125" s="197">
        <f t="shared" si="302"/>
        <v>231.45536046368116</v>
      </c>
      <c r="BL125" s="197">
        <f t="shared" si="303"/>
        <v>148.52534106782966</v>
      </c>
      <c r="BM125" s="197">
        <f t="shared" si="304"/>
        <v>236.26919570304025</v>
      </c>
      <c r="BN125" s="199">
        <f t="shared" si="305"/>
        <v>467.72455616672141</v>
      </c>
      <c r="BO125" s="196">
        <f t="shared" si="340"/>
        <v>5061.9535006373271</v>
      </c>
      <c r="BP125" s="197">
        <f t="shared" si="306"/>
        <v>3614.8213178772971</v>
      </c>
      <c r="BQ125" s="197">
        <f t="shared" si="307"/>
        <v>3343.723023983835</v>
      </c>
      <c r="BR125" s="197">
        <f t="shared" si="308"/>
        <v>1718.2304766534912</v>
      </c>
      <c r="BS125" s="199">
        <f t="shared" si="309"/>
        <v>5333.0517945307884</v>
      </c>
      <c r="BT125" s="197"/>
      <c r="BV125" s="204">
        <f t="shared" si="341"/>
        <v>13</v>
      </c>
      <c r="BW125" s="760">
        <f>'Energy NPV'!$D51</f>
        <v>12.54</v>
      </c>
      <c r="BX125" s="197">
        <f>'Energy margins'!$L$12</f>
        <v>43.75</v>
      </c>
      <c r="BY125" s="197">
        <f t="shared" si="342"/>
        <v>548.625</v>
      </c>
      <c r="BZ125" s="197">
        <f>'Margins summary'!$S$14</f>
        <v>330</v>
      </c>
      <c r="CA125" s="197">
        <f t="shared" si="310"/>
        <v>878.625</v>
      </c>
      <c r="CB125" s="197"/>
      <c r="CC125" s="918">
        <f>'Energy NPV'!U51</f>
        <v>423.52324399999998</v>
      </c>
      <c r="CD125" s="197"/>
      <c r="CE125" s="197">
        <f t="shared" si="311"/>
        <v>847.04648799999995</v>
      </c>
      <c r="CF125" s="197">
        <f t="shared" si="273"/>
        <v>-298.42148799999995</v>
      </c>
      <c r="CG125" s="197">
        <f t="shared" si="274"/>
        <v>31.578512000000046</v>
      </c>
      <c r="CH125" s="196">
        <f t="shared" si="312"/>
        <v>384.79453677086991</v>
      </c>
      <c r="CI125" s="197">
        <f t="shared" si="313"/>
        <v>231.45536046368116</v>
      </c>
      <c r="CJ125" s="197">
        <f t="shared" si="314"/>
        <v>594.10136427131863</v>
      </c>
      <c r="CK125" s="197">
        <f t="shared" si="315"/>
        <v>-209.30682750044875</v>
      </c>
      <c r="CL125" s="199">
        <f t="shared" si="316"/>
        <v>22.148532963232398</v>
      </c>
      <c r="CM125" s="196">
        <f t="shared" si="343"/>
        <v>5061.9535006373271</v>
      </c>
      <c r="CN125" s="197">
        <f t="shared" si="317"/>
        <v>3614.8213178772971</v>
      </c>
      <c r="CO125" s="197">
        <f t="shared" si="318"/>
        <v>13374.89209593534</v>
      </c>
      <c r="CP125" s="197">
        <f t="shared" si="319"/>
        <v>-8312.9385952980138</v>
      </c>
      <c r="CQ125" s="199">
        <f t="shared" si="320"/>
        <v>-4698.117277420718</v>
      </c>
      <c r="CR125" s="197"/>
      <c r="CT125" s="204">
        <f t="shared" si="344"/>
        <v>13</v>
      </c>
      <c r="CU125" s="760">
        <f>'Energy NPV'!$D51</f>
        <v>12.54</v>
      </c>
      <c r="CV125" s="197">
        <f>'Energy margins'!$L$12</f>
        <v>43.75</v>
      </c>
      <c r="CW125" s="197">
        <f t="shared" si="345"/>
        <v>548.625</v>
      </c>
      <c r="CX125" s="197">
        <f>'Margins summary'!$S$14</f>
        <v>330</v>
      </c>
      <c r="CY125" s="197">
        <f t="shared" si="321"/>
        <v>878.625</v>
      </c>
      <c r="CZ125" s="197"/>
      <c r="DA125" s="918">
        <f>'Energy NPV'!U51</f>
        <v>423.52324399999998</v>
      </c>
      <c r="DB125" s="197"/>
      <c r="DC125" s="197">
        <f t="shared" si="322"/>
        <v>0</v>
      </c>
      <c r="DD125" s="197">
        <f t="shared" si="275"/>
        <v>548.625</v>
      </c>
      <c r="DE125" s="197">
        <f t="shared" si="276"/>
        <v>878.625</v>
      </c>
      <c r="DF125" s="196">
        <f t="shared" si="323"/>
        <v>384.79453677086991</v>
      </c>
      <c r="DG125" s="197">
        <f t="shared" si="324"/>
        <v>231.45536046368116</v>
      </c>
      <c r="DH125" s="197">
        <f t="shared" si="325"/>
        <v>0</v>
      </c>
      <c r="DI125" s="197">
        <f t="shared" si="326"/>
        <v>384.79453677086991</v>
      </c>
      <c r="DJ125" s="199">
        <f t="shared" si="327"/>
        <v>616.2498972345511</v>
      </c>
      <c r="DK125" s="196">
        <f t="shared" si="346"/>
        <v>5061.9535006373271</v>
      </c>
      <c r="DL125" s="197">
        <f t="shared" si="328"/>
        <v>3614.8213178772971</v>
      </c>
      <c r="DM125" s="197">
        <f t="shared" si="329"/>
        <v>0</v>
      </c>
      <c r="DN125" s="197">
        <f t="shared" si="330"/>
        <v>5061.9535006373271</v>
      </c>
      <c r="DO125" s="199">
        <f t="shared" si="331"/>
        <v>8676.7748185146229</v>
      </c>
    </row>
    <row r="126" spans="2:119" x14ac:dyDescent="0.3">
      <c r="B126" s="204">
        <f t="shared" si="332"/>
        <v>14</v>
      </c>
      <c r="C126" s="760">
        <f>'Energy NPV'!$D52</f>
        <v>12.54</v>
      </c>
      <c r="D126" s="197">
        <f>'Energy margins'!$L$12</f>
        <v>43.75</v>
      </c>
      <c r="E126" s="197">
        <f t="shared" si="333"/>
        <v>548.625</v>
      </c>
      <c r="F126" s="197">
        <f>'Margins summary'!$S$14</f>
        <v>330</v>
      </c>
      <c r="G126" s="197">
        <f t="shared" si="277"/>
        <v>878.625</v>
      </c>
      <c r="H126" s="197"/>
      <c r="I126" s="918">
        <f>'Energy NPV'!U52</f>
        <v>423.52324399999998</v>
      </c>
      <c r="J126" s="197"/>
      <c r="K126" s="197">
        <f t="shared" si="278"/>
        <v>423.52324399999998</v>
      </c>
      <c r="L126" s="197">
        <f t="shared" si="267"/>
        <v>125.10175600000002</v>
      </c>
      <c r="M126" s="197">
        <f t="shared" si="268"/>
        <v>455.10175600000002</v>
      </c>
      <c r="N126" s="196">
        <f t="shared" si="279"/>
        <v>373.58692890375721</v>
      </c>
      <c r="O126" s="197">
        <f t="shared" si="280"/>
        <v>224.71394219774871</v>
      </c>
      <c r="P126" s="197">
        <f t="shared" si="281"/>
        <v>288.39872052005762</v>
      </c>
      <c r="Q126" s="197">
        <f t="shared" si="282"/>
        <v>85.188208383699603</v>
      </c>
      <c r="R126" s="199">
        <f t="shared" si="283"/>
        <v>309.90215058144832</v>
      </c>
      <c r="S126" s="196">
        <f t="shared" si="334"/>
        <v>5435.5404295410844</v>
      </c>
      <c r="T126" s="197">
        <f t="shared" si="284"/>
        <v>3839.5352600750457</v>
      </c>
      <c r="U126" s="197">
        <f t="shared" si="285"/>
        <v>6975.8447684877274</v>
      </c>
      <c r="V126" s="197">
        <f t="shared" si="286"/>
        <v>-1540.3043389466441</v>
      </c>
      <c r="W126" s="199">
        <f t="shared" si="287"/>
        <v>2299.230921128401</v>
      </c>
      <c r="X126" s="197"/>
      <c r="Z126" s="204">
        <f t="shared" si="335"/>
        <v>14</v>
      </c>
      <c r="AA126" s="760">
        <f>'Energy NPV'!$D52</f>
        <v>12.54</v>
      </c>
      <c r="AB126" s="197">
        <f>'Energy margins'!$L$12</f>
        <v>43.75</v>
      </c>
      <c r="AC126" s="197">
        <f t="shared" si="336"/>
        <v>548.625</v>
      </c>
      <c r="AD126" s="197">
        <f>'Margins summary'!$S$14</f>
        <v>330</v>
      </c>
      <c r="AE126" s="197">
        <f t="shared" si="288"/>
        <v>878.625</v>
      </c>
      <c r="AF126" s="197"/>
      <c r="AG126" s="918">
        <f>'Energy NPV'!U52</f>
        <v>423.52324399999998</v>
      </c>
      <c r="AH126" s="197"/>
      <c r="AI126" s="197">
        <f t="shared" si="289"/>
        <v>635.28486599999997</v>
      </c>
      <c r="AJ126" s="197">
        <f t="shared" si="269"/>
        <v>-86.659865999999965</v>
      </c>
      <c r="AK126" s="197">
        <f t="shared" si="270"/>
        <v>243.34013400000003</v>
      </c>
      <c r="AL126" s="196">
        <f t="shared" si="290"/>
        <v>373.58692890375721</v>
      </c>
      <c r="AM126" s="197">
        <f t="shared" si="291"/>
        <v>224.71394219774871</v>
      </c>
      <c r="AN126" s="197">
        <f t="shared" si="292"/>
        <v>432.59808078008643</v>
      </c>
      <c r="AO126" s="197">
        <f t="shared" si="293"/>
        <v>-59.011151876329215</v>
      </c>
      <c r="AP126" s="199">
        <f t="shared" si="294"/>
        <v>165.70279032141949</v>
      </c>
      <c r="AQ126" s="196">
        <f t="shared" si="337"/>
        <v>5435.5404295410844</v>
      </c>
      <c r="AR126" s="197">
        <f t="shared" si="295"/>
        <v>3839.5352600750457</v>
      </c>
      <c r="AS126" s="197">
        <f t="shared" si="296"/>
        <v>10463.767152731592</v>
      </c>
      <c r="AT126" s="197">
        <f t="shared" si="297"/>
        <v>-5028.2267231905098</v>
      </c>
      <c r="AU126" s="199">
        <f t="shared" si="298"/>
        <v>-1188.6914631154621</v>
      </c>
      <c r="AV126" s="197"/>
      <c r="AX126" s="204">
        <f t="shared" si="338"/>
        <v>14</v>
      </c>
      <c r="AY126" s="760">
        <f>'Energy NPV'!$D52</f>
        <v>12.54</v>
      </c>
      <c r="AZ126" s="197">
        <f>'Energy margins'!$L$12</f>
        <v>43.75</v>
      </c>
      <c r="BA126" s="197">
        <f t="shared" si="339"/>
        <v>548.625</v>
      </c>
      <c r="BB126" s="197">
        <f>'Margins summary'!$S$14</f>
        <v>330</v>
      </c>
      <c r="BC126" s="197">
        <f t="shared" si="299"/>
        <v>878.625</v>
      </c>
      <c r="BD126" s="197"/>
      <c r="BE126" s="918">
        <f>'Energy NPV'!U52</f>
        <v>423.52324399999998</v>
      </c>
      <c r="BF126" s="197"/>
      <c r="BG126" s="197">
        <f t="shared" si="300"/>
        <v>211.76162199999999</v>
      </c>
      <c r="BH126" s="197">
        <f t="shared" si="271"/>
        <v>336.86337800000001</v>
      </c>
      <c r="BI126" s="197">
        <f t="shared" si="272"/>
        <v>666.86337800000001</v>
      </c>
      <c r="BJ126" s="196">
        <f t="shared" si="301"/>
        <v>373.58692890375721</v>
      </c>
      <c r="BK126" s="197">
        <f t="shared" si="302"/>
        <v>224.71394219774871</v>
      </c>
      <c r="BL126" s="197">
        <f t="shared" si="303"/>
        <v>144.19936026002881</v>
      </c>
      <c r="BM126" s="197">
        <f t="shared" si="304"/>
        <v>229.38756864372843</v>
      </c>
      <c r="BN126" s="199">
        <f t="shared" si="305"/>
        <v>454.10151084147714</v>
      </c>
      <c r="BO126" s="196">
        <f t="shared" si="340"/>
        <v>5435.5404295410844</v>
      </c>
      <c r="BP126" s="197">
        <f t="shared" si="306"/>
        <v>3839.5352600750457</v>
      </c>
      <c r="BQ126" s="197">
        <f t="shared" si="307"/>
        <v>3487.9223842438637</v>
      </c>
      <c r="BR126" s="197">
        <f t="shared" si="308"/>
        <v>1947.6180452972196</v>
      </c>
      <c r="BS126" s="199">
        <f t="shared" si="309"/>
        <v>5787.1533053722651</v>
      </c>
      <c r="BT126" s="197"/>
      <c r="BV126" s="204">
        <f t="shared" si="341"/>
        <v>14</v>
      </c>
      <c r="BW126" s="760">
        <f>'Energy NPV'!$D52</f>
        <v>12.54</v>
      </c>
      <c r="BX126" s="197">
        <f>'Energy margins'!$L$12</f>
        <v>43.75</v>
      </c>
      <c r="BY126" s="197">
        <f t="shared" si="342"/>
        <v>548.625</v>
      </c>
      <c r="BZ126" s="197">
        <f>'Margins summary'!$S$14</f>
        <v>330</v>
      </c>
      <c r="CA126" s="197">
        <f t="shared" si="310"/>
        <v>878.625</v>
      </c>
      <c r="CB126" s="197"/>
      <c r="CC126" s="918">
        <f>'Energy NPV'!U52</f>
        <v>423.52324399999998</v>
      </c>
      <c r="CD126" s="197"/>
      <c r="CE126" s="197">
        <f t="shared" si="311"/>
        <v>847.04648799999995</v>
      </c>
      <c r="CF126" s="197">
        <f t="shared" si="273"/>
        <v>-298.42148799999995</v>
      </c>
      <c r="CG126" s="197">
        <f t="shared" si="274"/>
        <v>31.578512000000046</v>
      </c>
      <c r="CH126" s="196">
        <f t="shared" si="312"/>
        <v>373.58692890375721</v>
      </c>
      <c r="CI126" s="197">
        <f t="shared" si="313"/>
        <v>224.71394219774871</v>
      </c>
      <c r="CJ126" s="197">
        <f t="shared" si="314"/>
        <v>576.79744104011525</v>
      </c>
      <c r="CK126" s="197">
        <f t="shared" si="315"/>
        <v>-203.21051213635803</v>
      </c>
      <c r="CL126" s="199">
        <f t="shared" si="316"/>
        <v>21.503430061390681</v>
      </c>
      <c r="CM126" s="196">
        <f t="shared" si="343"/>
        <v>5435.5404295410844</v>
      </c>
      <c r="CN126" s="197">
        <f t="shared" si="317"/>
        <v>3839.5352600750457</v>
      </c>
      <c r="CO126" s="197">
        <f t="shared" si="318"/>
        <v>13951.689536975455</v>
      </c>
      <c r="CP126" s="197">
        <f t="shared" si="319"/>
        <v>-8516.1491074343721</v>
      </c>
      <c r="CQ126" s="199">
        <f t="shared" si="320"/>
        <v>-4676.6138473593273</v>
      </c>
      <c r="CR126" s="197"/>
      <c r="CT126" s="204">
        <f t="shared" si="344"/>
        <v>14</v>
      </c>
      <c r="CU126" s="760">
        <f>'Energy NPV'!$D52</f>
        <v>12.54</v>
      </c>
      <c r="CV126" s="197">
        <f>'Energy margins'!$L$12</f>
        <v>43.75</v>
      </c>
      <c r="CW126" s="197">
        <f t="shared" si="345"/>
        <v>548.625</v>
      </c>
      <c r="CX126" s="197">
        <f>'Margins summary'!$S$14</f>
        <v>330</v>
      </c>
      <c r="CY126" s="197">
        <f t="shared" si="321"/>
        <v>878.625</v>
      </c>
      <c r="CZ126" s="197"/>
      <c r="DA126" s="918">
        <f>'Energy NPV'!U52</f>
        <v>423.52324399999998</v>
      </c>
      <c r="DB126" s="197"/>
      <c r="DC126" s="197">
        <f t="shared" si="322"/>
        <v>0</v>
      </c>
      <c r="DD126" s="197">
        <f t="shared" si="275"/>
        <v>548.625</v>
      </c>
      <c r="DE126" s="197">
        <f t="shared" si="276"/>
        <v>878.625</v>
      </c>
      <c r="DF126" s="196">
        <f t="shared" si="323"/>
        <v>373.58692890375721</v>
      </c>
      <c r="DG126" s="197">
        <f t="shared" si="324"/>
        <v>224.71394219774871</v>
      </c>
      <c r="DH126" s="197">
        <f t="shared" si="325"/>
        <v>0</v>
      </c>
      <c r="DI126" s="197">
        <f t="shared" si="326"/>
        <v>373.58692890375721</v>
      </c>
      <c r="DJ126" s="199">
        <f t="shared" si="327"/>
        <v>598.30087110150589</v>
      </c>
      <c r="DK126" s="196">
        <f t="shared" si="346"/>
        <v>5435.5404295410844</v>
      </c>
      <c r="DL126" s="197">
        <f t="shared" si="328"/>
        <v>3839.5352600750457</v>
      </c>
      <c r="DM126" s="197">
        <f t="shared" si="329"/>
        <v>0</v>
      </c>
      <c r="DN126" s="197">
        <f t="shared" si="330"/>
        <v>5435.5404295410844</v>
      </c>
      <c r="DO126" s="199">
        <f t="shared" si="331"/>
        <v>9275.0756896161292</v>
      </c>
    </row>
    <row r="127" spans="2:119" x14ac:dyDescent="0.3">
      <c r="B127" s="204">
        <f t="shared" si="332"/>
        <v>15</v>
      </c>
      <c r="C127" s="760">
        <f>'Energy NPV'!$D53</f>
        <v>12.54</v>
      </c>
      <c r="D127" s="197">
        <f>'Energy margins'!$L$12</f>
        <v>43.75</v>
      </c>
      <c r="E127" s="197">
        <f t="shared" si="333"/>
        <v>548.625</v>
      </c>
      <c r="F127" s="197">
        <f>'Margins summary'!$S$14</f>
        <v>330</v>
      </c>
      <c r="G127" s="197">
        <f t="shared" si="277"/>
        <v>878.625</v>
      </c>
      <c r="H127" s="197"/>
      <c r="I127" s="918">
        <f>'Energy NPV'!U53</f>
        <v>423.52324399999998</v>
      </c>
      <c r="J127" s="197"/>
      <c r="K127" s="197">
        <f t="shared" si="278"/>
        <v>423.52324399999998</v>
      </c>
      <c r="L127" s="197">
        <f t="shared" si="267"/>
        <v>125.10175600000002</v>
      </c>
      <c r="M127" s="197">
        <f t="shared" si="268"/>
        <v>455.10175600000002</v>
      </c>
      <c r="N127" s="196">
        <f t="shared" si="279"/>
        <v>362.70575621723998</v>
      </c>
      <c r="O127" s="197">
        <f t="shared" si="280"/>
        <v>218.16887592014436</v>
      </c>
      <c r="P127" s="197">
        <f t="shared" si="281"/>
        <v>279.99875778646367</v>
      </c>
      <c r="Q127" s="197">
        <f t="shared" si="282"/>
        <v>82.706998430776295</v>
      </c>
      <c r="R127" s="199">
        <f t="shared" si="283"/>
        <v>300.87587435092064</v>
      </c>
      <c r="S127" s="196">
        <f t="shared" si="334"/>
        <v>5798.2461857583248</v>
      </c>
      <c r="T127" s="197">
        <f t="shared" si="284"/>
        <v>4057.70413599519</v>
      </c>
      <c r="U127" s="197">
        <f t="shared" si="285"/>
        <v>7255.8435262741914</v>
      </c>
      <c r="V127" s="197">
        <f t="shared" si="286"/>
        <v>-1457.5973405158677</v>
      </c>
      <c r="W127" s="199">
        <f t="shared" si="287"/>
        <v>2600.1067954793216</v>
      </c>
      <c r="X127" s="197"/>
      <c r="Z127" s="204">
        <f t="shared" si="335"/>
        <v>15</v>
      </c>
      <c r="AA127" s="760">
        <f>'Energy NPV'!$D53</f>
        <v>12.54</v>
      </c>
      <c r="AB127" s="197">
        <f>'Energy margins'!$L$12</f>
        <v>43.75</v>
      </c>
      <c r="AC127" s="197">
        <f t="shared" si="336"/>
        <v>548.625</v>
      </c>
      <c r="AD127" s="197">
        <f>'Margins summary'!$S$14</f>
        <v>330</v>
      </c>
      <c r="AE127" s="197">
        <f t="shared" si="288"/>
        <v>878.625</v>
      </c>
      <c r="AF127" s="197"/>
      <c r="AG127" s="918">
        <f>'Energy NPV'!U53</f>
        <v>423.52324399999998</v>
      </c>
      <c r="AH127" s="197"/>
      <c r="AI127" s="197">
        <f t="shared" si="289"/>
        <v>635.28486599999997</v>
      </c>
      <c r="AJ127" s="197">
        <f t="shared" si="269"/>
        <v>-86.659865999999965</v>
      </c>
      <c r="AK127" s="197">
        <f t="shared" si="270"/>
        <v>243.34013400000003</v>
      </c>
      <c r="AL127" s="196">
        <f t="shared" si="290"/>
        <v>362.70575621723998</v>
      </c>
      <c r="AM127" s="197">
        <f t="shared" si="291"/>
        <v>218.16887592014436</v>
      </c>
      <c r="AN127" s="197">
        <f t="shared" si="292"/>
        <v>419.99813667969551</v>
      </c>
      <c r="AO127" s="197">
        <f t="shared" si="293"/>
        <v>-57.29238046245554</v>
      </c>
      <c r="AP127" s="199">
        <f t="shared" si="294"/>
        <v>160.8764954576888</v>
      </c>
      <c r="AQ127" s="196">
        <f t="shared" si="337"/>
        <v>5798.2461857583248</v>
      </c>
      <c r="AR127" s="197">
        <f t="shared" si="295"/>
        <v>4057.70413599519</v>
      </c>
      <c r="AS127" s="197">
        <f t="shared" si="296"/>
        <v>10883.765289411287</v>
      </c>
      <c r="AT127" s="197">
        <f t="shared" si="297"/>
        <v>-5085.519103652965</v>
      </c>
      <c r="AU127" s="199">
        <f t="shared" si="298"/>
        <v>-1027.8149676577732</v>
      </c>
      <c r="AV127" s="197"/>
      <c r="AX127" s="204">
        <f t="shared" si="338"/>
        <v>15</v>
      </c>
      <c r="AY127" s="760">
        <f>'Energy NPV'!$D53</f>
        <v>12.54</v>
      </c>
      <c r="AZ127" s="197">
        <f>'Energy margins'!$L$12</f>
        <v>43.75</v>
      </c>
      <c r="BA127" s="197">
        <f t="shared" si="339"/>
        <v>548.625</v>
      </c>
      <c r="BB127" s="197">
        <f>'Margins summary'!$S$14</f>
        <v>330</v>
      </c>
      <c r="BC127" s="197">
        <f t="shared" si="299"/>
        <v>878.625</v>
      </c>
      <c r="BD127" s="197"/>
      <c r="BE127" s="918">
        <f>'Energy NPV'!U53</f>
        <v>423.52324399999998</v>
      </c>
      <c r="BF127" s="197"/>
      <c r="BG127" s="197">
        <f t="shared" si="300"/>
        <v>211.76162199999999</v>
      </c>
      <c r="BH127" s="197">
        <f t="shared" si="271"/>
        <v>336.86337800000001</v>
      </c>
      <c r="BI127" s="197">
        <f t="shared" si="272"/>
        <v>666.86337800000001</v>
      </c>
      <c r="BJ127" s="196">
        <f t="shared" si="301"/>
        <v>362.70575621723998</v>
      </c>
      <c r="BK127" s="197">
        <f t="shared" si="302"/>
        <v>218.16887592014436</v>
      </c>
      <c r="BL127" s="197">
        <f t="shared" si="303"/>
        <v>139.99937889323184</v>
      </c>
      <c r="BM127" s="197">
        <f t="shared" si="304"/>
        <v>222.70637732400814</v>
      </c>
      <c r="BN127" s="199">
        <f t="shared" si="305"/>
        <v>440.87525324415247</v>
      </c>
      <c r="BO127" s="196">
        <f t="shared" si="340"/>
        <v>5798.2461857583248</v>
      </c>
      <c r="BP127" s="197">
        <f t="shared" si="306"/>
        <v>4057.70413599519</v>
      </c>
      <c r="BQ127" s="197">
        <f t="shared" si="307"/>
        <v>3627.9217631370957</v>
      </c>
      <c r="BR127" s="197">
        <f t="shared" si="308"/>
        <v>2170.3244226212278</v>
      </c>
      <c r="BS127" s="199">
        <f t="shared" si="309"/>
        <v>6228.0285586164173</v>
      </c>
      <c r="BT127" s="197"/>
      <c r="BV127" s="204">
        <f t="shared" si="341"/>
        <v>15</v>
      </c>
      <c r="BW127" s="760">
        <f>'Energy NPV'!$D53</f>
        <v>12.54</v>
      </c>
      <c r="BX127" s="197">
        <f>'Energy margins'!$L$12</f>
        <v>43.75</v>
      </c>
      <c r="BY127" s="197">
        <f t="shared" si="342"/>
        <v>548.625</v>
      </c>
      <c r="BZ127" s="197">
        <f>'Margins summary'!$S$14</f>
        <v>330</v>
      </c>
      <c r="CA127" s="197">
        <f t="shared" si="310"/>
        <v>878.625</v>
      </c>
      <c r="CB127" s="197"/>
      <c r="CC127" s="918">
        <f>'Energy NPV'!U53</f>
        <v>423.52324399999998</v>
      </c>
      <c r="CD127" s="197"/>
      <c r="CE127" s="197">
        <f t="shared" si="311"/>
        <v>847.04648799999995</v>
      </c>
      <c r="CF127" s="197">
        <f t="shared" si="273"/>
        <v>-298.42148799999995</v>
      </c>
      <c r="CG127" s="197">
        <f t="shared" si="274"/>
        <v>31.578512000000046</v>
      </c>
      <c r="CH127" s="196">
        <f t="shared" si="312"/>
        <v>362.70575621723998</v>
      </c>
      <c r="CI127" s="197">
        <f t="shared" si="313"/>
        <v>218.16887592014436</v>
      </c>
      <c r="CJ127" s="197">
        <f t="shared" si="314"/>
        <v>559.99751557292734</v>
      </c>
      <c r="CK127" s="197">
        <f t="shared" si="315"/>
        <v>-197.29175935568739</v>
      </c>
      <c r="CL127" s="199">
        <f t="shared" si="316"/>
        <v>20.877116564456969</v>
      </c>
      <c r="CM127" s="196">
        <f t="shared" si="343"/>
        <v>5798.2461857583248</v>
      </c>
      <c r="CN127" s="197">
        <f t="shared" si="317"/>
        <v>4057.70413599519</v>
      </c>
      <c r="CO127" s="197">
        <f t="shared" si="318"/>
        <v>14511.687052548383</v>
      </c>
      <c r="CP127" s="197">
        <f t="shared" si="319"/>
        <v>-8713.4408667900589</v>
      </c>
      <c r="CQ127" s="199">
        <f t="shared" si="320"/>
        <v>-4655.7367307948707</v>
      </c>
      <c r="CR127" s="197"/>
      <c r="CT127" s="204">
        <f t="shared" si="344"/>
        <v>15</v>
      </c>
      <c r="CU127" s="760">
        <f>'Energy NPV'!$D53</f>
        <v>12.54</v>
      </c>
      <c r="CV127" s="197">
        <f>'Energy margins'!$L$12</f>
        <v>43.75</v>
      </c>
      <c r="CW127" s="197">
        <f t="shared" si="345"/>
        <v>548.625</v>
      </c>
      <c r="CX127" s="197">
        <f>'Margins summary'!$S$14</f>
        <v>330</v>
      </c>
      <c r="CY127" s="197">
        <f t="shared" si="321"/>
        <v>878.625</v>
      </c>
      <c r="CZ127" s="197"/>
      <c r="DA127" s="918">
        <f>'Energy NPV'!U53</f>
        <v>423.52324399999998</v>
      </c>
      <c r="DB127" s="197"/>
      <c r="DC127" s="197">
        <f t="shared" si="322"/>
        <v>0</v>
      </c>
      <c r="DD127" s="197">
        <f t="shared" si="275"/>
        <v>548.625</v>
      </c>
      <c r="DE127" s="197">
        <f t="shared" si="276"/>
        <v>878.625</v>
      </c>
      <c r="DF127" s="196">
        <f t="shared" si="323"/>
        <v>362.70575621723998</v>
      </c>
      <c r="DG127" s="197">
        <f t="shared" si="324"/>
        <v>218.16887592014436</v>
      </c>
      <c r="DH127" s="197">
        <f t="shared" si="325"/>
        <v>0</v>
      </c>
      <c r="DI127" s="197">
        <f t="shared" si="326"/>
        <v>362.70575621723998</v>
      </c>
      <c r="DJ127" s="199">
        <f t="shared" si="327"/>
        <v>580.87463213738431</v>
      </c>
      <c r="DK127" s="196">
        <f t="shared" si="346"/>
        <v>5798.2461857583248</v>
      </c>
      <c r="DL127" s="197">
        <f t="shared" si="328"/>
        <v>4057.70413599519</v>
      </c>
      <c r="DM127" s="197">
        <f t="shared" si="329"/>
        <v>0</v>
      </c>
      <c r="DN127" s="197">
        <f t="shared" si="330"/>
        <v>5798.2461857583248</v>
      </c>
      <c r="DO127" s="199">
        <f t="shared" si="331"/>
        <v>9855.950321753513</v>
      </c>
    </row>
    <row r="128" spans="2:119" x14ac:dyDescent="0.3">
      <c r="B128" s="206">
        <f t="shared" si="332"/>
        <v>16</v>
      </c>
      <c r="C128" s="761">
        <f>'Energy NPV'!$D54</f>
        <v>12.54</v>
      </c>
      <c r="D128" s="207">
        <f>'Energy margins'!$L$12</f>
        <v>43.75</v>
      </c>
      <c r="E128" s="207">
        <f t="shared" si="333"/>
        <v>548.625</v>
      </c>
      <c r="F128" s="207">
        <f>'Margins summary'!$S$14</f>
        <v>330</v>
      </c>
      <c r="G128" s="207">
        <f t="shared" si="277"/>
        <v>878.625</v>
      </c>
      <c r="H128" s="207"/>
      <c r="I128" s="919">
        <f>'Energy NPV'!U54</f>
        <v>423.52324399999998</v>
      </c>
      <c r="J128" s="207">
        <f>'Energy margins'!$Q$67</f>
        <v>192.1</v>
      </c>
      <c r="K128" s="207">
        <f t="shared" si="278"/>
        <v>615.623244</v>
      </c>
      <c r="L128" s="207">
        <f t="shared" si="267"/>
        <v>-66.998244</v>
      </c>
      <c r="M128" s="207">
        <f t="shared" si="268"/>
        <v>263.001756</v>
      </c>
      <c r="N128" s="208">
        <f t="shared" si="279"/>
        <v>352.14151089052422</v>
      </c>
      <c r="O128" s="207">
        <f t="shared" si="280"/>
        <v>211.81444264091684</v>
      </c>
      <c r="P128" s="207">
        <f t="shared" si="281"/>
        <v>395.14513425652467</v>
      </c>
      <c r="Q128" s="207">
        <f t="shared" si="282"/>
        <v>-43.003623366000454</v>
      </c>
      <c r="R128" s="209">
        <f t="shared" si="283"/>
        <v>168.81081927491638</v>
      </c>
      <c r="S128" s="208">
        <f t="shared" si="334"/>
        <v>6150.3876966488488</v>
      </c>
      <c r="T128" s="207">
        <f t="shared" si="284"/>
        <v>4269.5185786361071</v>
      </c>
      <c r="U128" s="207">
        <f t="shared" si="285"/>
        <v>7650.9886605307165</v>
      </c>
      <c r="V128" s="207">
        <f t="shared" si="286"/>
        <v>-1500.6009638818682</v>
      </c>
      <c r="W128" s="209">
        <f t="shared" si="287"/>
        <v>2768.917614754238</v>
      </c>
      <c r="X128" s="197"/>
      <c r="Z128" s="206">
        <f t="shared" si="335"/>
        <v>16</v>
      </c>
      <c r="AA128" s="761">
        <f>'Energy NPV'!$D54</f>
        <v>12.54</v>
      </c>
      <c r="AB128" s="207">
        <f>'Energy margins'!$L$12</f>
        <v>43.75</v>
      </c>
      <c r="AC128" s="207">
        <f t="shared" si="336"/>
        <v>548.625</v>
      </c>
      <c r="AD128" s="207">
        <f>'Margins summary'!$S$14</f>
        <v>330</v>
      </c>
      <c r="AE128" s="207">
        <f t="shared" si="288"/>
        <v>878.625</v>
      </c>
      <c r="AF128" s="207"/>
      <c r="AG128" s="919">
        <f>'Energy NPV'!U54</f>
        <v>423.52324399999998</v>
      </c>
      <c r="AH128" s="207">
        <f>'Energy margins'!$Q$67</f>
        <v>192.1</v>
      </c>
      <c r="AI128" s="207">
        <f t="shared" si="289"/>
        <v>923.43486600000006</v>
      </c>
      <c r="AJ128" s="207">
        <f t="shared" si="269"/>
        <v>-374.80986600000006</v>
      </c>
      <c r="AK128" s="207">
        <f t="shared" si="270"/>
        <v>-44.809866000000056</v>
      </c>
      <c r="AL128" s="208">
        <f t="shared" si="290"/>
        <v>352.14151089052422</v>
      </c>
      <c r="AM128" s="207">
        <f t="shared" si="291"/>
        <v>211.81444264091684</v>
      </c>
      <c r="AN128" s="207">
        <f t="shared" si="292"/>
        <v>592.71770138478712</v>
      </c>
      <c r="AO128" s="207">
        <f t="shared" si="293"/>
        <v>-240.57619049426285</v>
      </c>
      <c r="AP128" s="209">
        <f t="shared" si="294"/>
        <v>-28.761747853346005</v>
      </c>
      <c r="AQ128" s="208">
        <f>AQ127+AL128</f>
        <v>6150.3876966488488</v>
      </c>
      <c r="AR128" s="207">
        <f t="shared" si="295"/>
        <v>4269.5185786361071</v>
      </c>
      <c r="AS128" s="207">
        <f t="shared" si="296"/>
        <v>11476.482990796074</v>
      </c>
      <c r="AT128" s="207">
        <f t="shared" si="297"/>
        <v>-5326.0952941472278</v>
      </c>
      <c r="AU128" s="209">
        <f t="shared" si="298"/>
        <v>-1056.5767155111191</v>
      </c>
      <c r="AV128" s="197"/>
      <c r="AX128" s="206">
        <f t="shared" si="338"/>
        <v>16</v>
      </c>
      <c r="AY128" s="761">
        <f>'Energy NPV'!$D54</f>
        <v>12.54</v>
      </c>
      <c r="AZ128" s="207">
        <f>'Energy margins'!$L$12</f>
        <v>43.75</v>
      </c>
      <c r="BA128" s="207">
        <f t="shared" si="339"/>
        <v>548.625</v>
      </c>
      <c r="BB128" s="207">
        <f>'Margins summary'!$S$14</f>
        <v>330</v>
      </c>
      <c r="BC128" s="207">
        <f t="shared" si="299"/>
        <v>878.625</v>
      </c>
      <c r="BD128" s="207"/>
      <c r="BE128" s="919">
        <f>'Energy NPV'!U54</f>
        <v>423.52324399999998</v>
      </c>
      <c r="BF128" s="207">
        <f>'Energy margins'!$Q$67</f>
        <v>192.1</v>
      </c>
      <c r="BG128" s="207">
        <f t="shared" si="300"/>
        <v>307.811622</v>
      </c>
      <c r="BH128" s="207">
        <f t="shared" si="271"/>
        <v>240.813378</v>
      </c>
      <c r="BI128" s="207">
        <f t="shared" si="272"/>
        <v>570.81337800000006</v>
      </c>
      <c r="BJ128" s="208">
        <f t="shared" si="301"/>
        <v>352.14151089052422</v>
      </c>
      <c r="BK128" s="207">
        <f t="shared" si="302"/>
        <v>211.81444264091684</v>
      </c>
      <c r="BL128" s="207">
        <f t="shared" si="303"/>
        <v>197.57256712826234</v>
      </c>
      <c r="BM128" s="207">
        <f t="shared" si="304"/>
        <v>154.56894376226188</v>
      </c>
      <c r="BN128" s="209">
        <f t="shared" si="305"/>
        <v>366.38338640317875</v>
      </c>
      <c r="BO128" s="208">
        <f t="shared" si="340"/>
        <v>6150.3876966488488</v>
      </c>
      <c r="BP128" s="207">
        <f t="shared" si="306"/>
        <v>4269.5185786361071</v>
      </c>
      <c r="BQ128" s="207">
        <f t="shared" si="307"/>
        <v>3825.4943302653583</v>
      </c>
      <c r="BR128" s="207">
        <f t="shared" si="308"/>
        <v>2324.8933663834896</v>
      </c>
      <c r="BS128" s="209">
        <f t="shared" si="309"/>
        <v>6594.4119450195958</v>
      </c>
      <c r="BT128" s="197"/>
      <c r="BV128" s="206">
        <f t="shared" si="341"/>
        <v>16</v>
      </c>
      <c r="BW128" s="761">
        <f>'Energy NPV'!$D54</f>
        <v>12.54</v>
      </c>
      <c r="BX128" s="207">
        <f>'Energy margins'!$L$12</f>
        <v>43.75</v>
      </c>
      <c r="BY128" s="207">
        <f t="shared" si="342"/>
        <v>548.625</v>
      </c>
      <c r="BZ128" s="207">
        <f>'Margins summary'!$S$14</f>
        <v>330</v>
      </c>
      <c r="CA128" s="207">
        <f t="shared" si="310"/>
        <v>878.625</v>
      </c>
      <c r="CB128" s="207"/>
      <c r="CC128" s="919">
        <f>'Energy NPV'!U54</f>
        <v>423.52324399999998</v>
      </c>
      <c r="CD128" s="207">
        <f>'Energy margins'!$Q$67</f>
        <v>192.1</v>
      </c>
      <c r="CE128" s="207">
        <f t="shared" si="311"/>
        <v>1231.246488</v>
      </c>
      <c r="CF128" s="207">
        <f t="shared" si="273"/>
        <v>-682.621488</v>
      </c>
      <c r="CG128" s="207">
        <f t="shared" si="274"/>
        <v>-352.621488</v>
      </c>
      <c r="CH128" s="208">
        <f t="shared" si="312"/>
        <v>352.14151089052422</v>
      </c>
      <c r="CI128" s="207">
        <f t="shared" si="313"/>
        <v>211.81444264091684</v>
      </c>
      <c r="CJ128" s="207">
        <f t="shared" si="314"/>
        <v>790.29026851304934</v>
      </c>
      <c r="CK128" s="207">
        <f t="shared" si="315"/>
        <v>-438.14875762252512</v>
      </c>
      <c r="CL128" s="209">
        <f t="shared" si="316"/>
        <v>-226.33431498160832</v>
      </c>
      <c r="CM128" s="208">
        <f t="shared" si="343"/>
        <v>6150.3876966488488</v>
      </c>
      <c r="CN128" s="207">
        <f t="shared" si="317"/>
        <v>4269.5185786361071</v>
      </c>
      <c r="CO128" s="207">
        <f t="shared" si="318"/>
        <v>15301.977321061433</v>
      </c>
      <c r="CP128" s="207">
        <f t="shared" si="319"/>
        <v>-9151.5896244125834</v>
      </c>
      <c r="CQ128" s="209">
        <f t="shared" si="320"/>
        <v>-4882.071045776479</v>
      </c>
      <c r="CR128" s="197"/>
      <c r="CT128" s="206">
        <f t="shared" si="344"/>
        <v>16</v>
      </c>
      <c r="CU128" s="761">
        <f>'Energy NPV'!$D54</f>
        <v>12.54</v>
      </c>
      <c r="CV128" s="207">
        <f>'Energy margins'!$L$12</f>
        <v>43.75</v>
      </c>
      <c r="CW128" s="207">
        <f t="shared" si="345"/>
        <v>548.625</v>
      </c>
      <c r="CX128" s="207">
        <f>'Margins summary'!$S$14</f>
        <v>330</v>
      </c>
      <c r="CY128" s="207">
        <f t="shared" si="321"/>
        <v>878.625</v>
      </c>
      <c r="CZ128" s="207"/>
      <c r="DA128" s="919">
        <f>'Energy NPV'!U54</f>
        <v>423.52324399999998</v>
      </c>
      <c r="DB128" s="207">
        <f>'Energy margins'!$Q$67</f>
        <v>192.1</v>
      </c>
      <c r="DC128" s="207">
        <f t="shared" si="322"/>
        <v>0</v>
      </c>
      <c r="DD128" s="207">
        <f t="shared" si="275"/>
        <v>548.625</v>
      </c>
      <c r="DE128" s="207">
        <f t="shared" si="276"/>
        <v>878.625</v>
      </c>
      <c r="DF128" s="208">
        <f t="shared" si="323"/>
        <v>352.14151089052422</v>
      </c>
      <c r="DG128" s="207">
        <f t="shared" si="324"/>
        <v>211.81444264091684</v>
      </c>
      <c r="DH128" s="207">
        <f t="shared" si="325"/>
        <v>0</v>
      </c>
      <c r="DI128" s="207">
        <f t="shared" si="326"/>
        <v>352.14151089052422</v>
      </c>
      <c r="DJ128" s="209">
        <f>DE128/((1+$B$4)^(CT128-1))</f>
        <v>563.95595353144108</v>
      </c>
      <c r="DK128" s="208">
        <f t="shared" si="346"/>
        <v>6150.3876966488488</v>
      </c>
      <c r="DL128" s="207">
        <f t="shared" si="328"/>
        <v>4269.5185786361071</v>
      </c>
      <c r="DM128" s="207">
        <f t="shared" si="329"/>
        <v>0</v>
      </c>
      <c r="DN128" s="207">
        <f t="shared" si="330"/>
        <v>6150.3876966488488</v>
      </c>
      <c r="DO128" s="209">
        <f t="shared" si="331"/>
        <v>10419.906275284953</v>
      </c>
    </row>
    <row r="134" spans="2:118" x14ac:dyDescent="0.3">
      <c r="B134" s="212" t="s">
        <v>255</v>
      </c>
      <c r="C134" s="763" t="s">
        <v>404</v>
      </c>
      <c r="D134" s="269" t="s">
        <v>395</v>
      </c>
      <c r="E134" s="913">
        <v>1</v>
      </c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Z134" s="212" t="s">
        <v>255</v>
      </c>
      <c r="AA134" s="763" t="s">
        <v>405</v>
      </c>
      <c r="AB134" s="269" t="s">
        <v>395</v>
      </c>
      <c r="AC134" s="913">
        <v>1.5</v>
      </c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X134" s="212" t="s">
        <v>255</v>
      </c>
      <c r="AY134" s="763" t="s">
        <v>406</v>
      </c>
      <c r="AZ134" s="269" t="s">
        <v>395</v>
      </c>
      <c r="BA134" s="913">
        <v>0.5</v>
      </c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V134" s="212" t="s">
        <v>255</v>
      </c>
      <c r="BW134" s="763" t="s">
        <v>407</v>
      </c>
      <c r="BX134" s="269" t="s">
        <v>395</v>
      </c>
      <c r="BY134" s="913">
        <v>2</v>
      </c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  <c r="CM134" s="102"/>
      <c r="CN134" s="102"/>
      <c r="CT134" s="212" t="s">
        <v>255</v>
      </c>
      <c r="CU134" s="763" t="s">
        <v>433</v>
      </c>
      <c r="CV134" s="269" t="s">
        <v>395</v>
      </c>
      <c r="CW134" s="913">
        <v>0</v>
      </c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  <c r="DI134" s="102"/>
      <c r="DJ134" s="102"/>
      <c r="DK134" s="102"/>
      <c r="DL134" s="102"/>
    </row>
    <row r="135" spans="2:118" x14ac:dyDescent="0.3">
      <c r="B135" s="203"/>
      <c r="D135" s="158"/>
      <c r="E135" s="758"/>
      <c r="F135" s="758"/>
      <c r="G135" s="758"/>
      <c r="H135" s="148"/>
      <c r="I135" s="148"/>
      <c r="J135" s="758"/>
      <c r="K135" s="148"/>
      <c r="L135" s="148"/>
      <c r="M135" s="894" t="s">
        <v>270</v>
      </c>
      <c r="N135" s="895"/>
      <c r="O135" s="895"/>
      <c r="P135" s="895"/>
      <c r="Q135" s="896"/>
      <c r="R135" s="894" t="s">
        <v>271</v>
      </c>
      <c r="S135" s="895"/>
      <c r="T135" s="895"/>
      <c r="U135" s="895"/>
      <c r="V135" s="896"/>
      <c r="Z135" s="203"/>
      <c r="AB135" s="158"/>
      <c r="AC135" s="758"/>
      <c r="AD135" s="758"/>
      <c r="AE135" s="758"/>
      <c r="AF135" s="148"/>
      <c r="AG135" s="148"/>
      <c r="AH135" s="758"/>
      <c r="AI135" s="148"/>
      <c r="AJ135" s="148"/>
      <c r="AK135" s="894" t="s">
        <v>270</v>
      </c>
      <c r="AL135" s="895"/>
      <c r="AM135" s="895"/>
      <c r="AN135" s="895"/>
      <c r="AO135" s="896"/>
      <c r="AP135" s="894" t="s">
        <v>271</v>
      </c>
      <c r="AQ135" s="895"/>
      <c r="AR135" s="895"/>
      <c r="AS135" s="895"/>
      <c r="AT135" s="896"/>
      <c r="AX135" s="203"/>
      <c r="AZ135" s="158"/>
      <c r="BA135" s="758"/>
      <c r="BB135" s="758"/>
      <c r="BC135" s="758"/>
      <c r="BD135" s="148"/>
      <c r="BE135" s="148"/>
      <c r="BF135" s="758"/>
      <c r="BG135" s="148"/>
      <c r="BH135" s="148"/>
      <c r="BI135" s="894" t="s">
        <v>270</v>
      </c>
      <c r="BJ135" s="895"/>
      <c r="BK135" s="895"/>
      <c r="BL135" s="895"/>
      <c r="BM135" s="896"/>
      <c r="BN135" s="894" t="s">
        <v>271</v>
      </c>
      <c r="BO135" s="895"/>
      <c r="BP135" s="895"/>
      <c r="BQ135" s="895"/>
      <c r="BR135" s="896"/>
      <c r="BV135" s="203"/>
      <c r="BX135" s="158"/>
      <c r="BY135" s="758"/>
      <c r="BZ135" s="758"/>
      <c r="CA135" s="758"/>
      <c r="CB135" s="148"/>
      <c r="CC135" s="148"/>
      <c r="CD135" s="758"/>
      <c r="CE135" s="148"/>
      <c r="CF135" s="148"/>
      <c r="CG135" s="894" t="s">
        <v>270</v>
      </c>
      <c r="CH135" s="895"/>
      <c r="CI135" s="895"/>
      <c r="CJ135" s="895"/>
      <c r="CK135" s="896"/>
      <c r="CL135" s="894" t="s">
        <v>271</v>
      </c>
      <c r="CM135" s="895"/>
      <c r="CN135" s="895"/>
      <c r="CO135" s="895"/>
      <c r="CP135" s="896"/>
      <c r="CT135" s="203"/>
      <c r="CV135" s="158"/>
      <c r="CW135" s="758"/>
      <c r="CX135" s="758"/>
      <c r="CY135" s="758"/>
      <c r="CZ135" s="148"/>
      <c r="DA135" s="148"/>
      <c r="DB135" s="758"/>
      <c r="DC135" s="148"/>
      <c r="DD135" s="148"/>
      <c r="DE135" s="894" t="s">
        <v>270</v>
      </c>
      <c r="DF135" s="895"/>
      <c r="DG135" s="895"/>
      <c r="DH135" s="895"/>
      <c r="DI135" s="896"/>
      <c r="DJ135" s="894" t="s">
        <v>271</v>
      </c>
      <c r="DK135" s="895"/>
      <c r="DL135" s="895"/>
      <c r="DM135" s="895"/>
      <c r="DN135" s="896"/>
    </row>
    <row r="136" spans="2:118" ht="51" x14ac:dyDescent="0.3">
      <c r="B136" s="204" t="s">
        <v>272</v>
      </c>
      <c r="C136" s="205" t="s">
        <v>289</v>
      </c>
      <c r="D136" s="205" t="s">
        <v>290</v>
      </c>
      <c r="E136" s="171" t="s">
        <v>676</v>
      </c>
      <c r="F136" s="171" t="s">
        <v>672</v>
      </c>
      <c r="G136" s="171" t="s">
        <v>677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276</v>
      </c>
      <c r="K136" s="171" t="s">
        <v>678</v>
      </c>
      <c r="L136" s="171" t="s">
        <v>679</v>
      </c>
      <c r="M136" s="195" t="s">
        <v>277</v>
      </c>
      <c r="N136" s="171" t="s">
        <v>680</v>
      </c>
      <c r="O136" s="171" t="s">
        <v>278</v>
      </c>
      <c r="P136" s="171" t="s">
        <v>681</v>
      </c>
      <c r="Q136" s="198" t="s">
        <v>279</v>
      </c>
      <c r="R136" s="195" t="s">
        <v>280</v>
      </c>
      <c r="S136" s="171" t="s">
        <v>682</v>
      </c>
      <c r="T136" s="171" t="s">
        <v>281</v>
      </c>
      <c r="U136" s="171" t="s">
        <v>683</v>
      </c>
      <c r="V136" s="198" t="s">
        <v>282</v>
      </c>
      <c r="Z136" s="204" t="s">
        <v>272</v>
      </c>
      <c r="AA136" s="205" t="s">
        <v>289</v>
      </c>
      <c r="AB136" s="205" t="s">
        <v>290</v>
      </c>
      <c r="AC136" s="171" t="s">
        <v>676</v>
      </c>
      <c r="AD136" s="171" t="s">
        <v>672</v>
      </c>
      <c r="AE136" s="171" t="s">
        <v>677</v>
      </c>
      <c r="AF136" s="205" t="str">
        <f>'Arable NPV'!$G$141</f>
        <v>Total Variable Costs</v>
      </c>
      <c r="AG136" s="205" t="str">
        <f>'Arable NPV'!$H$141</f>
        <v>Total Fixed Costs</v>
      </c>
      <c r="AH136" s="171" t="s">
        <v>276</v>
      </c>
      <c r="AI136" s="171" t="s">
        <v>678</v>
      </c>
      <c r="AJ136" s="171" t="s">
        <v>679</v>
      </c>
      <c r="AK136" s="195" t="s">
        <v>277</v>
      </c>
      <c r="AL136" s="171" t="s">
        <v>680</v>
      </c>
      <c r="AM136" s="171" t="s">
        <v>278</v>
      </c>
      <c r="AN136" s="171" t="s">
        <v>681</v>
      </c>
      <c r="AO136" s="198" t="s">
        <v>279</v>
      </c>
      <c r="AP136" s="195" t="s">
        <v>280</v>
      </c>
      <c r="AQ136" s="171" t="s">
        <v>682</v>
      </c>
      <c r="AR136" s="171" t="s">
        <v>281</v>
      </c>
      <c r="AS136" s="171" t="s">
        <v>683</v>
      </c>
      <c r="AT136" s="198" t="s">
        <v>282</v>
      </c>
      <c r="AX136" s="204" t="s">
        <v>272</v>
      </c>
      <c r="AY136" s="205" t="s">
        <v>289</v>
      </c>
      <c r="AZ136" s="205" t="s">
        <v>290</v>
      </c>
      <c r="BA136" s="171" t="s">
        <v>676</v>
      </c>
      <c r="BB136" s="171" t="s">
        <v>672</v>
      </c>
      <c r="BC136" s="171" t="s">
        <v>677</v>
      </c>
      <c r="BD136" s="205" t="str">
        <f>'Arable NPV'!$G$141</f>
        <v>Total Variable Costs</v>
      </c>
      <c r="BE136" s="205" t="str">
        <f>'Arable NPV'!$H$141</f>
        <v>Total Fixed Costs</v>
      </c>
      <c r="BF136" s="171" t="s">
        <v>276</v>
      </c>
      <c r="BG136" s="171" t="s">
        <v>678</v>
      </c>
      <c r="BH136" s="171" t="s">
        <v>679</v>
      </c>
      <c r="BI136" s="195" t="s">
        <v>277</v>
      </c>
      <c r="BJ136" s="171" t="s">
        <v>680</v>
      </c>
      <c r="BK136" s="171" t="s">
        <v>278</v>
      </c>
      <c r="BL136" s="171" t="s">
        <v>681</v>
      </c>
      <c r="BM136" s="198" t="s">
        <v>279</v>
      </c>
      <c r="BN136" s="195" t="s">
        <v>280</v>
      </c>
      <c r="BO136" s="171" t="s">
        <v>682</v>
      </c>
      <c r="BP136" s="171" t="s">
        <v>281</v>
      </c>
      <c r="BQ136" s="171" t="s">
        <v>683</v>
      </c>
      <c r="BR136" s="198" t="s">
        <v>282</v>
      </c>
      <c r="BV136" s="204" t="s">
        <v>272</v>
      </c>
      <c r="BW136" s="205" t="s">
        <v>289</v>
      </c>
      <c r="BX136" s="205" t="s">
        <v>290</v>
      </c>
      <c r="BY136" s="171" t="s">
        <v>676</v>
      </c>
      <c r="BZ136" s="171" t="s">
        <v>672</v>
      </c>
      <c r="CA136" s="171" t="s">
        <v>677</v>
      </c>
      <c r="CB136" s="205" t="str">
        <f>'Arable NPV'!$G$141</f>
        <v>Total Variable Costs</v>
      </c>
      <c r="CC136" s="205" t="str">
        <f>'Arable NPV'!$H$141</f>
        <v>Total Fixed Costs</v>
      </c>
      <c r="CD136" s="171" t="s">
        <v>276</v>
      </c>
      <c r="CE136" s="171" t="s">
        <v>678</v>
      </c>
      <c r="CF136" s="171" t="s">
        <v>679</v>
      </c>
      <c r="CG136" s="195" t="s">
        <v>277</v>
      </c>
      <c r="CH136" s="171" t="s">
        <v>680</v>
      </c>
      <c r="CI136" s="171" t="s">
        <v>278</v>
      </c>
      <c r="CJ136" s="171" t="s">
        <v>681</v>
      </c>
      <c r="CK136" s="198" t="s">
        <v>279</v>
      </c>
      <c r="CL136" s="195" t="s">
        <v>280</v>
      </c>
      <c r="CM136" s="171" t="s">
        <v>682</v>
      </c>
      <c r="CN136" s="171" t="s">
        <v>281</v>
      </c>
      <c r="CO136" s="171" t="s">
        <v>683</v>
      </c>
      <c r="CP136" s="198" t="s">
        <v>282</v>
      </c>
      <c r="CT136" s="204" t="s">
        <v>272</v>
      </c>
      <c r="CU136" s="205" t="s">
        <v>289</v>
      </c>
      <c r="CV136" s="205" t="s">
        <v>290</v>
      </c>
      <c r="CW136" s="171" t="s">
        <v>676</v>
      </c>
      <c r="CX136" s="171" t="s">
        <v>672</v>
      </c>
      <c r="CY136" s="171" t="s">
        <v>677</v>
      </c>
      <c r="CZ136" s="205" t="str">
        <f>'Arable NPV'!$G$141</f>
        <v>Total Variable Costs</v>
      </c>
      <c r="DA136" s="205" t="str">
        <f>'Arable NPV'!$H$141</f>
        <v>Total Fixed Costs</v>
      </c>
      <c r="DB136" s="171" t="s">
        <v>276</v>
      </c>
      <c r="DC136" s="171" t="s">
        <v>678</v>
      </c>
      <c r="DD136" s="171" t="s">
        <v>679</v>
      </c>
      <c r="DE136" s="195" t="s">
        <v>277</v>
      </c>
      <c r="DF136" s="171" t="s">
        <v>680</v>
      </c>
      <c r="DG136" s="171" t="s">
        <v>278</v>
      </c>
      <c r="DH136" s="171" t="s">
        <v>681</v>
      </c>
      <c r="DI136" s="198" t="s">
        <v>279</v>
      </c>
      <c r="DJ136" s="195" t="s">
        <v>280</v>
      </c>
      <c r="DK136" s="171" t="s">
        <v>682</v>
      </c>
      <c r="DL136" s="171" t="s">
        <v>281</v>
      </c>
      <c r="DM136" s="171" t="s">
        <v>683</v>
      </c>
      <c r="DN136" s="198" t="s">
        <v>282</v>
      </c>
    </row>
    <row r="137" spans="2:118" x14ac:dyDescent="0.3">
      <c r="B137" s="173"/>
      <c r="C137" s="226" t="s">
        <v>332</v>
      </c>
      <c r="D137" s="226" t="s">
        <v>569</v>
      </c>
      <c r="E137" s="201" t="s">
        <v>567</v>
      </c>
      <c r="F137" s="201" t="s">
        <v>567</v>
      </c>
      <c r="G137" s="201" t="s">
        <v>567</v>
      </c>
      <c r="H137" s="201" t="s">
        <v>567</v>
      </c>
      <c r="I137" s="201" t="s">
        <v>567</v>
      </c>
      <c r="J137" s="201" t="s">
        <v>567</v>
      </c>
      <c r="K137" s="201" t="s">
        <v>567</v>
      </c>
      <c r="L137" s="202" t="s">
        <v>567</v>
      </c>
      <c r="M137" s="201" t="s">
        <v>567</v>
      </c>
      <c r="N137" s="201" t="s">
        <v>567</v>
      </c>
      <c r="O137" s="201" t="s">
        <v>567</v>
      </c>
      <c r="P137" s="201" t="s">
        <v>567</v>
      </c>
      <c r="Q137" s="202" t="s">
        <v>567</v>
      </c>
      <c r="R137" s="201" t="s">
        <v>567</v>
      </c>
      <c r="S137" s="201" t="s">
        <v>567</v>
      </c>
      <c r="T137" s="201" t="s">
        <v>567</v>
      </c>
      <c r="U137" s="201" t="s">
        <v>567</v>
      </c>
      <c r="V137" s="202" t="s">
        <v>567</v>
      </c>
      <c r="Z137" s="173"/>
      <c r="AA137" s="226" t="s">
        <v>332</v>
      </c>
      <c r="AB137" s="226" t="s">
        <v>569</v>
      </c>
      <c r="AC137" s="201" t="s">
        <v>567</v>
      </c>
      <c r="AD137" s="201" t="s">
        <v>567</v>
      </c>
      <c r="AE137" s="201" t="s">
        <v>567</v>
      </c>
      <c r="AF137" s="201" t="s">
        <v>567</v>
      </c>
      <c r="AG137" s="201" t="s">
        <v>567</v>
      </c>
      <c r="AH137" s="201" t="s">
        <v>567</v>
      </c>
      <c r="AI137" s="201" t="s">
        <v>567</v>
      </c>
      <c r="AJ137" s="202" t="s">
        <v>567</v>
      </c>
      <c r="AK137" s="201" t="s">
        <v>567</v>
      </c>
      <c r="AL137" s="201" t="s">
        <v>567</v>
      </c>
      <c r="AM137" s="201" t="s">
        <v>567</v>
      </c>
      <c r="AN137" s="201" t="s">
        <v>567</v>
      </c>
      <c r="AO137" s="202" t="s">
        <v>567</v>
      </c>
      <c r="AP137" s="201" t="s">
        <v>567</v>
      </c>
      <c r="AQ137" s="201" t="s">
        <v>567</v>
      </c>
      <c r="AR137" s="201" t="s">
        <v>567</v>
      </c>
      <c r="AS137" s="201" t="s">
        <v>567</v>
      </c>
      <c r="AT137" s="202" t="s">
        <v>567</v>
      </c>
      <c r="AX137" s="173"/>
      <c r="AY137" s="226" t="s">
        <v>332</v>
      </c>
      <c r="AZ137" s="226" t="s">
        <v>569</v>
      </c>
      <c r="BA137" s="201" t="s">
        <v>567</v>
      </c>
      <c r="BB137" s="201" t="s">
        <v>567</v>
      </c>
      <c r="BC137" s="201" t="s">
        <v>567</v>
      </c>
      <c r="BD137" s="201" t="s">
        <v>567</v>
      </c>
      <c r="BE137" s="201" t="s">
        <v>567</v>
      </c>
      <c r="BF137" s="201" t="s">
        <v>567</v>
      </c>
      <c r="BG137" s="201" t="s">
        <v>567</v>
      </c>
      <c r="BH137" s="202" t="s">
        <v>567</v>
      </c>
      <c r="BI137" s="201" t="s">
        <v>567</v>
      </c>
      <c r="BJ137" s="201" t="s">
        <v>567</v>
      </c>
      <c r="BK137" s="201" t="s">
        <v>567</v>
      </c>
      <c r="BL137" s="201" t="s">
        <v>567</v>
      </c>
      <c r="BM137" s="202" t="s">
        <v>567</v>
      </c>
      <c r="BN137" s="201" t="s">
        <v>567</v>
      </c>
      <c r="BO137" s="201" t="s">
        <v>567</v>
      </c>
      <c r="BP137" s="201" t="s">
        <v>567</v>
      </c>
      <c r="BQ137" s="201" t="s">
        <v>567</v>
      </c>
      <c r="BR137" s="202" t="s">
        <v>567</v>
      </c>
      <c r="BV137" s="173"/>
      <c r="BW137" s="226" t="s">
        <v>332</v>
      </c>
      <c r="BX137" s="226" t="s">
        <v>569</v>
      </c>
      <c r="BY137" s="201" t="s">
        <v>567</v>
      </c>
      <c r="BZ137" s="201" t="s">
        <v>567</v>
      </c>
      <c r="CA137" s="201" t="s">
        <v>567</v>
      </c>
      <c r="CB137" s="201" t="s">
        <v>567</v>
      </c>
      <c r="CC137" s="201" t="s">
        <v>567</v>
      </c>
      <c r="CD137" s="201" t="s">
        <v>567</v>
      </c>
      <c r="CE137" s="201" t="s">
        <v>567</v>
      </c>
      <c r="CF137" s="202" t="s">
        <v>567</v>
      </c>
      <c r="CG137" s="201" t="s">
        <v>567</v>
      </c>
      <c r="CH137" s="201" t="s">
        <v>567</v>
      </c>
      <c r="CI137" s="201" t="s">
        <v>567</v>
      </c>
      <c r="CJ137" s="201" t="s">
        <v>567</v>
      </c>
      <c r="CK137" s="202" t="s">
        <v>567</v>
      </c>
      <c r="CL137" s="201" t="s">
        <v>567</v>
      </c>
      <c r="CM137" s="201" t="s">
        <v>567</v>
      </c>
      <c r="CN137" s="201" t="s">
        <v>567</v>
      </c>
      <c r="CO137" s="201" t="s">
        <v>567</v>
      </c>
      <c r="CP137" s="202" t="s">
        <v>567</v>
      </c>
      <c r="CT137" s="173"/>
      <c r="CU137" s="226" t="s">
        <v>332</v>
      </c>
      <c r="CV137" s="226" t="s">
        <v>569</v>
      </c>
      <c r="CW137" s="201" t="s">
        <v>567</v>
      </c>
      <c r="CX137" s="201" t="s">
        <v>567</v>
      </c>
      <c r="CY137" s="201" t="s">
        <v>567</v>
      </c>
      <c r="CZ137" s="201" t="s">
        <v>567</v>
      </c>
      <c r="DA137" s="201" t="s">
        <v>567</v>
      </c>
      <c r="DB137" s="201" t="s">
        <v>567</v>
      </c>
      <c r="DC137" s="201" t="s">
        <v>567</v>
      </c>
      <c r="DD137" s="202" t="s">
        <v>567</v>
      </c>
      <c r="DE137" s="201" t="s">
        <v>567</v>
      </c>
      <c r="DF137" s="201" t="s">
        <v>567</v>
      </c>
      <c r="DG137" s="201" t="s">
        <v>567</v>
      </c>
      <c r="DH137" s="201" t="s">
        <v>567</v>
      </c>
      <c r="DI137" s="202" t="s">
        <v>567</v>
      </c>
      <c r="DJ137" s="201" t="s">
        <v>567</v>
      </c>
      <c r="DK137" s="201" t="s">
        <v>567</v>
      </c>
      <c r="DL137" s="201" t="s">
        <v>567</v>
      </c>
      <c r="DM137" s="201" t="s">
        <v>567</v>
      </c>
      <c r="DN137" s="202" t="s">
        <v>567</v>
      </c>
    </row>
    <row r="138" spans="2:118" x14ac:dyDescent="0.3">
      <c r="B138" s="899">
        <v>1</v>
      </c>
      <c r="C138" s="911">
        <f>'Arable Inputs'!$H$18</f>
        <v>9.4</v>
      </c>
      <c r="D138" s="760">
        <f>'Arable Inputs'!$H$25</f>
        <v>94.285714285714292</v>
      </c>
      <c r="E138" s="762">
        <f>C138*D138</f>
        <v>886.28571428571433</v>
      </c>
      <c r="F138" s="197">
        <f>'Arable NPV'!$D117</f>
        <v>330</v>
      </c>
      <c r="G138" s="197">
        <f>E138+F138</f>
        <v>1216.2857142857142</v>
      </c>
      <c r="H138" s="197">
        <f>'Arable NPV'!$F117</f>
        <v>566.71194999999989</v>
      </c>
      <c r="I138" s="197">
        <f>'Arable NPV'!$G117</f>
        <v>691.46913599999993</v>
      </c>
      <c r="J138" s="197">
        <f>(H138+I138)*$E$134</f>
        <v>1258.1810859999998</v>
      </c>
      <c r="K138" s="197">
        <f>E138-J138</f>
        <v>-371.89537171428549</v>
      </c>
      <c r="L138" s="197">
        <f>G138-J138</f>
        <v>-41.895371714285602</v>
      </c>
      <c r="M138" s="1033">
        <f>E138/(1+$B$4)^(B138-1)</f>
        <v>886.28571428571433</v>
      </c>
      <c r="N138" s="213">
        <f>F138/(1+$B$4)^(B138-1)</f>
        <v>330</v>
      </c>
      <c r="O138" s="213">
        <f>J138/(1+$B$4)^(B138-1)</f>
        <v>1258.1810859999998</v>
      </c>
      <c r="P138" s="213">
        <f>K138/(1+$B$4)^(B138-1)</f>
        <v>-371.89537171428549</v>
      </c>
      <c r="Q138" s="929">
        <f>L138/(1+$B$4)^(B138-1)</f>
        <v>-41.895371714285602</v>
      </c>
      <c r="R138" s="196">
        <f>M138</f>
        <v>886.28571428571433</v>
      </c>
      <c r="S138" s="197">
        <f>N138</f>
        <v>330</v>
      </c>
      <c r="T138" s="197">
        <f>O138</f>
        <v>1258.1810859999998</v>
      </c>
      <c r="U138" s="197">
        <f>P138</f>
        <v>-371.89537171428549</v>
      </c>
      <c r="V138" s="199">
        <f>Q138</f>
        <v>-41.895371714285602</v>
      </c>
      <c r="Z138" s="899">
        <v>1</v>
      </c>
      <c r="AA138" s="911">
        <f>'Arable Inputs'!$H$18</f>
        <v>9.4</v>
      </c>
      <c r="AB138" s="760">
        <f>'Arable Inputs'!$H$25</f>
        <v>94.285714285714292</v>
      </c>
      <c r="AC138" s="762">
        <f>AA138*AB138</f>
        <v>886.28571428571433</v>
      </c>
      <c r="AD138" s="197">
        <f>'Arable NPV'!$D117</f>
        <v>330</v>
      </c>
      <c r="AE138" s="197">
        <f>AC138+AD138</f>
        <v>1216.2857142857142</v>
      </c>
      <c r="AF138" s="197">
        <f>'Arable NPV'!$F117</f>
        <v>566.71194999999989</v>
      </c>
      <c r="AG138" s="197">
        <f>'Arable NPV'!$G117</f>
        <v>691.46913599999993</v>
      </c>
      <c r="AH138" s="197">
        <f>(AF138+AG138)*$AC$134</f>
        <v>1887.2716289999998</v>
      </c>
      <c r="AI138" s="197">
        <f>AC138-AH138</f>
        <v>-1000.9859147142855</v>
      </c>
      <c r="AJ138" s="197">
        <f>AE138-AH138</f>
        <v>-670.98591471428563</v>
      </c>
      <c r="AK138" s="1033">
        <f>AC138/(1+$B$4)^(Z138-1)</f>
        <v>886.28571428571433</v>
      </c>
      <c r="AL138" s="213">
        <f>AD138/(1+$B$4)^(Z138-1)</f>
        <v>330</v>
      </c>
      <c r="AM138" s="213">
        <f>AH138/(1+$B$4)^(Z138-1)</f>
        <v>1887.2716289999998</v>
      </c>
      <c r="AN138" s="213">
        <f>AI138/(1+$B$4)^(Z138-1)</f>
        <v>-1000.9859147142855</v>
      </c>
      <c r="AO138" s="929">
        <f>AJ138/(1+$B$4)^(Z138-1)</f>
        <v>-670.98591471428563</v>
      </c>
      <c r="AP138" s="196">
        <f>AK138</f>
        <v>886.28571428571433</v>
      </c>
      <c r="AQ138" s="197">
        <f>AL138</f>
        <v>330</v>
      </c>
      <c r="AR138" s="197">
        <f>AM138</f>
        <v>1887.2716289999998</v>
      </c>
      <c r="AS138" s="197">
        <f>AN138</f>
        <v>-1000.9859147142855</v>
      </c>
      <c r="AT138" s="199">
        <f>AO138</f>
        <v>-670.98591471428563</v>
      </c>
      <c r="AX138" s="899">
        <v>1</v>
      </c>
      <c r="AY138" s="911">
        <f>'Arable Inputs'!$H$18</f>
        <v>9.4</v>
      </c>
      <c r="AZ138" s="760">
        <f>'Arable Inputs'!$H$25</f>
        <v>94.285714285714292</v>
      </c>
      <c r="BA138" s="762">
        <f>AY138*AZ138</f>
        <v>886.28571428571433</v>
      </c>
      <c r="BB138" s="197">
        <f>'Arable NPV'!$D117</f>
        <v>330</v>
      </c>
      <c r="BC138" s="197">
        <f>BA138+BB138</f>
        <v>1216.2857142857142</v>
      </c>
      <c r="BD138" s="197">
        <f>'Arable NPV'!$F117</f>
        <v>566.71194999999989</v>
      </c>
      <c r="BE138" s="197">
        <f>'Arable NPV'!$G117</f>
        <v>691.46913599999993</v>
      </c>
      <c r="BF138" s="197">
        <f>(BD138+BE138)*$BA$134</f>
        <v>629.09054299999991</v>
      </c>
      <c r="BG138" s="197">
        <f>BA138-BF138</f>
        <v>257.19517128571442</v>
      </c>
      <c r="BH138" s="197">
        <f>BC138-BF138</f>
        <v>587.19517128571431</v>
      </c>
      <c r="BI138" s="1033">
        <f>BA138/(1+$B$4)^(AX138-1)</f>
        <v>886.28571428571433</v>
      </c>
      <c r="BJ138" s="213">
        <f>BB138/(1+$B$4)^(AX138-1)</f>
        <v>330</v>
      </c>
      <c r="BK138" s="213">
        <f>BF138/(1+$B$4)^(AX138-1)</f>
        <v>629.09054299999991</v>
      </c>
      <c r="BL138" s="213">
        <f>BG138/(1+$B$4)^(AX138-1)</f>
        <v>257.19517128571442</v>
      </c>
      <c r="BM138" s="929">
        <f>BH138/(1+$B$4)^(AX138-1)</f>
        <v>587.19517128571431</v>
      </c>
      <c r="BN138" s="196">
        <f>BI138</f>
        <v>886.28571428571433</v>
      </c>
      <c r="BO138" s="197">
        <f>BJ138</f>
        <v>330</v>
      </c>
      <c r="BP138" s="197">
        <f>BK138</f>
        <v>629.09054299999991</v>
      </c>
      <c r="BQ138" s="197">
        <f>BL138</f>
        <v>257.19517128571442</v>
      </c>
      <c r="BR138" s="199">
        <f>BM138</f>
        <v>587.19517128571431</v>
      </c>
      <c r="BV138" s="899">
        <v>1</v>
      </c>
      <c r="BW138" s="911">
        <f>'Arable Inputs'!$H$18</f>
        <v>9.4</v>
      </c>
      <c r="BX138" s="760">
        <f>'Arable Inputs'!$H$25</f>
        <v>94.285714285714292</v>
      </c>
      <c r="BY138" s="762">
        <f>BW138*BX138</f>
        <v>886.28571428571433</v>
      </c>
      <c r="BZ138" s="197">
        <f>'Arable NPV'!$D117</f>
        <v>330</v>
      </c>
      <c r="CA138" s="197">
        <f>BY138+BZ138</f>
        <v>1216.2857142857142</v>
      </c>
      <c r="CB138" s="197">
        <f>'Arable NPV'!$F117</f>
        <v>566.71194999999989</v>
      </c>
      <c r="CC138" s="197">
        <f>'Arable NPV'!$G117</f>
        <v>691.46913599999993</v>
      </c>
      <c r="CD138" s="197">
        <f>(CB138+CC138)*$BY$134</f>
        <v>2516.3621719999996</v>
      </c>
      <c r="CE138" s="197">
        <f>BY138-CD138</f>
        <v>-1630.0764577142854</v>
      </c>
      <c r="CF138" s="197">
        <f>CA138-CD138</f>
        <v>-1300.0764577142854</v>
      </c>
      <c r="CG138" s="1033">
        <f>BY138/(1+$B$4)^(BV138-1)</f>
        <v>886.28571428571433</v>
      </c>
      <c r="CH138" s="213">
        <f>BZ138/(1+$B$4)^(BV138-1)</f>
        <v>330</v>
      </c>
      <c r="CI138" s="213">
        <f>CD138/(1+$B$4)^(BV138-1)</f>
        <v>2516.3621719999996</v>
      </c>
      <c r="CJ138" s="213">
        <f>CE138/(1+$B$4)^(BV138-1)</f>
        <v>-1630.0764577142854</v>
      </c>
      <c r="CK138" s="929">
        <f>CF138/(1+$B$4)^(BV138-1)</f>
        <v>-1300.0764577142854</v>
      </c>
      <c r="CL138" s="196">
        <f>CG138</f>
        <v>886.28571428571433</v>
      </c>
      <c r="CM138" s="197">
        <f>CH138</f>
        <v>330</v>
      </c>
      <c r="CN138" s="197">
        <f>CI138</f>
        <v>2516.3621719999996</v>
      </c>
      <c r="CO138" s="197">
        <f>CJ138</f>
        <v>-1630.0764577142854</v>
      </c>
      <c r="CP138" s="199">
        <f>CK138</f>
        <v>-1300.0764577142854</v>
      </c>
      <c r="CT138" s="899">
        <v>1</v>
      </c>
      <c r="CU138" s="911">
        <f>'Arable Inputs'!$H$18</f>
        <v>9.4</v>
      </c>
      <c r="CV138" s="760">
        <f>'Arable Inputs'!$H$25</f>
        <v>94.285714285714292</v>
      </c>
      <c r="CW138" s="762">
        <f>CU138*CV138</f>
        <v>886.28571428571433</v>
      </c>
      <c r="CX138" s="197">
        <f>'Arable NPV'!$D117</f>
        <v>330</v>
      </c>
      <c r="CY138" s="197">
        <f>CW138+CX138</f>
        <v>1216.2857142857142</v>
      </c>
      <c r="CZ138" s="197">
        <f>'Arable NPV'!$F117</f>
        <v>566.71194999999989</v>
      </c>
      <c r="DA138" s="197">
        <f>'Arable NPV'!$G117</f>
        <v>691.46913599999993</v>
      </c>
      <c r="DB138" s="197">
        <f>(CZ138+DA138)*$CW$134</f>
        <v>0</v>
      </c>
      <c r="DC138" s="197">
        <f>CW138-DB138</f>
        <v>886.28571428571433</v>
      </c>
      <c r="DD138" s="197">
        <f>CY138-DB138</f>
        <v>1216.2857142857142</v>
      </c>
      <c r="DE138" s="1033">
        <f>CW138/(1+$B$4)^(CT138-1)</f>
        <v>886.28571428571433</v>
      </c>
      <c r="DF138" s="213">
        <f>CX138/(1+$B$4)^(CT138-1)</f>
        <v>330</v>
      </c>
      <c r="DG138" s="213">
        <f>DB138/(1+$B$4)^(CT138-1)</f>
        <v>0</v>
      </c>
      <c r="DH138" s="213">
        <f>DC138/(1+$B$4)^(CT138-1)</f>
        <v>886.28571428571433</v>
      </c>
      <c r="DI138" s="929">
        <f>DD138/(1+$B$4)^(CT138-1)</f>
        <v>1216.2857142857142</v>
      </c>
      <c r="DJ138" s="196">
        <f>DE138</f>
        <v>886.28571428571433</v>
      </c>
      <c r="DK138" s="197">
        <f>DF138</f>
        <v>330</v>
      </c>
      <c r="DL138" s="197">
        <f>DG138</f>
        <v>0</v>
      </c>
      <c r="DM138" s="197">
        <f>DH138</f>
        <v>886.28571428571433</v>
      </c>
      <c r="DN138" s="199">
        <f>DI138</f>
        <v>1216.2857142857142</v>
      </c>
    </row>
    <row r="139" spans="2:118" x14ac:dyDescent="0.3">
      <c r="B139" s="900">
        <v>2</v>
      </c>
      <c r="C139" s="911">
        <f>'Arable Inputs'!$H$18</f>
        <v>9.4</v>
      </c>
      <c r="D139" s="760">
        <f>'Arable Inputs'!$H$25</f>
        <v>94.285714285714292</v>
      </c>
      <c r="E139" s="762">
        <f t="shared" ref="E139:E153" si="347">C139*D139</f>
        <v>886.28571428571433</v>
      </c>
      <c r="F139" s="197">
        <f>'Arable NPV'!$D118</f>
        <v>330</v>
      </c>
      <c r="G139" s="197">
        <f>E139+F139</f>
        <v>1216.2857142857142</v>
      </c>
      <c r="H139" s="197">
        <f>'Arable NPV'!$F118</f>
        <v>566.71194999999989</v>
      </c>
      <c r="I139" s="197">
        <f>'Arable NPV'!$G118</f>
        <v>691.46913599999993</v>
      </c>
      <c r="J139" s="197">
        <f t="shared" ref="J139:J153" si="348">(H139+I139)*$E$134</f>
        <v>1258.1810859999998</v>
      </c>
      <c r="K139" s="197">
        <f t="shared" ref="K139:K153" si="349">E139-J139</f>
        <v>-371.89537171428549</v>
      </c>
      <c r="L139" s="197">
        <f t="shared" ref="L139:L153" si="350">G139-J139</f>
        <v>-41.895371714285602</v>
      </c>
      <c r="M139" s="196">
        <f t="shared" ref="M139:M153" si="351">E139/(1+$B$4)^(B139-1)</f>
        <v>860.47156726768378</v>
      </c>
      <c r="N139" s="197">
        <f t="shared" ref="N139:N153" si="352">F139/(1+$B$4)^(B139-1)</f>
        <v>320.38834951456312</v>
      </c>
      <c r="O139" s="197">
        <f t="shared" ref="O139:O153" si="353">J139/(1+$B$4)^(B139-1)</f>
        <v>1221.5350349514561</v>
      </c>
      <c r="P139" s="197">
        <f t="shared" ref="P139:P153" si="354">K139/(1+$B$4)^(B139-1)</f>
        <v>-361.06346768377233</v>
      </c>
      <c r="Q139" s="199">
        <f t="shared" ref="Q139:Q153" si="355">L139/(1+$B$4)^(B139-1)</f>
        <v>-40.67511816920932</v>
      </c>
      <c r="R139" s="196">
        <f t="shared" ref="R139:V153" si="356">R138+M139</f>
        <v>1746.7572815533981</v>
      </c>
      <c r="S139" s="197">
        <f t="shared" si="356"/>
        <v>650.38834951456306</v>
      </c>
      <c r="T139" s="197">
        <f t="shared" si="356"/>
        <v>2479.7161209514561</v>
      </c>
      <c r="U139" s="197">
        <f t="shared" si="356"/>
        <v>-732.95883939805776</v>
      </c>
      <c r="V139" s="199">
        <f t="shared" si="356"/>
        <v>-82.570489883494929</v>
      </c>
      <c r="Z139" s="900">
        <v>2</v>
      </c>
      <c r="AA139" s="911">
        <f>'Arable Inputs'!$H$18</f>
        <v>9.4</v>
      </c>
      <c r="AB139" s="760">
        <f>'Arable Inputs'!$H$25</f>
        <v>94.285714285714292</v>
      </c>
      <c r="AC139" s="762">
        <f t="shared" ref="AC139:AC153" si="357">AA139*AB139</f>
        <v>886.28571428571433</v>
      </c>
      <c r="AD139" s="197">
        <f>'Arable NPV'!$D118</f>
        <v>330</v>
      </c>
      <c r="AE139" s="197">
        <f>AC139+AD139</f>
        <v>1216.2857142857142</v>
      </c>
      <c r="AF139" s="197">
        <f>'Arable NPV'!$F118</f>
        <v>566.71194999999989</v>
      </c>
      <c r="AG139" s="197">
        <f>'Arable NPV'!$G118</f>
        <v>691.46913599999993</v>
      </c>
      <c r="AH139" s="197">
        <f t="shared" ref="AH139:AH153" si="358">(AF139+AG139)*$AC$134</f>
        <v>1887.2716289999998</v>
      </c>
      <c r="AI139" s="197">
        <f t="shared" ref="AI139:AI153" si="359">AC139-AH139</f>
        <v>-1000.9859147142855</v>
      </c>
      <c r="AJ139" s="197">
        <f t="shared" ref="AJ139:AJ153" si="360">AE139-AH139</f>
        <v>-670.98591471428563</v>
      </c>
      <c r="AK139" s="196">
        <f t="shared" ref="AK139:AK153" si="361">AC139/(1+$B$4)^(Z139-1)</f>
        <v>860.47156726768378</v>
      </c>
      <c r="AL139" s="197">
        <f t="shared" ref="AL139:AL153" si="362">AD139/(1+$B$4)^(Z139-1)</f>
        <v>320.38834951456312</v>
      </c>
      <c r="AM139" s="197">
        <f t="shared" ref="AM139:AM153" si="363">AH139/(1+$B$4)^(Z139-1)</f>
        <v>1832.3025524271843</v>
      </c>
      <c r="AN139" s="197">
        <f t="shared" ref="AN139:AN153" si="364">AI139/(1+$B$4)^(Z139-1)</f>
        <v>-971.83098515950053</v>
      </c>
      <c r="AO139" s="199">
        <f t="shared" ref="AO139:AO153" si="365">AJ139/(1+$B$4)^(Z139-1)</f>
        <v>-651.44263564493747</v>
      </c>
      <c r="AP139" s="196">
        <f t="shared" ref="AP139:AP153" si="366">AP138+AK139</f>
        <v>1746.7572815533981</v>
      </c>
      <c r="AQ139" s="197">
        <f t="shared" ref="AQ139:AQ153" si="367">AQ138+AL139</f>
        <v>650.38834951456306</v>
      </c>
      <c r="AR139" s="197">
        <f t="shared" ref="AR139:AR153" si="368">AR138+AM139</f>
        <v>3719.5741814271842</v>
      </c>
      <c r="AS139" s="197">
        <f t="shared" ref="AS139:AS153" si="369">AS138+AN139</f>
        <v>-1972.816899873786</v>
      </c>
      <c r="AT139" s="199">
        <f t="shared" ref="AT139:AT153" si="370">AT138+AO139</f>
        <v>-1322.4285503592232</v>
      </c>
      <c r="AX139" s="900">
        <v>2</v>
      </c>
      <c r="AY139" s="911">
        <f>'Arable Inputs'!$H$18</f>
        <v>9.4</v>
      </c>
      <c r="AZ139" s="760">
        <f>'Arable Inputs'!$H$25</f>
        <v>94.285714285714292</v>
      </c>
      <c r="BA139" s="762">
        <f t="shared" ref="BA139:BA153" si="371">AY139*AZ139</f>
        <v>886.28571428571433</v>
      </c>
      <c r="BB139" s="197">
        <f>'Arable NPV'!$D118</f>
        <v>330</v>
      </c>
      <c r="BC139" s="197">
        <f>BA139+BB139</f>
        <v>1216.2857142857142</v>
      </c>
      <c r="BD139" s="197">
        <f>'Arable NPV'!$F118</f>
        <v>566.71194999999989</v>
      </c>
      <c r="BE139" s="197">
        <f>'Arable NPV'!$G118</f>
        <v>691.46913599999993</v>
      </c>
      <c r="BF139" s="197">
        <f t="shared" ref="BF139:BF153" si="372">(BD139+BE139)*$BA$134</f>
        <v>629.09054299999991</v>
      </c>
      <c r="BG139" s="197">
        <f t="shared" ref="BG139:BG153" si="373">BA139-BF139</f>
        <v>257.19517128571442</v>
      </c>
      <c r="BH139" s="197">
        <f t="shared" ref="BH139:BH153" si="374">BC139-BF139</f>
        <v>587.19517128571431</v>
      </c>
      <c r="BI139" s="196">
        <f t="shared" ref="BI139:BI153" si="375">BA139/(1+$B$4)^(AX139-1)</f>
        <v>860.47156726768378</v>
      </c>
      <c r="BJ139" s="197">
        <f t="shared" ref="BJ139:BJ153" si="376">BB139/(1+$B$4)^(AX139-1)</f>
        <v>320.38834951456312</v>
      </c>
      <c r="BK139" s="197">
        <f t="shared" ref="BK139:BK153" si="377">BF139/(1+$B$4)^(AX139-1)</f>
        <v>610.76751747572803</v>
      </c>
      <c r="BL139" s="197">
        <f t="shared" ref="BL139:BL153" si="378">BG139/(1+$B$4)^(AX139-1)</f>
        <v>249.70404979195575</v>
      </c>
      <c r="BM139" s="199">
        <f t="shared" ref="BM139:BM153" si="379">BH139/(1+$B$4)^(AX139-1)</f>
        <v>570.0923993065187</v>
      </c>
      <c r="BN139" s="196">
        <f t="shared" ref="BN139:BN153" si="380">BN138+BI139</f>
        <v>1746.7572815533981</v>
      </c>
      <c r="BO139" s="197">
        <f t="shared" ref="BO139:BO153" si="381">BO138+BJ139</f>
        <v>650.38834951456306</v>
      </c>
      <c r="BP139" s="197">
        <f t="shared" ref="BP139:BP153" si="382">BP138+BK139</f>
        <v>1239.8580604757281</v>
      </c>
      <c r="BQ139" s="197">
        <f t="shared" ref="BQ139:BQ153" si="383">BQ138+BL139</f>
        <v>506.89922107767018</v>
      </c>
      <c r="BR139" s="199">
        <f t="shared" ref="BR139:BR153" si="384">BR138+BM139</f>
        <v>1157.2875705922329</v>
      </c>
      <c r="BV139" s="900">
        <v>2</v>
      </c>
      <c r="BW139" s="911">
        <f>'Arable Inputs'!$H$18</f>
        <v>9.4</v>
      </c>
      <c r="BX139" s="760">
        <f>'Arable Inputs'!$H$25</f>
        <v>94.285714285714292</v>
      </c>
      <c r="BY139" s="762">
        <f t="shared" ref="BY139:BY153" si="385">BW139*BX139</f>
        <v>886.28571428571433</v>
      </c>
      <c r="BZ139" s="197">
        <f>'Arable NPV'!$D118</f>
        <v>330</v>
      </c>
      <c r="CA139" s="197">
        <f>BY139+BZ139</f>
        <v>1216.2857142857142</v>
      </c>
      <c r="CB139" s="197">
        <f>'Arable NPV'!$F118</f>
        <v>566.71194999999989</v>
      </c>
      <c r="CC139" s="197">
        <f>'Arable NPV'!$G118</f>
        <v>691.46913599999993</v>
      </c>
      <c r="CD139" s="197">
        <f t="shared" ref="CD139:CD153" si="386">(CB139+CC139)*$BY$134</f>
        <v>2516.3621719999996</v>
      </c>
      <c r="CE139" s="197">
        <f t="shared" ref="CE139:CE153" si="387">BY139-CD139</f>
        <v>-1630.0764577142854</v>
      </c>
      <c r="CF139" s="197">
        <f t="shared" ref="CF139:CF153" si="388">CA139-CD139</f>
        <v>-1300.0764577142854</v>
      </c>
      <c r="CG139" s="196">
        <f t="shared" ref="CG139:CG153" si="389">BY139/(1+$B$4)^(BV139-1)</f>
        <v>860.47156726768378</v>
      </c>
      <c r="CH139" s="197">
        <f t="shared" ref="CH139:CH153" si="390">BZ139/(1+$B$4)^(BV139-1)</f>
        <v>320.38834951456312</v>
      </c>
      <c r="CI139" s="197">
        <f t="shared" ref="CI139:CI153" si="391">CD139/(1+$B$4)^(BV139-1)</f>
        <v>2443.0700699029121</v>
      </c>
      <c r="CJ139" s="197">
        <f t="shared" ref="CJ139:CJ153" si="392">CE139/(1+$B$4)^(BV139-1)</f>
        <v>-1582.5985026352284</v>
      </c>
      <c r="CK139" s="199">
        <f t="shared" ref="CK139:CK153" si="393">CF139/(1+$B$4)^(BV139-1)</f>
        <v>-1262.2101531206654</v>
      </c>
      <c r="CL139" s="196">
        <f t="shared" ref="CL139:CL153" si="394">CL138+CG139</f>
        <v>1746.7572815533981</v>
      </c>
      <c r="CM139" s="197">
        <f t="shared" ref="CM139:CM153" si="395">CM138+CH139</f>
        <v>650.38834951456306</v>
      </c>
      <c r="CN139" s="197">
        <f t="shared" ref="CN139:CN153" si="396">CN138+CI139</f>
        <v>4959.4322419029122</v>
      </c>
      <c r="CO139" s="197">
        <f t="shared" ref="CO139:CO153" si="397">CO138+CJ139</f>
        <v>-3212.6749603495136</v>
      </c>
      <c r="CP139" s="199">
        <f t="shared" ref="CP139:CP153" si="398">CP138+CK139</f>
        <v>-2562.2866108349508</v>
      </c>
      <c r="CT139" s="900">
        <v>2</v>
      </c>
      <c r="CU139" s="911">
        <f>'Arable Inputs'!$H$18</f>
        <v>9.4</v>
      </c>
      <c r="CV139" s="760">
        <f>'Arable Inputs'!$H$25</f>
        <v>94.285714285714292</v>
      </c>
      <c r="CW139" s="762">
        <f t="shared" ref="CW139:CW153" si="399">CU139*CV139</f>
        <v>886.28571428571433</v>
      </c>
      <c r="CX139" s="197">
        <f>'Arable NPV'!$D118</f>
        <v>330</v>
      </c>
      <c r="CY139" s="197">
        <f>CW139+CX139</f>
        <v>1216.2857142857142</v>
      </c>
      <c r="CZ139" s="197">
        <f>'Arable NPV'!$F118</f>
        <v>566.71194999999989</v>
      </c>
      <c r="DA139" s="197">
        <f>'Arable NPV'!$G118</f>
        <v>691.46913599999993</v>
      </c>
      <c r="DB139" s="197">
        <f t="shared" ref="DB139:DB153" si="400">(CZ139+DA139)*$CW$134</f>
        <v>0</v>
      </c>
      <c r="DC139" s="197">
        <f t="shared" ref="DC139:DC153" si="401">CW139-DB139</f>
        <v>886.28571428571433</v>
      </c>
      <c r="DD139" s="197">
        <f t="shared" ref="DD139:DD153" si="402">CY139-DB139</f>
        <v>1216.2857142857142</v>
      </c>
      <c r="DE139" s="196">
        <f t="shared" ref="DE139:DE153" si="403">CW139/(1+$B$4)^(CT139-1)</f>
        <v>860.47156726768378</v>
      </c>
      <c r="DF139" s="197">
        <f t="shared" ref="DF139:DF153" si="404">CX139/(1+$B$4)^(CT139-1)</f>
        <v>320.38834951456312</v>
      </c>
      <c r="DG139" s="197">
        <f t="shared" ref="DG139:DG153" si="405">DB139/(1+$B$4)^(CT139-1)</f>
        <v>0</v>
      </c>
      <c r="DH139" s="197">
        <f t="shared" ref="DH139:DH153" si="406">DC139/(1+$B$4)^(CT139-1)</f>
        <v>860.47156726768378</v>
      </c>
      <c r="DI139" s="199">
        <f t="shared" ref="DI139:DI152" si="407">DD139/(1+$B$4)^(CT139-1)</f>
        <v>1180.8599167822467</v>
      </c>
      <c r="DJ139" s="196">
        <f t="shared" ref="DJ139:DJ153" si="408">DJ138+DE139</f>
        <v>1746.7572815533981</v>
      </c>
      <c r="DK139" s="197">
        <f t="shared" ref="DK139:DK153" si="409">DK138+DF139</f>
        <v>650.38834951456306</v>
      </c>
      <c r="DL139" s="197">
        <f t="shared" ref="DL139:DL153" si="410">DL138+DG139</f>
        <v>0</v>
      </c>
      <c r="DM139" s="197">
        <f t="shared" ref="DM139:DM153" si="411">DM138+DH139</f>
        <v>1746.7572815533981</v>
      </c>
      <c r="DN139" s="199">
        <f t="shared" ref="DN139:DN153" si="412">DN138+DI139</f>
        <v>2397.1456310679609</v>
      </c>
    </row>
    <row r="140" spans="2:118" x14ac:dyDescent="0.3">
      <c r="B140" s="900">
        <v>3</v>
      </c>
      <c r="C140" s="911">
        <f>'Arable Inputs'!$H$18</f>
        <v>9.4</v>
      </c>
      <c r="D140" s="760">
        <f>'Arable Inputs'!$H$25</f>
        <v>94.285714285714292</v>
      </c>
      <c r="E140" s="762">
        <f t="shared" si="347"/>
        <v>886.28571428571433</v>
      </c>
      <c r="F140" s="197">
        <f>'Arable NPV'!$D119</f>
        <v>330</v>
      </c>
      <c r="G140" s="197">
        <f t="shared" ref="G140:G152" si="413">E140+F140</f>
        <v>1216.2857142857142</v>
      </c>
      <c r="H140" s="197">
        <f>'Arable NPV'!$F119</f>
        <v>566.71194999999989</v>
      </c>
      <c r="I140" s="197">
        <f>'Arable NPV'!$G119</f>
        <v>691.46913599999993</v>
      </c>
      <c r="J140" s="197">
        <f t="shared" si="348"/>
        <v>1258.1810859999998</v>
      </c>
      <c r="K140" s="197">
        <f t="shared" si="349"/>
        <v>-371.89537171428549</v>
      </c>
      <c r="L140" s="197">
        <f t="shared" si="350"/>
        <v>-41.895371714285602</v>
      </c>
      <c r="M140" s="196">
        <f t="shared" si="351"/>
        <v>835.40928860940176</v>
      </c>
      <c r="N140" s="197">
        <f t="shared" si="352"/>
        <v>311.05665001413894</v>
      </c>
      <c r="O140" s="197">
        <f t="shared" si="353"/>
        <v>1185.9563446130642</v>
      </c>
      <c r="P140" s="197">
        <f t="shared" si="354"/>
        <v>-350.54705600366248</v>
      </c>
      <c r="Q140" s="199">
        <f t="shared" si="355"/>
        <v>-39.490405989523616</v>
      </c>
      <c r="R140" s="196">
        <f t="shared" si="356"/>
        <v>2582.1665701627999</v>
      </c>
      <c r="S140" s="197">
        <f t="shared" si="356"/>
        <v>961.44499952870206</v>
      </c>
      <c r="T140" s="197">
        <f t="shared" si="356"/>
        <v>3665.6724655645203</v>
      </c>
      <c r="U140" s="197">
        <f t="shared" si="356"/>
        <v>-1083.5058954017202</v>
      </c>
      <c r="V140" s="199">
        <f t="shared" si="356"/>
        <v>-122.06089587301855</v>
      </c>
      <c r="Z140" s="900">
        <v>3</v>
      </c>
      <c r="AA140" s="911">
        <f>'Arable Inputs'!$H$18</f>
        <v>9.4</v>
      </c>
      <c r="AB140" s="760">
        <f>'Arable Inputs'!$H$25</f>
        <v>94.285714285714292</v>
      </c>
      <c r="AC140" s="762">
        <f t="shared" si="357"/>
        <v>886.28571428571433</v>
      </c>
      <c r="AD140" s="197">
        <f>'Arable NPV'!$D119</f>
        <v>330</v>
      </c>
      <c r="AE140" s="197">
        <f t="shared" ref="AE140:AE152" si="414">AC140+AD140</f>
        <v>1216.2857142857142</v>
      </c>
      <c r="AF140" s="197">
        <f>'Arable NPV'!$F119</f>
        <v>566.71194999999989</v>
      </c>
      <c r="AG140" s="197">
        <f>'Arable NPV'!$G119</f>
        <v>691.46913599999993</v>
      </c>
      <c r="AH140" s="197">
        <f t="shared" si="358"/>
        <v>1887.2716289999998</v>
      </c>
      <c r="AI140" s="197">
        <f t="shared" si="359"/>
        <v>-1000.9859147142855</v>
      </c>
      <c r="AJ140" s="197">
        <f t="shared" si="360"/>
        <v>-670.98591471428563</v>
      </c>
      <c r="AK140" s="196">
        <f t="shared" si="361"/>
        <v>835.40928860940176</v>
      </c>
      <c r="AL140" s="197">
        <f t="shared" si="362"/>
        <v>311.05665001413894</v>
      </c>
      <c r="AM140" s="197">
        <f t="shared" si="363"/>
        <v>1778.9345169195965</v>
      </c>
      <c r="AN140" s="197">
        <f t="shared" si="364"/>
        <v>-943.52522831019473</v>
      </c>
      <c r="AO140" s="199">
        <f t="shared" si="365"/>
        <v>-632.46857829605585</v>
      </c>
      <c r="AP140" s="196">
        <f t="shared" si="366"/>
        <v>2582.1665701627999</v>
      </c>
      <c r="AQ140" s="197">
        <f t="shared" si="367"/>
        <v>961.44499952870206</v>
      </c>
      <c r="AR140" s="197">
        <f t="shared" si="368"/>
        <v>5498.5086983467809</v>
      </c>
      <c r="AS140" s="197">
        <f t="shared" si="369"/>
        <v>-2916.342128183981</v>
      </c>
      <c r="AT140" s="199">
        <f t="shared" si="370"/>
        <v>-1954.8971286552792</v>
      </c>
      <c r="AX140" s="900">
        <v>3</v>
      </c>
      <c r="AY140" s="911">
        <f>'Arable Inputs'!$H$18</f>
        <v>9.4</v>
      </c>
      <c r="AZ140" s="760">
        <f>'Arable Inputs'!$H$25</f>
        <v>94.285714285714292</v>
      </c>
      <c r="BA140" s="762">
        <f t="shared" si="371"/>
        <v>886.28571428571433</v>
      </c>
      <c r="BB140" s="197">
        <f>'Arable NPV'!$D119</f>
        <v>330</v>
      </c>
      <c r="BC140" s="197">
        <f t="shared" ref="BC140:BC152" si="415">BA140+BB140</f>
        <v>1216.2857142857142</v>
      </c>
      <c r="BD140" s="197">
        <f>'Arable NPV'!$F119</f>
        <v>566.71194999999989</v>
      </c>
      <c r="BE140" s="197">
        <f>'Arable NPV'!$G119</f>
        <v>691.46913599999993</v>
      </c>
      <c r="BF140" s="197">
        <f t="shared" si="372"/>
        <v>629.09054299999991</v>
      </c>
      <c r="BG140" s="197">
        <f t="shared" si="373"/>
        <v>257.19517128571442</v>
      </c>
      <c r="BH140" s="197">
        <f t="shared" si="374"/>
        <v>587.19517128571431</v>
      </c>
      <c r="BI140" s="196">
        <f t="shared" si="375"/>
        <v>835.40928860940176</v>
      </c>
      <c r="BJ140" s="197">
        <f t="shared" si="376"/>
        <v>311.05665001413894</v>
      </c>
      <c r="BK140" s="197">
        <f t="shared" si="377"/>
        <v>592.97817230653209</v>
      </c>
      <c r="BL140" s="197">
        <f t="shared" si="378"/>
        <v>242.43111630286967</v>
      </c>
      <c r="BM140" s="199">
        <f t="shared" si="379"/>
        <v>553.48776631700855</v>
      </c>
      <c r="BN140" s="196">
        <f t="shared" si="380"/>
        <v>2582.1665701627999</v>
      </c>
      <c r="BO140" s="197">
        <f t="shared" si="381"/>
        <v>961.44499952870206</v>
      </c>
      <c r="BP140" s="197">
        <f t="shared" si="382"/>
        <v>1832.8362327822601</v>
      </c>
      <c r="BQ140" s="197">
        <f t="shared" si="383"/>
        <v>749.33033738053985</v>
      </c>
      <c r="BR140" s="199">
        <f t="shared" si="384"/>
        <v>1710.7753369092416</v>
      </c>
      <c r="BV140" s="900">
        <v>3</v>
      </c>
      <c r="BW140" s="911">
        <f>'Arable Inputs'!$H$18</f>
        <v>9.4</v>
      </c>
      <c r="BX140" s="760">
        <f>'Arable Inputs'!$H$25</f>
        <v>94.285714285714292</v>
      </c>
      <c r="BY140" s="762">
        <f t="shared" si="385"/>
        <v>886.28571428571433</v>
      </c>
      <c r="BZ140" s="197">
        <f>'Arable NPV'!$D119</f>
        <v>330</v>
      </c>
      <c r="CA140" s="197">
        <f t="shared" ref="CA140:CA152" si="416">BY140+BZ140</f>
        <v>1216.2857142857142</v>
      </c>
      <c r="CB140" s="197">
        <f>'Arable NPV'!$F119</f>
        <v>566.71194999999989</v>
      </c>
      <c r="CC140" s="197">
        <f>'Arable NPV'!$G119</f>
        <v>691.46913599999993</v>
      </c>
      <c r="CD140" s="197">
        <f t="shared" si="386"/>
        <v>2516.3621719999996</v>
      </c>
      <c r="CE140" s="197">
        <f t="shared" si="387"/>
        <v>-1630.0764577142854</v>
      </c>
      <c r="CF140" s="197">
        <f t="shared" si="388"/>
        <v>-1300.0764577142854</v>
      </c>
      <c r="CG140" s="196">
        <f t="shared" si="389"/>
        <v>835.40928860940176</v>
      </c>
      <c r="CH140" s="197">
        <f t="shared" si="390"/>
        <v>311.05665001413894</v>
      </c>
      <c r="CI140" s="197">
        <f t="shared" si="391"/>
        <v>2371.9126892261284</v>
      </c>
      <c r="CJ140" s="197">
        <f t="shared" si="392"/>
        <v>-1536.5034006167268</v>
      </c>
      <c r="CK140" s="199">
        <f t="shared" si="393"/>
        <v>-1225.4467506025878</v>
      </c>
      <c r="CL140" s="196">
        <f t="shared" si="394"/>
        <v>2582.1665701627999</v>
      </c>
      <c r="CM140" s="197">
        <f t="shared" si="395"/>
        <v>961.44499952870206</v>
      </c>
      <c r="CN140" s="197">
        <f t="shared" si="396"/>
        <v>7331.3449311290406</v>
      </c>
      <c r="CO140" s="197">
        <f t="shared" si="397"/>
        <v>-4749.1783609662407</v>
      </c>
      <c r="CP140" s="199">
        <f t="shared" si="398"/>
        <v>-3787.7333614375384</v>
      </c>
      <c r="CT140" s="900">
        <v>3</v>
      </c>
      <c r="CU140" s="911">
        <f>'Arable Inputs'!$H$18</f>
        <v>9.4</v>
      </c>
      <c r="CV140" s="760">
        <f>'Arable Inputs'!$H$25</f>
        <v>94.285714285714292</v>
      </c>
      <c r="CW140" s="762">
        <f t="shared" si="399"/>
        <v>886.28571428571433</v>
      </c>
      <c r="CX140" s="197">
        <f>'Arable NPV'!$D119</f>
        <v>330</v>
      </c>
      <c r="CY140" s="197">
        <f t="shared" ref="CY140:CY152" si="417">CW140+CX140</f>
        <v>1216.2857142857142</v>
      </c>
      <c r="CZ140" s="197">
        <f>'Arable NPV'!$F119</f>
        <v>566.71194999999989</v>
      </c>
      <c r="DA140" s="197">
        <f>'Arable NPV'!$G119</f>
        <v>691.46913599999993</v>
      </c>
      <c r="DB140" s="197">
        <f t="shared" si="400"/>
        <v>0</v>
      </c>
      <c r="DC140" s="197">
        <f t="shared" si="401"/>
        <v>886.28571428571433</v>
      </c>
      <c r="DD140" s="197">
        <f t="shared" si="402"/>
        <v>1216.2857142857142</v>
      </c>
      <c r="DE140" s="196">
        <f t="shared" si="403"/>
        <v>835.40928860940176</v>
      </c>
      <c r="DF140" s="197">
        <f t="shared" si="404"/>
        <v>311.05665001413894</v>
      </c>
      <c r="DG140" s="197">
        <f t="shared" si="405"/>
        <v>0</v>
      </c>
      <c r="DH140" s="197">
        <f t="shared" si="406"/>
        <v>835.40928860940176</v>
      </c>
      <c r="DI140" s="199">
        <f t="shared" si="407"/>
        <v>1146.4659386235408</v>
      </c>
      <c r="DJ140" s="196">
        <f t="shared" si="408"/>
        <v>2582.1665701627999</v>
      </c>
      <c r="DK140" s="197">
        <f t="shared" si="409"/>
        <v>961.44499952870206</v>
      </c>
      <c r="DL140" s="197">
        <f t="shared" si="410"/>
        <v>0</v>
      </c>
      <c r="DM140" s="197">
        <f t="shared" si="411"/>
        <v>2582.1665701627999</v>
      </c>
      <c r="DN140" s="199">
        <f t="shared" si="412"/>
        <v>3543.6115696915017</v>
      </c>
    </row>
    <row r="141" spans="2:118" x14ac:dyDescent="0.3">
      <c r="B141" s="900">
        <v>4</v>
      </c>
      <c r="C141" s="911">
        <f>'Arable Inputs'!$H$18</f>
        <v>9.4</v>
      </c>
      <c r="D141" s="760">
        <f>'Arable Inputs'!$H$25</f>
        <v>94.285714285714292</v>
      </c>
      <c r="E141" s="762">
        <f t="shared" si="347"/>
        <v>886.28571428571433</v>
      </c>
      <c r="F141" s="197">
        <f>'Arable NPV'!$D120</f>
        <v>330</v>
      </c>
      <c r="G141" s="197">
        <f t="shared" si="413"/>
        <v>1216.2857142857142</v>
      </c>
      <c r="H141" s="197">
        <f>'Arable NPV'!$F120</f>
        <v>566.71194999999989</v>
      </c>
      <c r="I141" s="197">
        <f>'Arable NPV'!$G120</f>
        <v>691.46913599999993</v>
      </c>
      <c r="J141" s="197">
        <f t="shared" si="348"/>
        <v>1258.1810859999998</v>
      </c>
      <c r="K141" s="197">
        <f t="shared" si="349"/>
        <v>-371.89537171428549</v>
      </c>
      <c r="L141" s="197">
        <f t="shared" si="350"/>
        <v>-41.895371714285602</v>
      </c>
      <c r="M141" s="196">
        <f t="shared" si="351"/>
        <v>811.07697923242893</v>
      </c>
      <c r="N141" s="197">
        <f t="shared" si="352"/>
        <v>301.99674758654265</v>
      </c>
      <c r="O141" s="197">
        <f t="shared" si="353"/>
        <v>1151.4139268088002</v>
      </c>
      <c r="P141" s="197">
        <f t="shared" si="354"/>
        <v>-340.3369475763713</v>
      </c>
      <c r="Q141" s="199">
        <f t="shared" si="355"/>
        <v>-38.340199989828754</v>
      </c>
      <c r="R141" s="196">
        <f t="shared" si="356"/>
        <v>3393.2435493952289</v>
      </c>
      <c r="S141" s="197">
        <f t="shared" si="356"/>
        <v>1263.4417471152447</v>
      </c>
      <c r="T141" s="197">
        <f t="shared" si="356"/>
        <v>4817.0863923733205</v>
      </c>
      <c r="U141" s="197">
        <f t="shared" si="356"/>
        <v>-1423.8428429780915</v>
      </c>
      <c r="V141" s="199">
        <f t="shared" si="356"/>
        <v>-160.40109586284731</v>
      </c>
      <c r="Z141" s="900">
        <v>4</v>
      </c>
      <c r="AA141" s="911">
        <f>'Arable Inputs'!$H$18</f>
        <v>9.4</v>
      </c>
      <c r="AB141" s="760">
        <f>'Arable Inputs'!$H$25</f>
        <v>94.285714285714292</v>
      </c>
      <c r="AC141" s="762">
        <f t="shared" si="357"/>
        <v>886.28571428571433</v>
      </c>
      <c r="AD141" s="197">
        <f>'Arable NPV'!$D120</f>
        <v>330</v>
      </c>
      <c r="AE141" s="197">
        <f t="shared" si="414"/>
        <v>1216.2857142857142</v>
      </c>
      <c r="AF141" s="197">
        <f>'Arable NPV'!$F120</f>
        <v>566.71194999999989</v>
      </c>
      <c r="AG141" s="197">
        <f>'Arable NPV'!$G120</f>
        <v>691.46913599999993</v>
      </c>
      <c r="AH141" s="197">
        <f t="shared" si="358"/>
        <v>1887.2716289999998</v>
      </c>
      <c r="AI141" s="197">
        <f t="shared" si="359"/>
        <v>-1000.9859147142855</v>
      </c>
      <c r="AJ141" s="197">
        <f t="shared" si="360"/>
        <v>-670.98591471428563</v>
      </c>
      <c r="AK141" s="196">
        <f t="shared" si="361"/>
        <v>811.07697923242893</v>
      </c>
      <c r="AL141" s="197">
        <f t="shared" si="362"/>
        <v>301.99674758654265</v>
      </c>
      <c r="AM141" s="197">
        <f t="shared" si="363"/>
        <v>1727.1208902132005</v>
      </c>
      <c r="AN141" s="197">
        <f t="shared" si="364"/>
        <v>-916.04391098077156</v>
      </c>
      <c r="AO141" s="199">
        <f t="shared" si="365"/>
        <v>-614.04716339422896</v>
      </c>
      <c r="AP141" s="196">
        <f t="shared" si="366"/>
        <v>3393.2435493952289</v>
      </c>
      <c r="AQ141" s="197">
        <f t="shared" si="367"/>
        <v>1263.4417471152447</v>
      </c>
      <c r="AR141" s="197">
        <f t="shared" si="368"/>
        <v>7225.6295885599811</v>
      </c>
      <c r="AS141" s="197">
        <f t="shared" si="369"/>
        <v>-3832.3860391647527</v>
      </c>
      <c r="AT141" s="199">
        <f t="shared" si="370"/>
        <v>-2568.944292049508</v>
      </c>
      <c r="AX141" s="900">
        <v>4</v>
      </c>
      <c r="AY141" s="911">
        <f>'Arable Inputs'!$H$18</f>
        <v>9.4</v>
      </c>
      <c r="AZ141" s="760">
        <f>'Arable Inputs'!$H$25</f>
        <v>94.285714285714292</v>
      </c>
      <c r="BA141" s="762">
        <f t="shared" si="371"/>
        <v>886.28571428571433</v>
      </c>
      <c r="BB141" s="197">
        <f>'Arable NPV'!$D120</f>
        <v>330</v>
      </c>
      <c r="BC141" s="197">
        <f t="shared" si="415"/>
        <v>1216.2857142857142</v>
      </c>
      <c r="BD141" s="197">
        <f>'Arable NPV'!$F120</f>
        <v>566.71194999999989</v>
      </c>
      <c r="BE141" s="197">
        <f>'Arable NPV'!$G120</f>
        <v>691.46913599999993</v>
      </c>
      <c r="BF141" s="197">
        <f t="shared" si="372"/>
        <v>629.09054299999991</v>
      </c>
      <c r="BG141" s="197">
        <f t="shared" si="373"/>
        <v>257.19517128571442</v>
      </c>
      <c r="BH141" s="197">
        <f t="shared" si="374"/>
        <v>587.19517128571431</v>
      </c>
      <c r="BI141" s="196">
        <f t="shared" si="375"/>
        <v>811.07697923242893</v>
      </c>
      <c r="BJ141" s="197">
        <f t="shared" si="376"/>
        <v>301.99674758654265</v>
      </c>
      <c r="BK141" s="197">
        <f t="shared" si="377"/>
        <v>575.70696340440008</v>
      </c>
      <c r="BL141" s="197">
        <f t="shared" si="378"/>
        <v>235.37001582802878</v>
      </c>
      <c r="BM141" s="199">
        <f t="shared" si="379"/>
        <v>537.36676341457132</v>
      </c>
      <c r="BN141" s="196">
        <f t="shared" si="380"/>
        <v>3393.2435493952289</v>
      </c>
      <c r="BO141" s="197">
        <f t="shared" si="381"/>
        <v>1263.4417471152447</v>
      </c>
      <c r="BP141" s="197">
        <f t="shared" si="382"/>
        <v>2408.5431961866602</v>
      </c>
      <c r="BQ141" s="197">
        <f t="shared" si="383"/>
        <v>984.70035320856869</v>
      </c>
      <c r="BR141" s="199">
        <f t="shared" si="384"/>
        <v>2248.1421003238129</v>
      </c>
      <c r="BV141" s="900">
        <v>4</v>
      </c>
      <c r="BW141" s="911">
        <f>'Arable Inputs'!$H$18</f>
        <v>9.4</v>
      </c>
      <c r="BX141" s="760">
        <f>'Arable Inputs'!$H$25</f>
        <v>94.285714285714292</v>
      </c>
      <c r="BY141" s="762">
        <f t="shared" si="385"/>
        <v>886.28571428571433</v>
      </c>
      <c r="BZ141" s="197">
        <f>'Arable NPV'!$D120</f>
        <v>330</v>
      </c>
      <c r="CA141" s="197">
        <f t="shared" si="416"/>
        <v>1216.2857142857142</v>
      </c>
      <c r="CB141" s="197">
        <f>'Arable NPV'!$F120</f>
        <v>566.71194999999989</v>
      </c>
      <c r="CC141" s="197">
        <f>'Arable NPV'!$G120</f>
        <v>691.46913599999993</v>
      </c>
      <c r="CD141" s="197">
        <f t="shared" si="386"/>
        <v>2516.3621719999996</v>
      </c>
      <c r="CE141" s="197">
        <f t="shared" si="387"/>
        <v>-1630.0764577142854</v>
      </c>
      <c r="CF141" s="197">
        <f t="shared" si="388"/>
        <v>-1300.0764577142854</v>
      </c>
      <c r="CG141" s="196">
        <f t="shared" si="389"/>
        <v>811.07697923242893</v>
      </c>
      <c r="CH141" s="197">
        <f t="shared" si="390"/>
        <v>301.99674758654265</v>
      </c>
      <c r="CI141" s="197">
        <f t="shared" si="391"/>
        <v>2302.8278536176003</v>
      </c>
      <c r="CJ141" s="197">
        <f t="shared" si="392"/>
        <v>-1491.7508743851715</v>
      </c>
      <c r="CK141" s="199">
        <f t="shared" si="393"/>
        <v>-1189.7541267986289</v>
      </c>
      <c r="CL141" s="196">
        <f t="shared" si="394"/>
        <v>3393.2435493952289</v>
      </c>
      <c r="CM141" s="197">
        <f t="shared" si="395"/>
        <v>1263.4417471152447</v>
      </c>
      <c r="CN141" s="197">
        <f t="shared" si="396"/>
        <v>9634.1727847466409</v>
      </c>
      <c r="CO141" s="197">
        <f t="shared" si="397"/>
        <v>-6240.929235351412</v>
      </c>
      <c r="CP141" s="199">
        <f t="shared" si="398"/>
        <v>-4977.4874882361673</v>
      </c>
      <c r="CT141" s="900">
        <v>4</v>
      </c>
      <c r="CU141" s="911">
        <f>'Arable Inputs'!$H$18</f>
        <v>9.4</v>
      </c>
      <c r="CV141" s="760">
        <f>'Arable Inputs'!$H$25</f>
        <v>94.285714285714292</v>
      </c>
      <c r="CW141" s="762">
        <f t="shared" si="399"/>
        <v>886.28571428571433</v>
      </c>
      <c r="CX141" s="197">
        <f>'Arable NPV'!$D120</f>
        <v>330</v>
      </c>
      <c r="CY141" s="197">
        <f t="shared" si="417"/>
        <v>1216.2857142857142</v>
      </c>
      <c r="CZ141" s="197">
        <f>'Arable NPV'!$F120</f>
        <v>566.71194999999989</v>
      </c>
      <c r="DA141" s="197">
        <f>'Arable NPV'!$G120</f>
        <v>691.46913599999993</v>
      </c>
      <c r="DB141" s="197">
        <f t="shared" si="400"/>
        <v>0</v>
      </c>
      <c r="DC141" s="197">
        <f t="shared" si="401"/>
        <v>886.28571428571433</v>
      </c>
      <c r="DD141" s="197">
        <f t="shared" si="402"/>
        <v>1216.2857142857142</v>
      </c>
      <c r="DE141" s="196">
        <f t="shared" si="403"/>
        <v>811.07697923242893</v>
      </c>
      <c r="DF141" s="197">
        <f t="shared" si="404"/>
        <v>301.99674758654265</v>
      </c>
      <c r="DG141" s="197">
        <f t="shared" si="405"/>
        <v>0</v>
      </c>
      <c r="DH141" s="197">
        <f t="shared" si="406"/>
        <v>811.07697923242893</v>
      </c>
      <c r="DI141" s="199">
        <f t="shared" si="407"/>
        <v>1113.0737268189714</v>
      </c>
      <c r="DJ141" s="196">
        <f t="shared" si="408"/>
        <v>3393.2435493952289</v>
      </c>
      <c r="DK141" s="197">
        <f t="shared" si="409"/>
        <v>1263.4417471152447</v>
      </c>
      <c r="DL141" s="197">
        <f t="shared" si="410"/>
        <v>0</v>
      </c>
      <c r="DM141" s="197">
        <f t="shared" si="411"/>
        <v>3393.2435493952289</v>
      </c>
      <c r="DN141" s="199">
        <f t="shared" si="412"/>
        <v>4656.6852965104736</v>
      </c>
    </row>
    <row r="142" spans="2:118" x14ac:dyDescent="0.3">
      <c r="B142" s="900">
        <v>5</v>
      </c>
      <c r="C142" s="911">
        <f>'Arable Inputs'!$H$18</f>
        <v>9.4</v>
      </c>
      <c r="D142" s="760">
        <f>'Arable Inputs'!$H$25</f>
        <v>94.285714285714292</v>
      </c>
      <c r="E142" s="762">
        <f t="shared" si="347"/>
        <v>886.28571428571433</v>
      </c>
      <c r="F142" s="197">
        <f>'Arable NPV'!$D121</f>
        <v>330</v>
      </c>
      <c r="G142" s="197">
        <f t="shared" si="413"/>
        <v>1216.2857142857142</v>
      </c>
      <c r="H142" s="197">
        <f>'Arable NPV'!$F121</f>
        <v>566.71194999999989</v>
      </c>
      <c r="I142" s="197">
        <f>'Arable NPV'!$G121</f>
        <v>691.46913599999993</v>
      </c>
      <c r="J142" s="197">
        <f t="shared" si="348"/>
        <v>1258.1810859999998</v>
      </c>
      <c r="K142" s="197">
        <f t="shared" si="349"/>
        <v>-371.89537171428549</v>
      </c>
      <c r="L142" s="197">
        <f t="shared" si="350"/>
        <v>-41.895371714285602</v>
      </c>
      <c r="M142" s="196">
        <f t="shared" si="351"/>
        <v>787.45337789556208</v>
      </c>
      <c r="N142" s="197">
        <f t="shared" si="352"/>
        <v>293.20072581217738</v>
      </c>
      <c r="O142" s="197">
        <f t="shared" si="353"/>
        <v>1117.8775988434954</v>
      </c>
      <c r="P142" s="197">
        <f t="shared" si="354"/>
        <v>-330.42422094793335</v>
      </c>
      <c r="Q142" s="199">
        <f t="shared" si="355"/>
        <v>-37.223495135756075</v>
      </c>
      <c r="R142" s="196">
        <f t="shared" si="356"/>
        <v>4180.6969272907909</v>
      </c>
      <c r="S142" s="197">
        <f t="shared" si="356"/>
        <v>1556.642472927422</v>
      </c>
      <c r="T142" s="197">
        <f t="shared" si="356"/>
        <v>5934.9639912168159</v>
      </c>
      <c r="U142" s="197">
        <f t="shared" si="356"/>
        <v>-1754.267063926025</v>
      </c>
      <c r="V142" s="199">
        <f t="shared" si="356"/>
        <v>-197.6245909986034</v>
      </c>
      <c r="Z142" s="900">
        <v>5</v>
      </c>
      <c r="AA142" s="911">
        <f>'Arable Inputs'!$H$18</f>
        <v>9.4</v>
      </c>
      <c r="AB142" s="760">
        <f>'Arable Inputs'!$H$25</f>
        <v>94.285714285714292</v>
      </c>
      <c r="AC142" s="762">
        <f t="shared" si="357"/>
        <v>886.28571428571433</v>
      </c>
      <c r="AD142" s="197">
        <f>'Arable NPV'!$D121</f>
        <v>330</v>
      </c>
      <c r="AE142" s="197">
        <f t="shared" si="414"/>
        <v>1216.2857142857142</v>
      </c>
      <c r="AF142" s="197">
        <f>'Arable NPV'!$F121</f>
        <v>566.71194999999989</v>
      </c>
      <c r="AG142" s="197">
        <f>'Arable NPV'!$G121</f>
        <v>691.46913599999993</v>
      </c>
      <c r="AH142" s="197">
        <f t="shared" si="358"/>
        <v>1887.2716289999998</v>
      </c>
      <c r="AI142" s="197">
        <f t="shared" si="359"/>
        <v>-1000.9859147142855</v>
      </c>
      <c r="AJ142" s="197">
        <f t="shared" si="360"/>
        <v>-670.98591471428563</v>
      </c>
      <c r="AK142" s="196">
        <f t="shared" si="361"/>
        <v>787.45337789556208</v>
      </c>
      <c r="AL142" s="197">
        <f t="shared" si="362"/>
        <v>293.20072581217738</v>
      </c>
      <c r="AM142" s="197">
        <f t="shared" si="363"/>
        <v>1676.8163982652432</v>
      </c>
      <c r="AN142" s="197">
        <f t="shared" si="364"/>
        <v>-889.36302036968118</v>
      </c>
      <c r="AO142" s="199">
        <f t="shared" si="365"/>
        <v>-596.16229455750386</v>
      </c>
      <c r="AP142" s="196">
        <f t="shared" si="366"/>
        <v>4180.6969272907909</v>
      </c>
      <c r="AQ142" s="197">
        <f t="shared" si="367"/>
        <v>1556.642472927422</v>
      </c>
      <c r="AR142" s="197">
        <f t="shared" si="368"/>
        <v>8902.4459868252234</v>
      </c>
      <c r="AS142" s="197">
        <f t="shared" si="369"/>
        <v>-4721.7490595344334</v>
      </c>
      <c r="AT142" s="199">
        <f t="shared" si="370"/>
        <v>-3165.1065866070121</v>
      </c>
      <c r="AX142" s="900">
        <v>5</v>
      </c>
      <c r="AY142" s="911">
        <f>'Arable Inputs'!$H$18</f>
        <v>9.4</v>
      </c>
      <c r="AZ142" s="760">
        <f>'Arable Inputs'!$H$25</f>
        <v>94.285714285714292</v>
      </c>
      <c r="BA142" s="762">
        <f t="shared" si="371"/>
        <v>886.28571428571433</v>
      </c>
      <c r="BB142" s="197">
        <f>'Arable NPV'!$D121</f>
        <v>330</v>
      </c>
      <c r="BC142" s="197">
        <f t="shared" si="415"/>
        <v>1216.2857142857142</v>
      </c>
      <c r="BD142" s="197">
        <f>'Arable NPV'!$F121</f>
        <v>566.71194999999989</v>
      </c>
      <c r="BE142" s="197">
        <f>'Arable NPV'!$G121</f>
        <v>691.46913599999993</v>
      </c>
      <c r="BF142" s="197">
        <f t="shared" si="372"/>
        <v>629.09054299999991</v>
      </c>
      <c r="BG142" s="197">
        <f t="shared" si="373"/>
        <v>257.19517128571442</v>
      </c>
      <c r="BH142" s="197">
        <f t="shared" si="374"/>
        <v>587.19517128571431</v>
      </c>
      <c r="BI142" s="196">
        <f t="shared" si="375"/>
        <v>787.45337789556208</v>
      </c>
      <c r="BJ142" s="197">
        <f t="shared" si="376"/>
        <v>293.20072581217738</v>
      </c>
      <c r="BK142" s="197">
        <f t="shared" si="377"/>
        <v>558.93879942174772</v>
      </c>
      <c r="BL142" s="197">
        <f t="shared" si="378"/>
        <v>228.5145784738144</v>
      </c>
      <c r="BM142" s="199">
        <f t="shared" si="379"/>
        <v>521.71530428599169</v>
      </c>
      <c r="BN142" s="196">
        <f t="shared" si="380"/>
        <v>4180.6969272907909</v>
      </c>
      <c r="BO142" s="197">
        <f t="shared" si="381"/>
        <v>1556.642472927422</v>
      </c>
      <c r="BP142" s="197">
        <f t="shared" si="382"/>
        <v>2967.4819956084079</v>
      </c>
      <c r="BQ142" s="197">
        <f t="shared" si="383"/>
        <v>1213.2149316823832</v>
      </c>
      <c r="BR142" s="199">
        <f t="shared" si="384"/>
        <v>2769.8574046098047</v>
      </c>
      <c r="BV142" s="900">
        <v>5</v>
      </c>
      <c r="BW142" s="911">
        <f>'Arable Inputs'!$H$18</f>
        <v>9.4</v>
      </c>
      <c r="BX142" s="760">
        <f>'Arable Inputs'!$H$25</f>
        <v>94.285714285714292</v>
      </c>
      <c r="BY142" s="762">
        <f t="shared" si="385"/>
        <v>886.28571428571433</v>
      </c>
      <c r="BZ142" s="197">
        <f>'Arable NPV'!$D121</f>
        <v>330</v>
      </c>
      <c r="CA142" s="197">
        <f t="shared" si="416"/>
        <v>1216.2857142857142</v>
      </c>
      <c r="CB142" s="197">
        <f>'Arable NPV'!$F121</f>
        <v>566.71194999999989</v>
      </c>
      <c r="CC142" s="197">
        <f>'Arable NPV'!$G121</f>
        <v>691.46913599999993</v>
      </c>
      <c r="CD142" s="197">
        <f t="shared" si="386"/>
        <v>2516.3621719999996</v>
      </c>
      <c r="CE142" s="197">
        <f t="shared" si="387"/>
        <v>-1630.0764577142854</v>
      </c>
      <c r="CF142" s="197">
        <f t="shared" si="388"/>
        <v>-1300.0764577142854</v>
      </c>
      <c r="CG142" s="196">
        <f t="shared" si="389"/>
        <v>787.45337789556208</v>
      </c>
      <c r="CH142" s="197">
        <f t="shared" si="390"/>
        <v>293.20072581217738</v>
      </c>
      <c r="CI142" s="197">
        <f t="shared" si="391"/>
        <v>2235.7551976869909</v>
      </c>
      <c r="CJ142" s="197">
        <f t="shared" si="392"/>
        <v>-1448.3018197914289</v>
      </c>
      <c r="CK142" s="199">
        <f t="shared" si="393"/>
        <v>-1155.1010939792516</v>
      </c>
      <c r="CL142" s="196">
        <f t="shared" si="394"/>
        <v>4180.6969272907909</v>
      </c>
      <c r="CM142" s="197">
        <f t="shared" si="395"/>
        <v>1556.642472927422</v>
      </c>
      <c r="CN142" s="197">
        <f t="shared" si="396"/>
        <v>11869.927982433632</v>
      </c>
      <c r="CO142" s="197">
        <f t="shared" si="397"/>
        <v>-7689.2310551428409</v>
      </c>
      <c r="CP142" s="199">
        <f t="shared" si="398"/>
        <v>-6132.5885822154187</v>
      </c>
      <c r="CT142" s="900">
        <v>5</v>
      </c>
      <c r="CU142" s="911">
        <f>'Arable Inputs'!$H$18</f>
        <v>9.4</v>
      </c>
      <c r="CV142" s="760">
        <f>'Arable Inputs'!$H$25</f>
        <v>94.285714285714292</v>
      </c>
      <c r="CW142" s="762">
        <f t="shared" si="399"/>
        <v>886.28571428571433</v>
      </c>
      <c r="CX142" s="197">
        <f>'Arable NPV'!$D121</f>
        <v>330</v>
      </c>
      <c r="CY142" s="197">
        <f t="shared" si="417"/>
        <v>1216.2857142857142</v>
      </c>
      <c r="CZ142" s="197">
        <f>'Arable NPV'!$F121</f>
        <v>566.71194999999989</v>
      </c>
      <c r="DA142" s="197">
        <f>'Arable NPV'!$G121</f>
        <v>691.46913599999993</v>
      </c>
      <c r="DB142" s="197">
        <f t="shared" si="400"/>
        <v>0</v>
      </c>
      <c r="DC142" s="197">
        <f t="shared" si="401"/>
        <v>886.28571428571433</v>
      </c>
      <c r="DD142" s="197">
        <f t="shared" si="402"/>
        <v>1216.2857142857142</v>
      </c>
      <c r="DE142" s="196">
        <f t="shared" si="403"/>
        <v>787.45337789556208</v>
      </c>
      <c r="DF142" s="197">
        <f t="shared" si="404"/>
        <v>293.20072581217738</v>
      </c>
      <c r="DG142" s="197">
        <f t="shared" si="405"/>
        <v>0</v>
      </c>
      <c r="DH142" s="197">
        <f t="shared" si="406"/>
        <v>787.45337789556208</v>
      </c>
      <c r="DI142" s="199">
        <f t="shared" si="407"/>
        <v>1080.6541037077393</v>
      </c>
      <c r="DJ142" s="196">
        <f t="shared" si="408"/>
        <v>4180.6969272907909</v>
      </c>
      <c r="DK142" s="197">
        <f t="shared" si="409"/>
        <v>1556.642472927422</v>
      </c>
      <c r="DL142" s="197">
        <f t="shared" si="410"/>
        <v>0</v>
      </c>
      <c r="DM142" s="197">
        <f t="shared" si="411"/>
        <v>4180.6969272907909</v>
      </c>
      <c r="DN142" s="199">
        <f t="shared" si="412"/>
        <v>5737.3394002182131</v>
      </c>
    </row>
    <row r="143" spans="2:118" x14ac:dyDescent="0.3">
      <c r="B143" s="900">
        <v>6</v>
      </c>
      <c r="C143" s="911">
        <f>'Arable Inputs'!$H$18</f>
        <v>9.4</v>
      </c>
      <c r="D143" s="760">
        <f>'Arable Inputs'!$H$25</f>
        <v>94.285714285714292</v>
      </c>
      <c r="E143" s="762">
        <f t="shared" si="347"/>
        <v>886.28571428571433</v>
      </c>
      <c r="F143" s="197">
        <f>'Arable NPV'!$D122</f>
        <v>330</v>
      </c>
      <c r="G143" s="197">
        <f t="shared" si="413"/>
        <v>1216.2857142857142</v>
      </c>
      <c r="H143" s="197">
        <f>'Arable NPV'!$F122</f>
        <v>566.71194999999989</v>
      </c>
      <c r="I143" s="197">
        <f>'Arable NPV'!$G122</f>
        <v>691.46913599999993</v>
      </c>
      <c r="J143" s="197">
        <f t="shared" si="348"/>
        <v>1258.1810859999998</v>
      </c>
      <c r="K143" s="197">
        <f t="shared" si="349"/>
        <v>-371.89537171428549</v>
      </c>
      <c r="L143" s="197">
        <f t="shared" si="350"/>
        <v>-41.895371714285602</v>
      </c>
      <c r="M143" s="196">
        <f t="shared" si="351"/>
        <v>764.51784261705063</v>
      </c>
      <c r="N143" s="197">
        <f t="shared" si="352"/>
        <v>284.66089884677416</v>
      </c>
      <c r="O143" s="197">
        <f t="shared" si="353"/>
        <v>1085.3180571296073</v>
      </c>
      <c r="P143" s="197">
        <f t="shared" si="354"/>
        <v>-320.80021451255664</v>
      </c>
      <c r="Q143" s="199">
        <f t="shared" si="355"/>
        <v>-36.139315665782597</v>
      </c>
      <c r="R143" s="196">
        <f t="shared" si="356"/>
        <v>4945.2147699078414</v>
      </c>
      <c r="S143" s="197">
        <f t="shared" si="356"/>
        <v>1841.3033717741962</v>
      </c>
      <c r="T143" s="197">
        <f t="shared" si="356"/>
        <v>7020.2820483464229</v>
      </c>
      <c r="U143" s="197">
        <f t="shared" si="356"/>
        <v>-2075.0672784385815</v>
      </c>
      <c r="V143" s="199">
        <f t="shared" si="356"/>
        <v>-233.76390666438598</v>
      </c>
      <c r="Z143" s="900">
        <v>6</v>
      </c>
      <c r="AA143" s="911">
        <f>'Arable Inputs'!$H$18</f>
        <v>9.4</v>
      </c>
      <c r="AB143" s="760">
        <f>'Arable Inputs'!$H$25</f>
        <v>94.285714285714292</v>
      </c>
      <c r="AC143" s="762">
        <f t="shared" si="357"/>
        <v>886.28571428571433</v>
      </c>
      <c r="AD143" s="197">
        <f>'Arable NPV'!$D122</f>
        <v>330</v>
      </c>
      <c r="AE143" s="197">
        <f t="shared" si="414"/>
        <v>1216.2857142857142</v>
      </c>
      <c r="AF143" s="197">
        <f>'Arable NPV'!$F122</f>
        <v>566.71194999999989</v>
      </c>
      <c r="AG143" s="197">
        <f>'Arable NPV'!$G122</f>
        <v>691.46913599999993</v>
      </c>
      <c r="AH143" s="197">
        <f t="shared" si="358"/>
        <v>1887.2716289999998</v>
      </c>
      <c r="AI143" s="197">
        <f t="shared" si="359"/>
        <v>-1000.9859147142855</v>
      </c>
      <c r="AJ143" s="197">
        <f t="shared" si="360"/>
        <v>-670.98591471428563</v>
      </c>
      <c r="AK143" s="196">
        <f t="shared" si="361"/>
        <v>764.51784261705063</v>
      </c>
      <c r="AL143" s="197">
        <f t="shared" si="362"/>
        <v>284.66089884677416</v>
      </c>
      <c r="AM143" s="197">
        <f t="shared" si="363"/>
        <v>1627.977085694411</v>
      </c>
      <c r="AN143" s="197">
        <f t="shared" si="364"/>
        <v>-863.45924307736038</v>
      </c>
      <c r="AO143" s="199">
        <f t="shared" si="365"/>
        <v>-578.79834423058628</v>
      </c>
      <c r="AP143" s="196">
        <f t="shared" si="366"/>
        <v>4945.2147699078414</v>
      </c>
      <c r="AQ143" s="197">
        <f t="shared" si="367"/>
        <v>1841.3033717741962</v>
      </c>
      <c r="AR143" s="197">
        <f t="shared" si="368"/>
        <v>10530.423072519634</v>
      </c>
      <c r="AS143" s="197">
        <f t="shared" si="369"/>
        <v>-5585.2083026117934</v>
      </c>
      <c r="AT143" s="199">
        <f t="shared" si="370"/>
        <v>-3743.9049308375984</v>
      </c>
      <c r="AX143" s="900">
        <v>6</v>
      </c>
      <c r="AY143" s="911">
        <f>'Arable Inputs'!$H$18</f>
        <v>9.4</v>
      </c>
      <c r="AZ143" s="760">
        <f>'Arable Inputs'!$H$25</f>
        <v>94.285714285714292</v>
      </c>
      <c r="BA143" s="762">
        <f t="shared" si="371"/>
        <v>886.28571428571433</v>
      </c>
      <c r="BB143" s="197">
        <f>'Arable NPV'!$D122</f>
        <v>330</v>
      </c>
      <c r="BC143" s="197">
        <f t="shared" si="415"/>
        <v>1216.2857142857142</v>
      </c>
      <c r="BD143" s="197">
        <f>'Arable NPV'!$F122</f>
        <v>566.71194999999989</v>
      </c>
      <c r="BE143" s="197">
        <f>'Arable NPV'!$G122</f>
        <v>691.46913599999993</v>
      </c>
      <c r="BF143" s="197">
        <f t="shared" si="372"/>
        <v>629.09054299999991</v>
      </c>
      <c r="BG143" s="197">
        <f t="shared" si="373"/>
        <v>257.19517128571442</v>
      </c>
      <c r="BH143" s="197">
        <f t="shared" si="374"/>
        <v>587.19517128571431</v>
      </c>
      <c r="BI143" s="196">
        <f t="shared" si="375"/>
        <v>764.51784261705063</v>
      </c>
      <c r="BJ143" s="197">
        <f t="shared" si="376"/>
        <v>284.66089884677416</v>
      </c>
      <c r="BK143" s="197">
        <f t="shared" si="377"/>
        <v>542.65902856480363</v>
      </c>
      <c r="BL143" s="197">
        <f t="shared" si="378"/>
        <v>221.858814052247</v>
      </c>
      <c r="BM143" s="199">
        <f t="shared" si="379"/>
        <v>506.51971289902104</v>
      </c>
      <c r="BN143" s="196">
        <f t="shared" si="380"/>
        <v>4945.2147699078414</v>
      </c>
      <c r="BO143" s="197">
        <f t="shared" si="381"/>
        <v>1841.3033717741962</v>
      </c>
      <c r="BP143" s="197">
        <f t="shared" si="382"/>
        <v>3510.1410241732115</v>
      </c>
      <c r="BQ143" s="197">
        <f t="shared" si="383"/>
        <v>1435.0737457346302</v>
      </c>
      <c r="BR143" s="199">
        <f t="shared" si="384"/>
        <v>3276.3771175088259</v>
      </c>
      <c r="BV143" s="900">
        <v>6</v>
      </c>
      <c r="BW143" s="911">
        <f>'Arable Inputs'!$H$18</f>
        <v>9.4</v>
      </c>
      <c r="BX143" s="760">
        <f>'Arable Inputs'!$H$25</f>
        <v>94.285714285714292</v>
      </c>
      <c r="BY143" s="762">
        <f t="shared" si="385"/>
        <v>886.28571428571433</v>
      </c>
      <c r="BZ143" s="197">
        <f>'Arable NPV'!$D122</f>
        <v>330</v>
      </c>
      <c r="CA143" s="197">
        <f t="shared" si="416"/>
        <v>1216.2857142857142</v>
      </c>
      <c r="CB143" s="197">
        <f>'Arable NPV'!$F122</f>
        <v>566.71194999999989</v>
      </c>
      <c r="CC143" s="197">
        <f>'Arable NPV'!$G122</f>
        <v>691.46913599999993</v>
      </c>
      <c r="CD143" s="197">
        <f t="shared" si="386"/>
        <v>2516.3621719999996</v>
      </c>
      <c r="CE143" s="197">
        <f t="shared" si="387"/>
        <v>-1630.0764577142854</v>
      </c>
      <c r="CF143" s="197">
        <f t="shared" si="388"/>
        <v>-1300.0764577142854</v>
      </c>
      <c r="CG143" s="196">
        <f t="shared" si="389"/>
        <v>764.51784261705063</v>
      </c>
      <c r="CH143" s="197">
        <f t="shared" si="390"/>
        <v>284.66089884677416</v>
      </c>
      <c r="CI143" s="197">
        <f t="shared" si="391"/>
        <v>2170.6361142592145</v>
      </c>
      <c r="CJ143" s="197">
        <f t="shared" si="392"/>
        <v>-1406.118271642164</v>
      </c>
      <c r="CK143" s="199">
        <f t="shared" si="393"/>
        <v>-1121.4573727953898</v>
      </c>
      <c r="CL143" s="196">
        <f t="shared" si="394"/>
        <v>4945.2147699078414</v>
      </c>
      <c r="CM143" s="197">
        <f t="shared" si="395"/>
        <v>1841.3033717741962</v>
      </c>
      <c r="CN143" s="197">
        <f t="shared" si="396"/>
        <v>14040.564096692846</v>
      </c>
      <c r="CO143" s="197">
        <f t="shared" si="397"/>
        <v>-9095.3493267850045</v>
      </c>
      <c r="CP143" s="199">
        <f t="shared" si="398"/>
        <v>-7254.045955010808</v>
      </c>
      <c r="CT143" s="900">
        <v>6</v>
      </c>
      <c r="CU143" s="911">
        <f>'Arable Inputs'!$H$18</f>
        <v>9.4</v>
      </c>
      <c r="CV143" s="760">
        <f>'Arable Inputs'!$H$25</f>
        <v>94.285714285714292</v>
      </c>
      <c r="CW143" s="762">
        <f t="shared" si="399"/>
        <v>886.28571428571433</v>
      </c>
      <c r="CX143" s="197">
        <f>'Arable NPV'!$D122</f>
        <v>330</v>
      </c>
      <c r="CY143" s="197">
        <f t="shared" si="417"/>
        <v>1216.2857142857142</v>
      </c>
      <c r="CZ143" s="197">
        <f>'Arable NPV'!$F122</f>
        <v>566.71194999999989</v>
      </c>
      <c r="DA143" s="197">
        <f>'Arable NPV'!$G122</f>
        <v>691.46913599999993</v>
      </c>
      <c r="DB143" s="197">
        <f t="shared" si="400"/>
        <v>0</v>
      </c>
      <c r="DC143" s="197">
        <f t="shared" si="401"/>
        <v>886.28571428571433</v>
      </c>
      <c r="DD143" s="197">
        <f t="shared" si="402"/>
        <v>1216.2857142857142</v>
      </c>
      <c r="DE143" s="196">
        <f t="shared" si="403"/>
        <v>764.51784261705063</v>
      </c>
      <c r="DF143" s="197">
        <f t="shared" si="404"/>
        <v>284.66089884677416</v>
      </c>
      <c r="DG143" s="197">
        <f t="shared" si="405"/>
        <v>0</v>
      </c>
      <c r="DH143" s="197">
        <f t="shared" si="406"/>
        <v>764.51784261705063</v>
      </c>
      <c r="DI143" s="199">
        <f t="shared" si="407"/>
        <v>1049.1787414638247</v>
      </c>
      <c r="DJ143" s="196">
        <f t="shared" si="408"/>
        <v>4945.2147699078414</v>
      </c>
      <c r="DK143" s="197">
        <f t="shared" si="409"/>
        <v>1841.3033717741962</v>
      </c>
      <c r="DL143" s="197">
        <f t="shared" si="410"/>
        <v>0</v>
      </c>
      <c r="DM143" s="197">
        <f t="shared" si="411"/>
        <v>4945.2147699078414</v>
      </c>
      <c r="DN143" s="199">
        <f t="shared" si="412"/>
        <v>6786.5181416820378</v>
      </c>
    </row>
    <row r="144" spans="2:118" x14ac:dyDescent="0.3">
      <c r="B144" s="900">
        <v>7</v>
      </c>
      <c r="C144" s="911">
        <f>'Arable Inputs'!$H$18</f>
        <v>9.4</v>
      </c>
      <c r="D144" s="760">
        <f>'Arable Inputs'!$H$25</f>
        <v>94.285714285714292</v>
      </c>
      <c r="E144" s="762">
        <f t="shared" si="347"/>
        <v>886.28571428571433</v>
      </c>
      <c r="F144" s="197">
        <f>'Arable NPV'!$D123</f>
        <v>330</v>
      </c>
      <c r="G144" s="197">
        <f t="shared" si="413"/>
        <v>1216.2857142857142</v>
      </c>
      <c r="H144" s="197">
        <f>'Arable NPV'!$F123</f>
        <v>566.71194999999989</v>
      </c>
      <c r="I144" s="197">
        <f>'Arable NPV'!$G123</f>
        <v>691.46913599999993</v>
      </c>
      <c r="J144" s="197">
        <f t="shared" si="348"/>
        <v>1258.1810859999998</v>
      </c>
      <c r="K144" s="197">
        <f t="shared" si="349"/>
        <v>-371.89537171428549</v>
      </c>
      <c r="L144" s="197">
        <f t="shared" si="350"/>
        <v>-41.895371714285602</v>
      </c>
      <c r="M144" s="196">
        <f t="shared" si="351"/>
        <v>742.25033263791317</v>
      </c>
      <c r="N144" s="197">
        <f t="shared" si="352"/>
        <v>276.36980470560593</v>
      </c>
      <c r="O144" s="197">
        <f t="shared" si="353"/>
        <v>1053.7068515821429</v>
      </c>
      <c r="P144" s="197">
        <f t="shared" si="354"/>
        <v>-311.45651894422974</v>
      </c>
      <c r="Q144" s="199">
        <f t="shared" si="355"/>
        <v>-35.086714238623877</v>
      </c>
      <c r="R144" s="196">
        <f t="shared" si="356"/>
        <v>5687.4651025457542</v>
      </c>
      <c r="S144" s="197">
        <f t="shared" si="356"/>
        <v>2117.6731764798024</v>
      </c>
      <c r="T144" s="197">
        <f t="shared" si="356"/>
        <v>8073.9888999285658</v>
      </c>
      <c r="U144" s="197">
        <f t="shared" si="356"/>
        <v>-2386.5237973828112</v>
      </c>
      <c r="V144" s="199">
        <f t="shared" si="356"/>
        <v>-268.85062090300988</v>
      </c>
      <c r="Z144" s="900">
        <v>7</v>
      </c>
      <c r="AA144" s="911">
        <f>'Arable Inputs'!$H$18</f>
        <v>9.4</v>
      </c>
      <c r="AB144" s="760">
        <f>'Arable Inputs'!$H$25</f>
        <v>94.285714285714292</v>
      </c>
      <c r="AC144" s="762">
        <f t="shared" si="357"/>
        <v>886.28571428571433</v>
      </c>
      <c r="AD144" s="197">
        <f>'Arable NPV'!$D123</f>
        <v>330</v>
      </c>
      <c r="AE144" s="197">
        <f t="shared" si="414"/>
        <v>1216.2857142857142</v>
      </c>
      <c r="AF144" s="197">
        <f>'Arable NPV'!$F123</f>
        <v>566.71194999999989</v>
      </c>
      <c r="AG144" s="197">
        <f>'Arable NPV'!$G123</f>
        <v>691.46913599999993</v>
      </c>
      <c r="AH144" s="197">
        <f t="shared" si="358"/>
        <v>1887.2716289999998</v>
      </c>
      <c r="AI144" s="197">
        <f t="shared" si="359"/>
        <v>-1000.9859147142855</v>
      </c>
      <c r="AJ144" s="197">
        <f t="shared" si="360"/>
        <v>-670.98591471428563</v>
      </c>
      <c r="AK144" s="196">
        <f t="shared" si="361"/>
        <v>742.25033263791317</v>
      </c>
      <c r="AL144" s="197">
        <f t="shared" si="362"/>
        <v>276.36980470560593</v>
      </c>
      <c r="AM144" s="197">
        <f t="shared" si="363"/>
        <v>1580.5602773732144</v>
      </c>
      <c r="AN144" s="197">
        <f t="shared" si="364"/>
        <v>-838.30994473530131</v>
      </c>
      <c r="AO144" s="199">
        <f t="shared" si="365"/>
        <v>-561.94014002969539</v>
      </c>
      <c r="AP144" s="196">
        <f t="shared" si="366"/>
        <v>5687.4651025457542</v>
      </c>
      <c r="AQ144" s="197">
        <f t="shared" si="367"/>
        <v>2117.6731764798024</v>
      </c>
      <c r="AR144" s="197">
        <f t="shared" si="368"/>
        <v>12110.983349892849</v>
      </c>
      <c r="AS144" s="197">
        <f t="shared" si="369"/>
        <v>-6423.518247347095</v>
      </c>
      <c r="AT144" s="199">
        <f t="shared" si="370"/>
        <v>-4305.8450708672935</v>
      </c>
      <c r="AX144" s="900">
        <v>7</v>
      </c>
      <c r="AY144" s="911">
        <f>'Arable Inputs'!$H$18</f>
        <v>9.4</v>
      </c>
      <c r="AZ144" s="760">
        <f>'Arable Inputs'!$H$25</f>
        <v>94.285714285714292</v>
      </c>
      <c r="BA144" s="762">
        <f t="shared" si="371"/>
        <v>886.28571428571433</v>
      </c>
      <c r="BB144" s="197">
        <f>'Arable NPV'!$D123</f>
        <v>330</v>
      </c>
      <c r="BC144" s="197">
        <f t="shared" si="415"/>
        <v>1216.2857142857142</v>
      </c>
      <c r="BD144" s="197">
        <f>'Arable NPV'!$F123</f>
        <v>566.71194999999989</v>
      </c>
      <c r="BE144" s="197">
        <f>'Arable NPV'!$G123</f>
        <v>691.46913599999993</v>
      </c>
      <c r="BF144" s="197">
        <f t="shared" si="372"/>
        <v>629.09054299999991</v>
      </c>
      <c r="BG144" s="197">
        <f t="shared" si="373"/>
        <v>257.19517128571442</v>
      </c>
      <c r="BH144" s="197">
        <f t="shared" si="374"/>
        <v>587.19517128571431</v>
      </c>
      <c r="BI144" s="196">
        <f t="shared" si="375"/>
        <v>742.25033263791317</v>
      </c>
      <c r="BJ144" s="197">
        <f t="shared" si="376"/>
        <v>276.36980470560593</v>
      </c>
      <c r="BK144" s="197">
        <f t="shared" si="377"/>
        <v>526.85342579107146</v>
      </c>
      <c r="BL144" s="197">
        <f t="shared" si="378"/>
        <v>215.39690684684172</v>
      </c>
      <c r="BM144" s="199">
        <f t="shared" si="379"/>
        <v>491.76671155244759</v>
      </c>
      <c r="BN144" s="196">
        <f t="shared" si="380"/>
        <v>5687.4651025457542</v>
      </c>
      <c r="BO144" s="197">
        <f t="shared" si="381"/>
        <v>2117.6731764798024</v>
      </c>
      <c r="BP144" s="197">
        <f t="shared" si="382"/>
        <v>4036.9944499642829</v>
      </c>
      <c r="BQ144" s="197">
        <f t="shared" si="383"/>
        <v>1650.4706525814718</v>
      </c>
      <c r="BR144" s="199">
        <f t="shared" si="384"/>
        <v>3768.1438290612737</v>
      </c>
      <c r="BV144" s="900">
        <v>7</v>
      </c>
      <c r="BW144" s="911">
        <f>'Arable Inputs'!$H$18</f>
        <v>9.4</v>
      </c>
      <c r="BX144" s="760">
        <f>'Arable Inputs'!$H$25</f>
        <v>94.285714285714292</v>
      </c>
      <c r="BY144" s="762">
        <f t="shared" si="385"/>
        <v>886.28571428571433</v>
      </c>
      <c r="BZ144" s="197">
        <f>'Arable NPV'!$D123</f>
        <v>330</v>
      </c>
      <c r="CA144" s="197">
        <f t="shared" si="416"/>
        <v>1216.2857142857142</v>
      </c>
      <c r="CB144" s="197">
        <f>'Arable NPV'!$F123</f>
        <v>566.71194999999989</v>
      </c>
      <c r="CC144" s="197">
        <f>'Arable NPV'!$G123</f>
        <v>691.46913599999993</v>
      </c>
      <c r="CD144" s="197">
        <f t="shared" si="386"/>
        <v>2516.3621719999996</v>
      </c>
      <c r="CE144" s="197">
        <f t="shared" si="387"/>
        <v>-1630.0764577142854</v>
      </c>
      <c r="CF144" s="197">
        <f t="shared" si="388"/>
        <v>-1300.0764577142854</v>
      </c>
      <c r="CG144" s="196">
        <f t="shared" si="389"/>
        <v>742.25033263791317</v>
      </c>
      <c r="CH144" s="197">
        <f t="shared" si="390"/>
        <v>276.36980470560593</v>
      </c>
      <c r="CI144" s="197">
        <f t="shared" si="391"/>
        <v>2107.4137031642858</v>
      </c>
      <c r="CJ144" s="197">
        <f t="shared" si="392"/>
        <v>-1365.1633705263728</v>
      </c>
      <c r="CK144" s="199">
        <f t="shared" si="393"/>
        <v>-1088.7935658207668</v>
      </c>
      <c r="CL144" s="196">
        <f t="shared" si="394"/>
        <v>5687.4651025457542</v>
      </c>
      <c r="CM144" s="197">
        <f t="shared" si="395"/>
        <v>2117.6731764798024</v>
      </c>
      <c r="CN144" s="197">
        <f t="shared" si="396"/>
        <v>16147.977799857132</v>
      </c>
      <c r="CO144" s="197">
        <f t="shared" si="397"/>
        <v>-10460.512697311377</v>
      </c>
      <c r="CP144" s="199">
        <f t="shared" si="398"/>
        <v>-8342.8395208315742</v>
      </c>
      <c r="CT144" s="900">
        <v>7</v>
      </c>
      <c r="CU144" s="911">
        <f>'Arable Inputs'!$H$18</f>
        <v>9.4</v>
      </c>
      <c r="CV144" s="760">
        <f>'Arable Inputs'!$H$25</f>
        <v>94.285714285714292</v>
      </c>
      <c r="CW144" s="762">
        <f t="shared" si="399"/>
        <v>886.28571428571433</v>
      </c>
      <c r="CX144" s="197">
        <f>'Arable NPV'!$D123</f>
        <v>330</v>
      </c>
      <c r="CY144" s="197">
        <f t="shared" si="417"/>
        <v>1216.2857142857142</v>
      </c>
      <c r="CZ144" s="197">
        <f>'Arable NPV'!$F123</f>
        <v>566.71194999999989</v>
      </c>
      <c r="DA144" s="197">
        <f>'Arable NPV'!$G123</f>
        <v>691.46913599999993</v>
      </c>
      <c r="DB144" s="197">
        <f t="shared" si="400"/>
        <v>0</v>
      </c>
      <c r="DC144" s="197">
        <f t="shared" si="401"/>
        <v>886.28571428571433</v>
      </c>
      <c r="DD144" s="197">
        <f t="shared" si="402"/>
        <v>1216.2857142857142</v>
      </c>
      <c r="DE144" s="196">
        <f t="shared" si="403"/>
        <v>742.25033263791317</v>
      </c>
      <c r="DF144" s="197">
        <f t="shared" si="404"/>
        <v>276.36980470560593</v>
      </c>
      <c r="DG144" s="197">
        <f t="shared" si="405"/>
        <v>0</v>
      </c>
      <c r="DH144" s="197">
        <f t="shared" si="406"/>
        <v>742.25033263791317</v>
      </c>
      <c r="DI144" s="199">
        <f t="shared" si="407"/>
        <v>1018.620137343519</v>
      </c>
      <c r="DJ144" s="196">
        <f t="shared" si="408"/>
        <v>5687.4651025457542</v>
      </c>
      <c r="DK144" s="197">
        <f t="shared" si="409"/>
        <v>2117.6731764798024</v>
      </c>
      <c r="DL144" s="197">
        <f t="shared" si="410"/>
        <v>0</v>
      </c>
      <c r="DM144" s="197">
        <f t="shared" si="411"/>
        <v>5687.4651025457542</v>
      </c>
      <c r="DN144" s="199">
        <f t="shared" si="412"/>
        <v>7805.1382790255566</v>
      </c>
    </row>
    <row r="145" spans="2:118" x14ac:dyDescent="0.3">
      <c r="B145" s="900">
        <v>8</v>
      </c>
      <c r="C145" s="911">
        <f>'Arable Inputs'!$H$18</f>
        <v>9.4</v>
      </c>
      <c r="D145" s="760">
        <f>'Arable Inputs'!$H$25</f>
        <v>94.285714285714292</v>
      </c>
      <c r="E145" s="762">
        <f t="shared" si="347"/>
        <v>886.28571428571433</v>
      </c>
      <c r="F145" s="197">
        <f>'Arable NPV'!$D124</f>
        <v>330</v>
      </c>
      <c r="G145" s="197">
        <f t="shared" si="413"/>
        <v>1216.2857142857142</v>
      </c>
      <c r="H145" s="197">
        <f>'Arable NPV'!$F124</f>
        <v>566.71194999999989</v>
      </c>
      <c r="I145" s="197">
        <f>'Arable NPV'!$G124</f>
        <v>691.46913599999993</v>
      </c>
      <c r="J145" s="197">
        <f t="shared" si="348"/>
        <v>1258.1810859999998</v>
      </c>
      <c r="K145" s="197">
        <f t="shared" si="349"/>
        <v>-371.89537171428549</v>
      </c>
      <c r="L145" s="197">
        <f t="shared" si="350"/>
        <v>-41.895371714285602</v>
      </c>
      <c r="M145" s="196">
        <f t="shared" si="351"/>
        <v>720.63139091059531</v>
      </c>
      <c r="N145" s="197">
        <f t="shared" si="352"/>
        <v>268.32019874330672</v>
      </c>
      <c r="O145" s="197">
        <f t="shared" si="353"/>
        <v>1023.016360759362</v>
      </c>
      <c r="P145" s="197">
        <f t="shared" si="354"/>
        <v>-302.38496984876673</v>
      </c>
      <c r="Q145" s="199">
        <f t="shared" si="355"/>
        <v>-34.064771105460075</v>
      </c>
      <c r="R145" s="196">
        <f t="shared" si="356"/>
        <v>6408.0964934563499</v>
      </c>
      <c r="S145" s="197">
        <f t="shared" si="356"/>
        <v>2385.9933752231091</v>
      </c>
      <c r="T145" s="197">
        <f t="shared" si="356"/>
        <v>9097.0052606879271</v>
      </c>
      <c r="U145" s="197">
        <f t="shared" si="356"/>
        <v>-2688.9087672315777</v>
      </c>
      <c r="V145" s="199">
        <f t="shared" si="356"/>
        <v>-302.91539200846995</v>
      </c>
      <c r="Z145" s="900">
        <v>8</v>
      </c>
      <c r="AA145" s="911">
        <f>'Arable Inputs'!$H$18</f>
        <v>9.4</v>
      </c>
      <c r="AB145" s="760">
        <f>'Arable Inputs'!$H$25</f>
        <v>94.285714285714292</v>
      </c>
      <c r="AC145" s="762">
        <f t="shared" si="357"/>
        <v>886.28571428571433</v>
      </c>
      <c r="AD145" s="197">
        <f>'Arable NPV'!$D124</f>
        <v>330</v>
      </c>
      <c r="AE145" s="197">
        <f t="shared" si="414"/>
        <v>1216.2857142857142</v>
      </c>
      <c r="AF145" s="197">
        <f>'Arable NPV'!$F124</f>
        <v>566.71194999999989</v>
      </c>
      <c r="AG145" s="197">
        <f>'Arable NPV'!$G124</f>
        <v>691.46913599999993</v>
      </c>
      <c r="AH145" s="197">
        <f t="shared" si="358"/>
        <v>1887.2716289999998</v>
      </c>
      <c r="AI145" s="197">
        <f t="shared" si="359"/>
        <v>-1000.9859147142855</v>
      </c>
      <c r="AJ145" s="197">
        <f t="shared" si="360"/>
        <v>-670.98591471428563</v>
      </c>
      <c r="AK145" s="196">
        <f t="shared" si="361"/>
        <v>720.63139091059531</v>
      </c>
      <c r="AL145" s="197">
        <f t="shared" si="362"/>
        <v>268.32019874330672</v>
      </c>
      <c r="AM145" s="197">
        <f t="shared" si="363"/>
        <v>1534.5245411390431</v>
      </c>
      <c r="AN145" s="197">
        <f t="shared" si="364"/>
        <v>-813.89315022844778</v>
      </c>
      <c r="AO145" s="199">
        <f t="shared" si="365"/>
        <v>-545.57295148514117</v>
      </c>
      <c r="AP145" s="196">
        <f t="shared" si="366"/>
        <v>6408.0964934563499</v>
      </c>
      <c r="AQ145" s="197">
        <f t="shared" si="367"/>
        <v>2385.9933752231091</v>
      </c>
      <c r="AR145" s="197">
        <f t="shared" si="368"/>
        <v>13645.507891031892</v>
      </c>
      <c r="AS145" s="197">
        <f t="shared" si="369"/>
        <v>-7237.4113975755427</v>
      </c>
      <c r="AT145" s="199">
        <f t="shared" si="370"/>
        <v>-4851.4180223524345</v>
      </c>
      <c r="AX145" s="900">
        <v>8</v>
      </c>
      <c r="AY145" s="911">
        <f>'Arable Inputs'!$H$18</f>
        <v>9.4</v>
      </c>
      <c r="AZ145" s="760">
        <f>'Arable Inputs'!$H$25</f>
        <v>94.285714285714292</v>
      </c>
      <c r="BA145" s="762">
        <f t="shared" si="371"/>
        <v>886.28571428571433</v>
      </c>
      <c r="BB145" s="197">
        <f>'Arable NPV'!$D124</f>
        <v>330</v>
      </c>
      <c r="BC145" s="197">
        <f t="shared" si="415"/>
        <v>1216.2857142857142</v>
      </c>
      <c r="BD145" s="197">
        <f>'Arable NPV'!$F124</f>
        <v>566.71194999999989</v>
      </c>
      <c r="BE145" s="197">
        <f>'Arable NPV'!$G124</f>
        <v>691.46913599999993</v>
      </c>
      <c r="BF145" s="197">
        <f t="shared" si="372"/>
        <v>629.09054299999991</v>
      </c>
      <c r="BG145" s="197">
        <f t="shared" si="373"/>
        <v>257.19517128571442</v>
      </c>
      <c r="BH145" s="197">
        <f t="shared" si="374"/>
        <v>587.19517128571431</v>
      </c>
      <c r="BI145" s="196">
        <f t="shared" si="375"/>
        <v>720.63139091059531</v>
      </c>
      <c r="BJ145" s="197">
        <f t="shared" si="376"/>
        <v>268.32019874330672</v>
      </c>
      <c r="BK145" s="197">
        <f t="shared" si="377"/>
        <v>511.50818037968099</v>
      </c>
      <c r="BL145" s="197">
        <f t="shared" si="378"/>
        <v>209.12321053091429</v>
      </c>
      <c r="BM145" s="199">
        <f t="shared" si="379"/>
        <v>477.44340927422093</v>
      </c>
      <c r="BN145" s="196">
        <f t="shared" si="380"/>
        <v>6408.0964934563499</v>
      </c>
      <c r="BO145" s="197">
        <f t="shared" si="381"/>
        <v>2385.9933752231091</v>
      </c>
      <c r="BP145" s="197">
        <f t="shared" si="382"/>
        <v>4548.5026303439636</v>
      </c>
      <c r="BQ145" s="197">
        <f t="shared" si="383"/>
        <v>1859.5938631123861</v>
      </c>
      <c r="BR145" s="199">
        <f t="shared" si="384"/>
        <v>4245.5872383354945</v>
      </c>
      <c r="BV145" s="900">
        <v>8</v>
      </c>
      <c r="BW145" s="911">
        <f>'Arable Inputs'!$H$18</f>
        <v>9.4</v>
      </c>
      <c r="BX145" s="760">
        <f>'Arable Inputs'!$H$25</f>
        <v>94.285714285714292</v>
      </c>
      <c r="BY145" s="762">
        <f t="shared" si="385"/>
        <v>886.28571428571433</v>
      </c>
      <c r="BZ145" s="197">
        <f>'Arable NPV'!$D124</f>
        <v>330</v>
      </c>
      <c r="CA145" s="197">
        <f t="shared" si="416"/>
        <v>1216.2857142857142</v>
      </c>
      <c r="CB145" s="197">
        <f>'Arable NPV'!$F124</f>
        <v>566.71194999999989</v>
      </c>
      <c r="CC145" s="197">
        <f>'Arable NPV'!$G124</f>
        <v>691.46913599999993</v>
      </c>
      <c r="CD145" s="197">
        <f t="shared" si="386"/>
        <v>2516.3621719999996</v>
      </c>
      <c r="CE145" s="197">
        <f t="shared" si="387"/>
        <v>-1630.0764577142854</v>
      </c>
      <c r="CF145" s="197">
        <f t="shared" si="388"/>
        <v>-1300.0764577142854</v>
      </c>
      <c r="CG145" s="196">
        <f t="shared" si="389"/>
        <v>720.63139091059531</v>
      </c>
      <c r="CH145" s="197">
        <f t="shared" si="390"/>
        <v>268.32019874330672</v>
      </c>
      <c r="CI145" s="197">
        <f t="shared" si="391"/>
        <v>2046.032721518724</v>
      </c>
      <c r="CJ145" s="197">
        <f t="shared" si="392"/>
        <v>-1325.4013306081288</v>
      </c>
      <c r="CK145" s="199">
        <f t="shared" si="393"/>
        <v>-1057.0811318648221</v>
      </c>
      <c r="CL145" s="196">
        <f t="shared" si="394"/>
        <v>6408.0964934563499</v>
      </c>
      <c r="CM145" s="197">
        <f t="shared" si="395"/>
        <v>2385.9933752231091</v>
      </c>
      <c r="CN145" s="197">
        <f t="shared" si="396"/>
        <v>18194.010521375854</v>
      </c>
      <c r="CO145" s="197">
        <f t="shared" si="397"/>
        <v>-11785.914027919505</v>
      </c>
      <c r="CP145" s="199">
        <f t="shared" si="398"/>
        <v>-9399.9206526963972</v>
      </c>
      <c r="CT145" s="900">
        <v>8</v>
      </c>
      <c r="CU145" s="911">
        <f>'Arable Inputs'!$H$18</f>
        <v>9.4</v>
      </c>
      <c r="CV145" s="760">
        <f>'Arable Inputs'!$H$25</f>
        <v>94.285714285714292</v>
      </c>
      <c r="CW145" s="762">
        <f t="shared" si="399"/>
        <v>886.28571428571433</v>
      </c>
      <c r="CX145" s="197">
        <f>'Arable NPV'!$D124</f>
        <v>330</v>
      </c>
      <c r="CY145" s="197">
        <f t="shared" si="417"/>
        <v>1216.2857142857142</v>
      </c>
      <c r="CZ145" s="197">
        <f>'Arable NPV'!$F124</f>
        <v>566.71194999999989</v>
      </c>
      <c r="DA145" s="197">
        <f>'Arable NPV'!$G124</f>
        <v>691.46913599999993</v>
      </c>
      <c r="DB145" s="197">
        <f t="shared" si="400"/>
        <v>0</v>
      </c>
      <c r="DC145" s="197">
        <f t="shared" si="401"/>
        <v>886.28571428571433</v>
      </c>
      <c r="DD145" s="197">
        <f t="shared" si="402"/>
        <v>1216.2857142857142</v>
      </c>
      <c r="DE145" s="196">
        <f t="shared" si="403"/>
        <v>720.63139091059531</v>
      </c>
      <c r="DF145" s="197">
        <f t="shared" si="404"/>
        <v>268.32019874330672</v>
      </c>
      <c r="DG145" s="197">
        <f t="shared" si="405"/>
        <v>0</v>
      </c>
      <c r="DH145" s="197">
        <f t="shared" si="406"/>
        <v>720.63139091059531</v>
      </c>
      <c r="DI145" s="199">
        <f t="shared" si="407"/>
        <v>988.95158965390192</v>
      </c>
      <c r="DJ145" s="196">
        <f t="shared" si="408"/>
        <v>6408.0964934563499</v>
      </c>
      <c r="DK145" s="197">
        <f t="shared" si="409"/>
        <v>2385.9933752231091</v>
      </c>
      <c r="DL145" s="197">
        <f t="shared" si="410"/>
        <v>0</v>
      </c>
      <c r="DM145" s="197">
        <f t="shared" si="411"/>
        <v>6408.0964934563499</v>
      </c>
      <c r="DN145" s="199">
        <f t="shared" si="412"/>
        <v>8794.089868679459</v>
      </c>
    </row>
    <row r="146" spans="2:118" x14ac:dyDescent="0.3">
      <c r="B146" s="900">
        <v>9</v>
      </c>
      <c r="C146" s="911">
        <f>'Arable Inputs'!$H$18</f>
        <v>9.4</v>
      </c>
      <c r="D146" s="760">
        <f>'Arable Inputs'!$H$25</f>
        <v>94.285714285714292</v>
      </c>
      <c r="E146" s="762">
        <f t="shared" si="347"/>
        <v>886.28571428571433</v>
      </c>
      <c r="F146" s="197">
        <f>'Arable NPV'!$D125</f>
        <v>330</v>
      </c>
      <c r="G146" s="197">
        <f t="shared" si="413"/>
        <v>1216.2857142857142</v>
      </c>
      <c r="H146" s="197">
        <f>'Arable NPV'!$F125</f>
        <v>566.71194999999989</v>
      </c>
      <c r="I146" s="197">
        <f>'Arable NPV'!$G125</f>
        <v>691.46913599999993</v>
      </c>
      <c r="J146" s="197">
        <f t="shared" si="348"/>
        <v>1258.1810859999998</v>
      </c>
      <c r="K146" s="197">
        <f t="shared" si="349"/>
        <v>-371.89537171428549</v>
      </c>
      <c r="L146" s="197">
        <f t="shared" si="350"/>
        <v>-41.895371714285602</v>
      </c>
      <c r="M146" s="196">
        <f t="shared" si="351"/>
        <v>699.64212709766537</v>
      </c>
      <c r="N146" s="197">
        <f t="shared" si="352"/>
        <v>260.50504732359883</v>
      </c>
      <c r="O146" s="197">
        <f t="shared" si="353"/>
        <v>993.21976772753601</v>
      </c>
      <c r="P146" s="197">
        <f t="shared" si="354"/>
        <v>-293.57764062987064</v>
      </c>
      <c r="Q146" s="199">
        <f t="shared" si="355"/>
        <v>-33.072593306271919</v>
      </c>
      <c r="R146" s="196">
        <f t="shared" si="356"/>
        <v>7107.7386205540151</v>
      </c>
      <c r="S146" s="197">
        <f t="shared" si="356"/>
        <v>2646.4984225467078</v>
      </c>
      <c r="T146" s="197">
        <f t="shared" si="356"/>
        <v>10090.225028415463</v>
      </c>
      <c r="U146" s="197">
        <f t="shared" si="356"/>
        <v>-2982.4864078614482</v>
      </c>
      <c r="V146" s="199">
        <f t="shared" si="356"/>
        <v>-335.98798531474188</v>
      </c>
      <c r="Z146" s="900">
        <v>9</v>
      </c>
      <c r="AA146" s="911">
        <f>'Arable Inputs'!$H$18</f>
        <v>9.4</v>
      </c>
      <c r="AB146" s="760">
        <f>'Arable Inputs'!$H$25</f>
        <v>94.285714285714292</v>
      </c>
      <c r="AC146" s="762">
        <f t="shared" si="357"/>
        <v>886.28571428571433</v>
      </c>
      <c r="AD146" s="197">
        <f>'Arable NPV'!$D125</f>
        <v>330</v>
      </c>
      <c r="AE146" s="197">
        <f t="shared" si="414"/>
        <v>1216.2857142857142</v>
      </c>
      <c r="AF146" s="197">
        <f>'Arable NPV'!$F125</f>
        <v>566.71194999999989</v>
      </c>
      <c r="AG146" s="197">
        <f>'Arable NPV'!$G125</f>
        <v>691.46913599999993</v>
      </c>
      <c r="AH146" s="197">
        <f t="shared" si="358"/>
        <v>1887.2716289999998</v>
      </c>
      <c r="AI146" s="197">
        <f t="shared" si="359"/>
        <v>-1000.9859147142855</v>
      </c>
      <c r="AJ146" s="197">
        <f t="shared" si="360"/>
        <v>-670.98591471428563</v>
      </c>
      <c r="AK146" s="196">
        <f t="shared" si="361"/>
        <v>699.64212709766537</v>
      </c>
      <c r="AL146" s="197">
        <f t="shared" si="362"/>
        <v>260.50504732359883</v>
      </c>
      <c r="AM146" s="197">
        <f t="shared" si="363"/>
        <v>1489.8296515913041</v>
      </c>
      <c r="AN146" s="197">
        <f t="shared" si="364"/>
        <v>-790.18752449363876</v>
      </c>
      <c r="AO146" s="199">
        <f t="shared" si="365"/>
        <v>-529.68247717003999</v>
      </c>
      <c r="AP146" s="196">
        <f t="shared" si="366"/>
        <v>7107.7386205540151</v>
      </c>
      <c r="AQ146" s="197">
        <f t="shared" si="367"/>
        <v>2646.4984225467078</v>
      </c>
      <c r="AR146" s="197">
        <f t="shared" si="368"/>
        <v>15135.337542623196</v>
      </c>
      <c r="AS146" s="197">
        <f t="shared" si="369"/>
        <v>-8027.5989220691818</v>
      </c>
      <c r="AT146" s="199">
        <f t="shared" si="370"/>
        <v>-5381.1004995224748</v>
      </c>
      <c r="AX146" s="900">
        <v>9</v>
      </c>
      <c r="AY146" s="911">
        <f>'Arable Inputs'!$H$18</f>
        <v>9.4</v>
      </c>
      <c r="AZ146" s="760">
        <f>'Arable Inputs'!$H$25</f>
        <v>94.285714285714292</v>
      </c>
      <c r="BA146" s="762">
        <f t="shared" si="371"/>
        <v>886.28571428571433</v>
      </c>
      <c r="BB146" s="197">
        <f>'Arable NPV'!$D125</f>
        <v>330</v>
      </c>
      <c r="BC146" s="197">
        <f t="shared" si="415"/>
        <v>1216.2857142857142</v>
      </c>
      <c r="BD146" s="197">
        <f>'Arable NPV'!$F125</f>
        <v>566.71194999999989</v>
      </c>
      <c r="BE146" s="197">
        <f>'Arable NPV'!$G125</f>
        <v>691.46913599999993</v>
      </c>
      <c r="BF146" s="197">
        <f t="shared" si="372"/>
        <v>629.09054299999991</v>
      </c>
      <c r="BG146" s="197">
        <f t="shared" si="373"/>
        <v>257.19517128571442</v>
      </c>
      <c r="BH146" s="197">
        <f t="shared" si="374"/>
        <v>587.19517128571431</v>
      </c>
      <c r="BI146" s="196">
        <f t="shared" si="375"/>
        <v>699.64212709766537</v>
      </c>
      <c r="BJ146" s="197">
        <f t="shared" si="376"/>
        <v>260.50504732359883</v>
      </c>
      <c r="BK146" s="197">
        <f t="shared" si="377"/>
        <v>496.609883863768</v>
      </c>
      <c r="BL146" s="197">
        <f t="shared" si="378"/>
        <v>203.03224323389739</v>
      </c>
      <c r="BM146" s="199">
        <f t="shared" si="379"/>
        <v>463.53729055749608</v>
      </c>
      <c r="BN146" s="196">
        <f t="shared" si="380"/>
        <v>7107.7386205540151</v>
      </c>
      <c r="BO146" s="197">
        <f t="shared" si="381"/>
        <v>2646.4984225467078</v>
      </c>
      <c r="BP146" s="197">
        <f t="shared" si="382"/>
        <v>5045.1125142077317</v>
      </c>
      <c r="BQ146" s="197">
        <f t="shared" si="383"/>
        <v>2062.6261063462834</v>
      </c>
      <c r="BR146" s="199">
        <f t="shared" si="384"/>
        <v>4709.1245288929904</v>
      </c>
      <c r="BV146" s="900">
        <v>9</v>
      </c>
      <c r="BW146" s="911">
        <f>'Arable Inputs'!$H$18</f>
        <v>9.4</v>
      </c>
      <c r="BX146" s="760">
        <f>'Arable Inputs'!$H$25</f>
        <v>94.285714285714292</v>
      </c>
      <c r="BY146" s="762">
        <f t="shared" si="385"/>
        <v>886.28571428571433</v>
      </c>
      <c r="BZ146" s="197">
        <f>'Arable NPV'!$D125</f>
        <v>330</v>
      </c>
      <c r="CA146" s="197">
        <f t="shared" si="416"/>
        <v>1216.2857142857142</v>
      </c>
      <c r="CB146" s="197">
        <f>'Arable NPV'!$F125</f>
        <v>566.71194999999989</v>
      </c>
      <c r="CC146" s="197">
        <f>'Arable NPV'!$G125</f>
        <v>691.46913599999993</v>
      </c>
      <c r="CD146" s="197">
        <f t="shared" si="386"/>
        <v>2516.3621719999996</v>
      </c>
      <c r="CE146" s="197">
        <f t="shared" si="387"/>
        <v>-1630.0764577142854</v>
      </c>
      <c r="CF146" s="197">
        <f t="shared" si="388"/>
        <v>-1300.0764577142854</v>
      </c>
      <c r="CG146" s="196">
        <f t="shared" si="389"/>
        <v>699.64212709766537</v>
      </c>
      <c r="CH146" s="197">
        <f t="shared" si="390"/>
        <v>260.50504732359883</v>
      </c>
      <c r="CI146" s="197">
        <f t="shared" si="391"/>
        <v>1986.439535455072</v>
      </c>
      <c r="CJ146" s="197">
        <f t="shared" si="392"/>
        <v>-1286.7974083574068</v>
      </c>
      <c r="CK146" s="199">
        <f t="shared" si="393"/>
        <v>-1026.292361033808</v>
      </c>
      <c r="CL146" s="196">
        <f t="shared" si="394"/>
        <v>7107.7386205540151</v>
      </c>
      <c r="CM146" s="197">
        <f t="shared" si="395"/>
        <v>2646.4984225467078</v>
      </c>
      <c r="CN146" s="197">
        <f t="shared" si="396"/>
        <v>20180.450056830927</v>
      </c>
      <c r="CO146" s="197">
        <f t="shared" si="397"/>
        <v>-13072.711436276912</v>
      </c>
      <c r="CP146" s="199">
        <f t="shared" si="398"/>
        <v>-10426.213013730205</v>
      </c>
      <c r="CT146" s="900">
        <v>9</v>
      </c>
      <c r="CU146" s="911">
        <f>'Arable Inputs'!$H$18</f>
        <v>9.4</v>
      </c>
      <c r="CV146" s="760">
        <f>'Arable Inputs'!$H$25</f>
        <v>94.285714285714292</v>
      </c>
      <c r="CW146" s="762">
        <f t="shared" si="399"/>
        <v>886.28571428571433</v>
      </c>
      <c r="CX146" s="197">
        <f>'Arable NPV'!$D125</f>
        <v>330</v>
      </c>
      <c r="CY146" s="197">
        <f t="shared" si="417"/>
        <v>1216.2857142857142</v>
      </c>
      <c r="CZ146" s="197">
        <f>'Arable NPV'!$F125</f>
        <v>566.71194999999989</v>
      </c>
      <c r="DA146" s="197">
        <f>'Arable NPV'!$G125</f>
        <v>691.46913599999993</v>
      </c>
      <c r="DB146" s="197">
        <f t="shared" si="400"/>
        <v>0</v>
      </c>
      <c r="DC146" s="197">
        <f t="shared" si="401"/>
        <v>886.28571428571433</v>
      </c>
      <c r="DD146" s="197">
        <f t="shared" si="402"/>
        <v>1216.2857142857142</v>
      </c>
      <c r="DE146" s="196">
        <f t="shared" si="403"/>
        <v>699.64212709766537</v>
      </c>
      <c r="DF146" s="197">
        <f t="shared" si="404"/>
        <v>260.50504732359883</v>
      </c>
      <c r="DG146" s="197">
        <f t="shared" si="405"/>
        <v>0</v>
      </c>
      <c r="DH146" s="197">
        <f t="shared" si="406"/>
        <v>699.64212709766537</v>
      </c>
      <c r="DI146" s="199">
        <f t="shared" si="407"/>
        <v>960.14717442126414</v>
      </c>
      <c r="DJ146" s="196">
        <f t="shared" si="408"/>
        <v>7107.7386205540151</v>
      </c>
      <c r="DK146" s="197">
        <f t="shared" si="409"/>
        <v>2646.4984225467078</v>
      </c>
      <c r="DL146" s="197">
        <f t="shared" si="410"/>
        <v>0</v>
      </c>
      <c r="DM146" s="197">
        <f t="shared" si="411"/>
        <v>7107.7386205540151</v>
      </c>
      <c r="DN146" s="199">
        <f t="shared" si="412"/>
        <v>9754.2370431007239</v>
      </c>
    </row>
    <row r="147" spans="2:118" x14ac:dyDescent="0.3">
      <c r="B147" s="900">
        <v>10</v>
      </c>
      <c r="C147" s="911">
        <f>'Arable Inputs'!$H$18</f>
        <v>9.4</v>
      </c>
      <c r="D147" s="760">
        <f>'Arable Inputs'!$H$25</f>
        <v>94.285714285714292</v>
      </c>
      <c r="E147" s="762">
        <f t="shared" si="347"/>
        <v>886.28571428571433</v>
      </c>
      <c r="F147" s="197">
        <f>'Arable NPV'!$D126</f>
        <v>330</v>
      </c>
      <c r="G147" s="197">
        <f t="shared" si="413"/>
        <v>1216.2857142857142</v>
      </c>
      <c r="H147" s="197">
        <f>'Arable NPV'!$F126</f>
        <v>566.71194999999989</v>
      </c>
      <c r="I147" s="197">
        <f>'Arable NPV'!$G126</f>
        <v>691.46913599999993</v>
      </c>
      <c r="J147" s="197">
        <f t="shared" si="348"/>
        <v>1258.1810859999998</v>
      </c>
      <c r="K147" s="197">
        <f t="shared" si="349"/>
        <v>-371.89537171428549</v>
      </c>
      <c r="L147" s="197">
        <f t="shared" si="350"/>
        <v>-41.895371714285602</v>
      </c>
      <c r="M147" s="196">
        <f t="shared" si="351"/>
        <v>679.26420106569458</v>
      </c>
      <c r="N147" s="197">
        <f t="shared" si="352"/>
        <v>252.91752167339689</v>
      </c>
      <c r="O147" s="197">
        <f t="shared" si="353"/>
        <v>964.29103662867578</v>
      </c>
      <c r="P147" s="197">
        <f t="shared" si="354"/>
        <v>-285.0268355629812</v>
      </c>
      <c r="Q147" s="199">
        <f t="shared" si="355"/>
        <v>-32.109313889584385</v>
      </c>
      <c r="R147" s="196">
        <f t="shared" si="356"/>
        <v>7787.0028216197097</v>
      </c>
      <c r="S147" s="197">
        <f t="shared" si="356"/>
        <v>2899.4159442201048</v>
      </c>
      <c r="T147" s="197">
        <f t="shared" si="356"/>
        <v>11054.516065044139</v>
      </c>
      <c r="U147" s="197">
        <f t="shared" si="356"/>
        <v>-3267.5132434244297</v>
      </c>
      <c r="V147" s="199">
        <f t="shared" si="356"/>
        <v>-368.09729920432625</v>
      </c>
      <c r="Z147" s="900">
        <v>10</v>
      </c>
      <c r="AA147" s="911">
        <f>'Arable Inputs'!$H$18</f>
        <v>9.4</v>
      </c>
      <c r="AB147" s="760">
        <f>'Arable Inputs'!$H$25</f>
        <v>94.285714285714292</v>
      </c>
      <c r="AC147" s="762">
        <f t="shared" si="357"/>
        <v>886.28571428571433</v>
      </c>
      <c r="AD147" s="197">
        <f>'Arable NPV'!$D126</f>
        <v>330</v>
      </c>
      <c r="AE147" s="197">
        <f t="shared" si="414"/>
        <v>1216.2857142857142</v>
      </c>
      <c r="AF147" s="197">
        <f>'Arable NPV'!$F126</f>
        <v>566.71194999999989</v>
      </c>
      <c r="AG147" s="197">
        <f>'Arable NPV'!$G126</f>
        <v>691.46913599999993</v>
      </c>
      <c r="AH147" s="197">
        <f t="shared" si="358"/>
        <v>1887.2716289999998</v>
      </c>
      <c r="AI147" s="197">
        <f t="shared" si="359"/>
        <v>-1000.9859147142855</v>
      </c>
      <c r="AJ147" s="197">
        <f t="shared" si="360"/>
        <v>-670.98591471428563</v>
      </c>
      <c r="AK147" s="196">
        <f t="shared" si="361"/>
        <v>679.26420106569458</v>
      </c>
      <c r="AL147" s="197">
        <f t="shared" si="362"/>
        <v>252.91752167339689</v>
      </c>
      <c r="AM147" s="197">
        <f t="shared" si="363"/>
        <v>1446.4365549430138</v>
      </c>
      <c r="AN147" s="197">
        <f t="shared" si="364"/>
        <v>-767.1723538773191</v>
      </c>
      <c r="AO147" s="199">
        <f t="shared" si="365"/>
        <v>-514.25483220392232</v>
      </c>
      <c r="AP147" s="196">
        <f t="shared" si="366"/>
        <v>7787.0028216197097</v>
      </c>
      <c r="AQ147" s="197">
        <f t="shared" si="367"/>
        <v>2899.4159442201048</v>
      </c>
      <c r="AR147" s="197">
        <f t="shared" si="368"/>
        <v>16581.774097566209</v>
      </c>
      <c r="AS147" s="197">
        <f t="shared" si="369"/>
        <v>-8794.7712759465012</v>
      </c>
      <c r="AT147" s="199">
        <f t="shared" si="370"/>
        <v>-5895.3553317263968</v>
      </c>
      <c r="AX147" s="900">
        <v>10</v>
      </c>
      <c r="AY147" s="911">
        <f>'Arable Inputs'!$H$18</f>
        <v>9.4</v>
      </c>
      <c r="AZ147" s="760">
        <f>'Arable Inputs'!$H$25</f>
        <v>94.285714285714292</v>
      </c>
      <c r="BA147" s="762">
        <f t="shared" si="371"/>
        <v>886.28571428571433</v>
      </c>
      <c r="BB147" s="197">
        <f>'Arable NPV'!$D126</f>
        <v>330</v>
      </c>
      <c r="BC147" s="197">
        <f t="shared" si="415"/>
        <v>1216.2857142857142</v>
      </c>
      <c r="BD147" s="197">
        <f>'Arable NPV'!$F126</f>
        <v>566.71194999999989</v>
      </c>
      <c r="BE147" s="197">
        <f>'Arable NPV'!$G126</f>
        <v>691.46913599999993</v>
      </c>
      <c r="BF147" s="197">
        <f t="shared" si="372"/>
        <v>629.09054299999991</v>
      </c>
      <c r="BG147" s="197">
        <f t="shared" si="373"/>
        <v>257.19517128571442</v>
      </c>
      <c r="BH147" s="197">
        <f t="shared" si="374"/>
        <v>587.19517128571431</v>
      </c>
      <c r="BI147" s="196">
        <f t="shared" si="375"/>
        <v>679.26420106569458</v>
      </c>
      <c r="BJ147" s="197">
        <f t="shared" si="376"/>
        <v>252.91752167339689</v>
      </c>
      <c r="BK147" s="197">
        <f t="shared" si="377"/>
        <v>482.14551831433789</v>
      </c>
      <c r="BL147" s="197">
        <f t="shared" si="378"/>
        <v>197.11868275135669</v>
      </c>
      <c r="BM147" s="199">
        <f t="shared" si="379"/>
        <v>450.03620442475346</v>
      </c>
      <c r="BN147" s="196">
        <f t="shared" si="380"/>
        <v>7787.0028216197097</v>
      </c>
      <c r="BO147" s="197">
        <f t="shared" si="381"/>
        <v>2899.4159442201048</v>
      </c>
      <c r="BP147" s="197">
        <f t="shared" si="382"/>
        <v>5527.2580325220697</v>
      </c>
      <c r="BQ147" s="197">
        <f t="shared" si="383"/>
        <v>2259.74478909764</v>
      </c>
      <c r="BR147" s="199">
        <f t="shared" si="384"/>
        <v>5159.1607333177435</v>
      </c>
      <c r="BV147" s="900">
        <v>10</v>
      </c>
      <c r="BW147" s="911">
        <f>'Arable Inputs'!$H$18</f>
        <v>9.4</v>
      </c>
      <c r="BX147" s="760">
        <f>'Arable Inputs'!$H$25</f>
        <v>94.285714285714292</v>
      </c>
      <c r="BY147" s="762">
        <f t="shared" si="385"/>
        <v>886.28571428571433</v>
      </c>
      <c r="BZ147" s="197">
        <f>'Arable NPV'!$D126</f>
        <v>330</v>
      </c>
      <c r="CA147" s="197">
        <f t="shared" si="416"/>
        <v>1216.2857142857142</v>
      </c>
      <c r="CB147" s="197">
        <f>'Arable NPV'!$F126</f>
        <v>566.71194999999989</v>
      </c>
      <c r="CC147" s="197">
        <f>'Arable NPV'!$G126</f>
        <v>691.46913599999993</v>
      </c>
      <c r="CD147" s="197">
        <f t="shared" si="386"/>
        <v>2516.3621719999996</v>
      </c>
      <c r="CE147" s="197">
        <f t="shared" si="387"/>
        <v>-1630.0764577142854</v>
      </c>
      <c r="CF147" s="197">
        <f t="shared" si="388"/>
        <v>-1300.0764577142854</v>
      </c>
      <c r="CG147" s="196">
        <f t="shared" si="389"/>
        <v>679.26420106569458</v>
      </c>
      <c r="CH147" s="197">
        <f t="shared" si="390"/>
        <v>252.91752167339689</v>
      </c>
      <c r="CI147" s="197">
        <f t="shared" si="391"/>
        <v>1928.5820732573516</v>
      </c>
      <c r="CJ147" s="197">
        <f t="shared" si="392"/>
        <v>-1249.317872191657</v>
      </c>
      <c r="CK147" s="199">
        <f t="shared" si="393"/>
        <v>-996.4003505182601</v>
      </c>
      <c r="CL147" s="196">
        <f t="shared" si="394"/>
        <v>7787.0028216197097</v>
      </c>
      <c r="CM147" s="197">
        <f t="shared" si="395"/>
        <v>2899.4159442201048</v>
      </c>
      <c r="CN147" s="197">
        <f t="shared" si="396"/>
        <v>22109.032130088279</v>
      </c>
      <c r="CO147" s="197">
        <f t="shared" si="397"/>
        <v>-14322.029308468569</v>
      </c>
      <c r="CP147" s="199">
        <f t="shared" si="398"/>
        <v>-11422.613364248466</v>
      </c>
      <c r="CT147" s="900">
        <v>10</v>
      </c>
      <c r="CU147" s="911">
        <f>'Arable Inputs'!$H$18</f>
        <v>9.4</v>
      </c>
      <c r="CV147" s="760">
        <f>'Arable Inputs'!$H$25</f>
        <v>94.285714285714292</v>
      </c>
      <c r="CW147" s="762">
        <f t="shared" si="399"/>
        <v>886.28571428571433</v>
      </c>
      <c r="CX147" s="197">
        <f>'Arable NPV'!$D126</f>
        <v>330</v>
      </c>
      <c r="CY147" s="197">
        <f t="shared" si="417"/>
        <v>1216.2857142857142</v>
      </c>
      <c r="CZ147" s="197">
        <f>'Arable NPV'!$F126</f>
        <v>566.71194999999989</v>
      </c>
      <c r="DA147" s="197">
        <f>'Arable NPV'!$G126</f>
        <v>691.46913599999993</v>
      </c>
      <c r="DB147" s="197">
        <f t="shared" si="400"/>
        <v>0</v>
      </c>
      <c r="DC147" s="197">
        <f t="shared" si="401"/>
        <v>886.28571428571433</v>
      </c>
      <c r="DD147" s="197">
        <f t="shared" si="402"/>
        <v>1216.2857142857142</v>
      </c>
      <c r="DE147" s="196">
        <f t="shared" si="403"/>
        <v>679.26420106569458</v>
      </c>
      <c r="DF147" s="197">
        <f t="shared" si="404"/>
        <v>252.91752167339689</v>
      </c>
      <c r="DG147" s="197">
        <f t="shared" si="405"/>
        <v>0</v>
      </c>
      <c r="DH147" s="197">
        <f t="shared" si="406"/>
        <v>679.26420106569458</v>
      </c>
      <c r="DI147" s="199">
        <f t="shared" si="407"/>
        <v>932.18172273909136</v>
      </c>
      <c r="DJ147" s="196">
        <f t="shared" si="408"/>
        <v>7787.0028216197097</v>
      </c>
      <c r="DK147" s="197">
        <f t="shared" si="409"/>
        <v>2899.4159442201048</v>
      </c>
      <c r="DL147" s="197">
        <f t="shared" si="410"/>
        <v>0</v>
      </c>
      <c r="DM147" s="197">
        <f t="shared" si="411"/>
        <v>7787.0028216197097</v>
      </c>
      <c r="DN147" s="199">
        <f t="shared" si="412"/>
        <v>10686.418765839815</v>
      </c>
    </row>
    <row r="148" spans="2:118" x14ac:dyDescent="0.3">
      <c r="B148" s="900">
        <v>11</v>
      </c>
      <c r="C148" s="911">
        <f>'Arable Inputs'!$H$18</f>
        <v>9.4</v>
      </c>
      <c r="D148" s="760">
        <f>'Arable Inputs'!$H$25</f>
        <v>94.285714285714292</v>
      </c>
      <c r="E148" s="762">
        <f t="shared" si="347"/>
        <v>886.28571428571433</v>
      </c>
      <c r="F148" s="197">
        <f>'Arable NPV'!$D127</f>
        <v>330</v>
      </c>
      <c r="G148" s="197">
        <f t="shared" si="413"/>
        <v>1216.2857142857142</v>
      </c>
      <c r="H148" s="197">
        <f>'Arable NPV'!$F127</f>
        <v>566.71194999999989</v>
      </c>
      <c r="I148" s="197">
        <f>'Arable NPV'!$G127</f>
        <v>691.46913599999993</v>
      </c>
      <c r="J148" s="197">
        <f t="shared" si="348"/>
        <v>1258.1810859999998</v>
      </c>
      <c r="K148" s="197">
        <f t="shared" si="349"/>
        <v>-371.89537171428549</v>
      </c>
      <c r="L148" s="197">
        <f t="shared" si="350"/>
        <v>-41.895371714285602</v>
      </c>
      <c r="M148" s="196">
        <f t="shared" si="351"/>
        <v>659.47980685989762</v>
      </c>
      <c r="N148" s="197">
        <f t="shared" si="352"/>
        <v>245.55099191591933</v>
      </c>
      <c r="O148" s="197">
        <f t="shared" si="353"/>
        <v>936.2048899307531</v>
      </c>
      <c r="P148" s="197">
        <f t="shared" si="354"/>
        <v>-276.72508307085553</v>
      </c>
      <c r="Q148" s="199">
        <f t="shared" si="355"/>
        <v>-31.174091154936299</v>
      </c>
      <c r="R148" s="196">
        <f t="shared" si="356"/>
        <v>8446.4826284796072</v>
      </c>
      <c r="S148" s="197">
        <f t="shared" si="356"/>
        <v>3144.9669361360243</v>
      </c>
      <c r="T148" s="197">
        <f t="shared" si="356"/>
        <v>11990.720954974893</v>
      </c>
      <c r="U148" s="197">
        <f t="shared" si="356"/>
        <v>-3544.238326495285</v>
      </c>
      <c r="V148" s="199">
        <f t="shared" si="356"/>
        <v>-399.27139035926257</v>
      </c>
      <c r="Z148" s="900">
        <v>11</v>
      </c>
      <c r="AA148" s="911">
        <f>'Arable Inputs'!$H$18</f>
        <v>9.4</v>
      </c>
      <c r="AB148" s="760">
        <f>'Arable Inputs'!$H$25</f>
        <v>94.285714285714292</v>
      </c>
      <c r="AC148" s="762">
        <f t="shared" si="357"/>
        <v>886.28571428571433</v>
      </c>
      <c r="AD148" s="197">
        <f>'Arable NPV'!$D127</f>
        <v>330</v>
      </c>
      <c r="AE148" s="197">
        <f t="shared" si="414"/>
        <v>1216.2857142857142</v>
      </c>
      <c r="AF148" s="197">
        <f>'Arable NPV'!$F127</f>
        <v>566.71194999999989</v>
      </c>
      <c r="AG148" s="197">
        <f>'Arable NPV'!$G127</f>
        <v>691.46913599999993</v>
      </c>
      <c r="AH148" s="197">
        <f t="shared" si="358"/>
        <v>1887.2716289999998</v>
      </c>
      <c r="AI148" s="197">
        <f t="shared" si="359"/>
        <v>-1000.9859147142855</v>
      </c>
      <c r="AJ148" s="197">
        <f t="shared" si="360"/>
        <v>-670.98591471428563</v>
      </c>
      <c r="AK148" s="196">
        <f t="shared" si="361"/>
        <v>659.47980685989762</v>
      </c>
      <c r="AL148" s="197">
        <f t="shared" si="362"/>
        <v>245.55099191591933</v>
      </c>
      <c r="AM148" s="197">
        <f t="shared" si="363"/>
        <v>1404.3073348961298</v>
      </c>
      <c r="AN148" s="197">
        <f t="shared" si="364"/>
        <v>-744.82752803623214</v>
      </c>
      <c r="AO148" s="199">
        <f t="shared" si="365"/>
        <v>-499.27653612031298</v>
      </c>
      <c r="AP148" s="196">
        <f t="shared" si="366"/>
        <v>8446.4826284796072</v>
      </c>
      <c r="AQ148" s="197">
        <f t="shared" si="367"/>
        <v>3144.9669361360243</v>
      </c>
      <c r="AR148" s="197">
        <f t="shared" si="368"/>
        <v>17986.081432462339</v>
      </c>
      <c r="AS148" s="197">
        <f t="shared" si="369"/>
        <v>-9539.5988039827334</v>
      </c>
      <c r="AT148" s="199">
        <f t="shared" si="370"/>
        <v>-6394.6318678467096</v>
      </c>
      <c r="AX148" s="900">
        <v>11</v>
      </c>
      <c r="AY148" s="911">
        <f>'Arable Inputs'!$H$18</f>
        <v>9.4</v>
      </c>
      <c r="AZ148" s="760">
        <f>'Arable Inputs'!$H$25</f>
        <v>94.285714285714292</v>
      </c>
      <c r="BA148" s="762">
        <f t="shared" si="371"/>
        <v>886.28571428571433</v>
      </c>
      <c r="BB148" s="197">
        <f>'Arable NPV'!$D127</f>
        <v>330</v>
      </c>
      <c r="BC148" s="197">
        <f t="shared" si="415"/>
        <v>1216.2857142857142</v>
      </c>
      <c r="BD148" s="197">
        <f>'Arable NPV'!$F127</f>
        <v>566.71194999999989</v>
      </c>
      <c r="BE148" s="197">
        <f>'Arable NPV'!$G127</f>
        <v>691.46913599999993</v>
      </c>
      <c r="BF148" s="197">
        <f t="shared" si="372"/>
        <v>629.09054299999991</v>
      </c>
      <c r="BG148" s="197">
        <f t="shared" si="373"/>
        <v>257.19517128571442</v>
      </c>
      <c r="BH148" s="197">
        <f t="shared" si="374"/>
        <v>587.19517128571431</v>
      </c>
      <c r="BI148" s="196">
        <f t="shared" si="375"/>
        <v>659.47980685989762</v>
      </c>
      <c r="BJ148" s="197">
        <f t="shared" si="376"/>
        <v>245.55099191591933</v>
      </c>
      <c r="BK148" s="197">
        <f t="shared" si="377"/>
        <v>468.10244496537655</v>
      </c>
      <c r="BL148" s="197">
        <f t="shared" si="378"/>
        <v>191.37736189452104</v>
      </c>
      <c r="BM148" s="199">
        <f t="shared" si="379"/>
        <v>436.92835381044029</v>
      </c>
      <c r="BN148" s="196">
        <f t="shared" si="380"/>
        <v>8446.4826284796072</v>
      </c>
      <c r="BO148" s="197">
        <f t="shared" si="381"/>
        <v>3144.9669361360243</v>
      </c>
      <c r="BP148" s="197">
        <f t="shared" si="382"/>
        <v>5995.3604774874466</v>
      </c>
      <c r="BQ148" s="197">
        <f t="shared" si="383"/>
        <v>2451.1221509921611</v>
      </c>
      <c r="BR148" s="199">
        <f t="shared" si="384"/>
        <v>5596.0890871281836</v>
      </c>
      <c r="BV148" s="900">
        <v>11</v>
      </c>
      <c r="BW148" s="911">
        <f>'Arable Inputs'!$H$18</f>
        <v>9.4</v>
      </c>
      <c r="BX148" s="760">
        <f>'Arable Inputs'!$H$25</f>
        <v>94.285714285714292</v>
      </c>
      <c r="BY148" s="762">
        <f t="shared" si="385"/>
        <v>886.28571428571433</v>
      </c>
      <c r="BZ148" s="197">
        <f>'Arable NPV'!$D127</f>
        <v>330</v>
      </c>
      <c r="CA148" s="197">
        <f t="shared" si="416"/>
        <v>1216.2857142857142</v>
      </c>
      <c r="CB148" s="197">
        <f>'Arable NPV'!$F127</f>
        <v>566.71194999999989</v>
      </c>
      <c r="CC148" s="197">
        <f>'Arable NPV'!$G127</f>
        <v>691.46913599999993</v>
      </c>
      <c r="CD148" s="197">
        <f t="shared" si="386"/>
        <v>2516.3621719999996</v>
      </c>
      <c r="CE148" s="197">
        <f t="shared" si="387"/>
        <v>-1630.0764577142854</v>
      </c>
      <c r="CF148" s="197">
        <f t="shared" si="388"/>
        <v>-1300.0764577142854</v>
      </c>
      <c r="CG148" s="196">
        <f t="shared" si="389"/>
        <v>659.47980685989762</v>
      </c>
      <c r="CH148" s="197">
        <f t="shared" si="390"/>
        <v>245.55099191591933</v>
      </c>
      <c r="CI148" s="197">
        <f t="shared" si="391"/>
        <v>1872.4097798615062</v>
      </c>
      <c r="CJ148" s="197">
        <f t="shared" si="392"/>
        <v>-1212.9299730016087</v>
      </c>
      <c r="CK148" s="199">
        <f t="shared" si="393"/>
        <v>-967.37898108568947</v>
      </c>
      <c r="CL148" s="196">
        <f t="shared" si="394"/>
        <v>8446.4826284796072</v>
      </c>
      <c r="CM148" s="197">
        <f t="shared" si="395"/>
        <v>3144.9669361360243</v>
      </c>
      <c r="CN148" s="197">
        <f t="shared" si="396"/>
        <v>23981.441909949786</v>
      </c>
      <c r="CO148" s="197">
        <f t="shared" si="397"/>
        <v>-15534.959281470177</v>
      </c>
      <c r="CP148" s="199">
        <f t="shared" si="398"/>
        <v>-12389.992345334154</v>
      </c>
      <c r="CT148" s="900">
        <v>11</v>
      </c>
      <c r="CU148" s="911">
        <f>'Arable Inputs'!$H$18</f>
        <v>9.4</v>
      </c>
      <c r="CV148" s="760">
        <f>'Arable Inputs'!$H$25</f>
        <v>94.285714285714292</v>
      </c>
      <c r="CW148" s="762">
        <f t="shared" si="399"/>
        <v>886.28571428571433</v>
      </c>
      <c r="CX148" s="197">
        <f>'Arable NPV'!$D127</f>
        <v>330</v>
      </c>
      <c r="CY148" s="197">
        <f t="shared" si="417"/>
        <v>1216.2857142857142</v>
      </c>
      <c r="CZ148" s="197">
        <f>'Arable NPV'!$F127</f>
        <v>566.71194999999989</v>
      </c>
      <c r="DA148" s="197">
        <f>'Arable NPV'!$G127</f>
        <v>691.46913599999993</v>
      </c>
      <c r="DB148" s="197">
        <f t="shared" si="400"/>
        <v>0</v>
      </c>
      <c r="DC148" s="197">
        <f t="shared" si="401"/>
        <v>886.28571428571433</v>
      </c>
      <c r="DD148" s="197">
        <f t="shared" si="402"/>
        <v>1216.2857142857142</v>
      </c>
      <c r="DE148" s="196">
        <f t="shared" si="403"/>
        <v>659.47980685989762</v>
      </c>
      <c r="DF148" s="197">
        <f t="shared" si="404"/>
        <v>245.55099191591933</v>
      </c>
      <c r="DG148" s="197">
        <f t="shared" si="405"/>
        <v>0</v>
      </c>
      <c r="DH148" s="197">
        <f t="shared" si="406"/>
        <v>659.47980685989762</v>
      </c>
      <c r="DI148" s="199">
        <f t="shared" si="407"/>
        <v>905.03079877581683</v>
      </c>
      <c r="DJ148" s="196">
        <f t="shared" si="408"/>
        <v>8446.4826284796072</v>
      </c>
      <c r="DK148" s="197">
        <f t="shared" si="409"/>
        <v>3144.9669361360243</v>
      </c>
      <c r="DL148" s="197">
        <f t="shared" si="410"/>
        <v>0</v>
      </c>
      <c r="DM148" s="197">
        <f t="shared" si="411"/>
        <v>8446.4826284796072</v>
      </c>
      <c r="DN148" s="199">
        <f t="shared" si="412"/>
        <v>11591.449564615632</v>
      </c>
    </row>
    <row r="149" spans="2:118" x14ac:dyDescent="0.3">
      <c r="B149" s="900">
        <v>12</v>
      </c>
      <c r="C149" s="911">
        <f>'Arable Inputs'!$H$18</f>
        <v>9.4</v>
      </c>
      <c r="D149" s="760">
        <f>'Arable Inputs'!$H$25</f>
        <v>94.285714285714292</v>
      </c>
      <c r="E149" s="762">
        <f t="shared" si="347"/>
        <v>886.28571428571433</v>
      </c>
      <c r="F149" s="197">
        <f>'Arable NPV'!$D128</f>
        <v>330</v>
      </c>
      <c r="G149" s="197">
        <f t="shared" si="413"/>
        <v>1216.2857142857142</v>
      </c>
      <c r="H149" s="197">
        <f>'Arable NPV'!$F128</f>
        <v>566.71194999999989</v>
      </c>
      <c r="I149" s="197">
        <f>'Arable NPV'!$G128</f>
        <v>691.46913599999993</v>
      </c>
      <c r="J149" s="197">
        <f t="shared" si="348"/>
        <v>1258.1810859999998</v>
      </c>
      <c r="K149" s="197">
        <f t="shared" si="349"/>
        <v>-371.89537171428549</v>
      </c>
      <c r="L149" s="197">
        <f t="shared" si="350"/>
        <v>-41.895371714285602</v>
      </c>
      <c r="M149" s="196">
        <f t="shared" si="351"/>
        <v>640.27165714553166</v>
      </c>
      <c r="N149" s="197">
        <f t="shared" si="352"/>
        <v>238.39902127759154</v>
      </c>
      <c r="O149" s="197">
        <f t="shared" si="353"/>
        <v>908.93678634053697</v>
      </c>
      <c r="P149" s="197">
        <f t="shared" si="354"/>
        <v>-268.66512919500536</v>
      </c>
      <c r="Q149" s="199">
        <f t="shared" si="355"/>
        <v>-30.26610791741388</v>
      </c>
      <c r="R149" s="196">
        <f t="shared" si="356"/>
        <v>9086.7542856251384</v>
      </c>
      <c r="S149" s="197">
        <f t="shared" si="356"/>
        <v>3383.3659574136159</v>
      </c>
      <c r="T149" s="197">
        <f t="shared" si="356"/>
        <v>12899.65774131543</v>
      </c>
      <c r="U149" s="197">
        <f t="shared" si="356"/>
        <v>-3812.9034556902902</v>
      </c>
      <c r="V149" s="199">
        <f t="shared" si="356"/>
        <v>-429.53749827667644</v>
      </c>
      <c r="Z149" s="900">
        <v>12</v>
      </c>
      <c r="AA149" s="911">
        <f>'Arable Inputs'!$H$18</f>
        <v>9.4</v>
      </c>
      <c r="AB149" s="760">
        <f>'Arable Inputs'!$H$25</f>
        <v>94.285714285714292</v>
      </c>
      <c r="AC149" s="762">
        <f t="shared" si="357"/>
        <v>886.28571428571433</v>
      </c>
      <c r="AD149" s="197">
        <f>'Arable NPV'!$D128</f>
        <v>330</v>
      </c>
      <c r="AE149" s="197">
        <f t="shared" si="414"/>
        <v>1216.2857142857142</v>
      </c>
      <c r="AF149" s="197">
        <f>'Arable NPV'!$F128</f>
        <v>566.71194999999989</v>
      </c>
      <c r="AG149" s="197">
        <f>'Arable NPV'!$G128</f>
        <v>691.46913599999993</v>
      </c>
      <c r="AH149" s="197">
        <f t="shared" si="358"/>
        <v>1887.2716289999998</v>
      </c>
      <c r="AI149" s="197">
        <f t="shared" si="359"/>
        <v>-1000.9859147142855</v>
      </c>
      <c r="AJ149" s="197">
        <f t="shared" si="360"/>
        <v>-670.98591471428563</v>
      </c>
      <c r="AK149" s="196">
        <f t="shared" si="361"/>
        <v>640.27165714553166</v>
      </c>
      <c r="AL149" s="197">
        <f t="shared" si="362"/>
        <v>238.39902127759154</v>
      </c>
      <c r="AM149" s="197">
        <f t="shared" si="363"/>
        <v>1363.4051795108055</v>
      </c>
      <c r="AN149" s="197">
        <f t="shared" si="364"/>
        <v>-723.13352236527396</v>
      </c>
      <c r="AO149" s="199">
        <f t="shared" si="365"/>
        <v>-484.73450108768247</v>
      </c>
      <c r="AP149" s="196">
        <f t="shared" si="366"/>
        <v>9086.7542856251384</v>
      </c>
      <c r="AQ149" s="197">
        <f t="shared" si="367"/>
        <v>3383.3659574136159</v>
      </c>
      <c r="AR149" s="197">
        <f t="shared" si="368"/>
        <v>19349.486611973145</v>
      </c>
      <c r="AS149" s="197">
        <f t="shared" si="369"/>
        <v>-10262.732326348007</v>
      </c>
      <c r="AT149" s="199">
        <f t="shared" si="370"/>
        <v>-6879.3663689343921</v>
      </c>
      <c r="AX149" s="900">
        <v>12</v>
      </c>
      <c r="AY149" s="911">
        <f>'Arable Inputs'!$H$18</f>
        <v>9.4</v>
      </c>
      <c r="AZ149" s="760">
        <f>'Arable Inputs'!$H$25</f>
        <v>94.285714285714292</v>
      </c>
      <c r="BA149" s="762">
        <f t="shared" si="371"/>
        <v>886.28571428571433</v>
      </c>
      <c r="BB149" s="197">
        <f>'Arable NPV'!$D128</f>
        <v>330</v>
      </c>
      <c r="BC149" s="197">
        <f t="shared" si="415"/>
        <v>1216.2857142857142</v>
      </c>
      <c r="BD149" s="197">
        <f>'Arable NPV'!$F128</f>
        <v>566.71194999999989</v>
      </c>
      <c r="BE149" s="197">
        <f>'Arable NPV'!$G128</f>
        <v>691.46913599999993</v>
      </c>
      <c r="BF149" s="197">
        <f t="shared" si="372"/>
        <v>629.09054299999991</v>
      </c>
      <c r="BG149" s="197">
        <f t="shared" si="373"/>
        <v>257.19517128571442</v>
      </c>
      <c r="BH149" s="197">
        <f t="shared" si="374"/>
        <v>587.19517128571431</v>
      </c>
      <c r="BI149" s="196">
        <f t="shared" si="375"/>
        <v>640.27165714553166</v>
      </c>
      <c r="BJ149" s="197">
        <f t="shared" si="376"/>
        <v>238.39902127759154</v>
      </c>
      <c r="BK149" s="197">
        <f t="shared" si="377"/>
        <v>454.46839317026848</v>
      </c>
      <c r="BL149" s="197">
        <f t="shared" si="378"/>
        <v>185.80326397526315</v>
      </c>
      <c r="BM149" s="199">
        <f t="shared" si="379"/>
        <v>424.20228525285461</v>
      </c>
      <c r="BN149" s="196">
        <f t="shared" si="380"/>
        <v>9086.7542856251384</v>
      </c>
      <c r="BO149" s="197">
        <f t="shared" si="381"/>
        <v>3383.3659574136159</v>
      </c>
      <c r="BP149" s="197">
        <f t="shared" si="382"/>
        <v>6449.828870657715</v>
      </c>
      <c r="BQ149" s="197">
        <f t="shared" si="383"/>
        <v>2636.9254149674243</v>
      </c>
      <c r="BR149" s="199">
        <f t="shared" si="384"/>
        <v>6020.2913723810379</v>
      </c>
      <c r="BV149" s="900">
        <v>12</v>
      </c>
      <c r="BW149" s="911">
        <f>'Arable Inputs'!$H$18</f>
        <v>9.4</v>
      </c>
      <c r="BX149" s="760">
        <f>'Arable Inputs'!$H$25</f>
        <v>94.285714285714292</v>
      </c>
      <c r="BY149" s="762">
        <f t="shared" si="385"/>
        <v>886.28571428571433</v>
      </c>
      <c r="BZ149" s="197">
        <f>'Arable NPV'!$D128</f>
        <v>330</v>
      </c>
      <c r="CA149" s="197">
        <f t="shared" si="416"/>
        <v>1216.2857142857142</v>
      </c>
      <c r="CB149" s="197">
        <f>'Arable NPV'!$F128</f>
        <v>566.71194999999989</v>
      </c>
      <c r="CC149" s="197">
        <f>'Arable NPV'!$G128</f>
        <v>691.46913599999993</v>
      </c>
      <c r="CD149" s="197">
        <f t="shared" si="386"/>
        <v>2516.3621719999996</v>
      </c>
      <c r="CE149" s="197">
        <f t="shared" si="387"/>
        <v>-1630.0764577142854</v>
      </c>
      <c r="CF149" s="197">
        <f t="shared" si="388"/>
        <v>-1300.0764577142854</v>
      </c>
      <c r="CG149" s="196">
        <f t="shared" si="389"/>
        <v>640.27165714553166</v>
      </c>
      <c r="CH149" s="197">
        <f t="shared" si="390"/>
        <v>238.39902127759154</v>
      </c>
      <c r="CI149" s="197">
        <f t="shared" si="391"/>
        <v>1817.8735726810739</v>
      </c>
      <c r="CJ149" s="197">
        <f t="shared" si="392"/>
        <v>-1177.6019155355425</v>
      </c>
      <c r="CK149" s="199">
        <f t="shared" si="393"/>
        <v>-939.2028942579509</v>
      </c>
      <c r="CL149" s="196">
        <f t="shared" si="394"/>
        <v>9086.7542856251384</v>
      </c>
      <c r="CM149" s="197">
        <f t="shared" si="395"/>
        <v>3383.3659574136159</v>
      </c>
      <c r="CN149" s="197">
        <f t="shared" si="396"/>
        <v>25799.31548263086</v>
      </c>
      <c r="CO149" s="197">
        <f t="shared" si="397"/>
        <v>-16712.561197005722</v>
      </c>
      <c r="CP149" s="199">
        <f t="shared" si="398"/>
        <v>-13329.195239592105</v>
      </c>
      <c r="CT149" s="900">
        <v>12</v>
      </c>
      <c r="CU149" s="911">
        <f>'Arable Inputs'!$H$18</f>
        <v>9.4</v>
      </c>
      <c r="CV149" s="760">
        <f>'Arable Inputs'!$H$25</f>
        <v>94.285714285714292</v>
      </c>
      <c r="CW149" s="762">
        <f t="shared" si="399"/>
        <v>886.28571428571433</v>
      </c>
      <c r="CX149" s="197">
        <f>'Arable NPV'!$D128</f>
        <v>330</v>
      </c>
      <c r="CY149" s="197">
        <f t="shared" si="417"/>
        <v>1216.2857142857142</v>
      </c>
      <c r="CZ149" s="197">
        <f>'Arable NPV'!$F128</f>
        <v>566.71194999999989</v>
      </c>
      <c r="DA149" s="197">
        <f>'Arable NPV'!$G128</f>
        <v>691.46913599999993</v>
      </c>
      <c r="DB149" s="197">
        <f t="shared" si="400"/>
        <v>0</v>
      </c>
      <c r="DC149" s="197">
        <f t="shared" si="401"/>
        <v>886.28571428571433</v>
      </c>
      <c r="DD149" s="197">
        <f t="shared" si="402"/>
        <v>1216.2857142857142</v>
      </c>
      <c r="DE149" s="196">
        <f t="shared" si="403"/>
        <v>640.27165714553166</v>
      </c>
      <c r="DF149" s="197">
        <f t="shared" si="404"/>
        <v>238.39902127759154</v>
      </c>
      <c r="DG149" s="197">
        <f t="shared" si="405"/>
        <v>0</v>
      </c>
      <c r="DH149" s="197">
        <f t="shared" si="406"/>
        <v>640.27165714553166</v>
      </c>
      <c r="DI149" s="199">
        <f t="shared" si="407"/>
        <v>878.67067842312315</v>
      </c>
      <c r="DJ149" s="196">
        <f t="shared" si="408"/>
        <v>9086.7542856251384</v>
      </c>
      <c r="DK149" s="197">
        <f t="shared" si="409"/>
        <v>3383.3659574136159</v>
      </c>
      <c r="DL149" s="197">
        <f t="shared" si="410"/>
        <v>0</v>
      </c>
      <c r="DM149" s="197">
        <f t="shared" si="411"/>
        <v>9086.7542856251384</v>
      </c>
      <c r="DN149" s="199">
        <f t="shared" si="412"/>
        <v>12470.120243038755</v>
      </c>
    </row>
    <row r="150" spans="2:118" x14ac:dyDescent="0.3">
      <c r="B150" s="900">
        <v>13</v>
      </c>
      <c r="C150" s="911">
        <f>'Arable Inputs'!$H$18</f>
        <v>9.4</v>
      </c>
      <c r="D150" s="760">
        <f>'Arable Inputs'!$H$25</f>
        <v>94.285714285714292</v>
      </c>
      <c r="E150" s="762">
        <f t="shared" si="347"/>
        <v>886.28571428571433</v>
      </c>
      <c r="F150" s="197">
        <f>'Arable NPV'!$D129</f>
        <v>330</v>
      </c>
      <c r="G150" s="197">
        <f t="shared" si="413"/>
        <v>1216.2857142857142</v>
      </c>
      <c r="H150" s="197">
        <f>'Arable NPV'!$F129</f>
        <v>566.71194999999989</v>
      </c>
      <c r="I150" s="197">
        <f>'Arable NPV'!$G129</f>
        <v>691.46913599999993</v>
      </c>
      <c r="J150" s="197">
        <f t="shared" si="348"/>
        <v>1258.1810859999998</v>
      </c>
      <c r="K150" s="197">
        <f t="shared" si="349"/>
        <v>-371.89537171428549</v>
      </c>
      <c r="L150" s="197">
        <f t="shared" si="350"/>
        <v>-41.895371714285602</v>
      </c>
      <c r="M150" s="196">
        <f t="shared" si="351"/>
        <v>621.622968102458</v>
      </c>
      <c r="N150" s="197">
        <f t="shared" si="352"/>
        <v>231.45536046368116</v>
      </c>
      <c r="O150" s="197">
        <f t="shared" si="353"/>
        <v>882.46289935974482</v>
      </c>
      <c r="P150" s="197">
        <f t="shared" si="354"/>
        <v>-260.83993125728682</v>
      </c>
      <c r="Q150" s="199">
        <f t="shared" si="355"/>
        <v>-29.384570793605715</v>
      </c>
      <c r="R150" s="196">
        <f t="shared" si="356"/>
        <v>9708.3772537275963</v>
      </c>
      <c r="S150" s="197">
        <f t="shared" si="356"/>
        <v>3614.8213178772971</v>
      </c>
      <c r="T150" s="197">
        <f t="shared" si="356"/>
        <v>13782.120640675175</v>
      </c>
      <c r="U150" s="197">
        <f t="shared" si="356"/>
        <v>-4073.7433869475772</v>
      </c>
      <c r="V150" s="199">
        <f t="shared" si="356"/>
        <v>-458.92206907028213</v>
      </c>
      <c r="Z150" s="900">
        <v>13</v>
      </c>
      <c r="AA150" s="911">
        <f>'Arable Inputs'!$H$18</f>
        <v>9.4</v>
      </c>
      <c r="AB150" s="760">
        <f>'Arable Inputs'!$H$25</f>
        <v>94.285714285714292</v>
      </c>
      <c r="AC150" s="762">
        <f t="shared" si="357"/>
        <v>886.28571428571433</v>
      </c>
      <c r="AD150" s="197">
        <f>'Arable NPV'!$D129</f>
        <v>330</v>
      </c>
      <c r="AE150" s="197">
        <f t="shared" si="414"/>
        <v>1216.2857142857142</v>
      </c>
      <c r="AF150" s="197">
        <f>'Arable NPV'!$F129</f>
        <v>566.71194999999989</v>
      </c>
      <c r="AG150" s="197">
        <f>'Arable NPV'!$G129</f>
        <v>691.46913599999993</v>
      </c>
      <c r="AH150" s="197">
        <f t="shared" si="358"/>
        <v>1887.2716289999998</v>
      </c>
      <c r="AI150" s="197">
        <f t="shared" si="359"/>
        <v>-1000.9859147142855</v>
      </c>
      <c r="AJ150" s="197">
        <f t="shared" si="360"/>
        <v>-670.98591471428563</v>
      </c>
      <c r="AK150" s="196">
        <f t="shared" si="361"/>
        <v>621.622968102458</v>
      </c>
      <c r="AL150" s="197">
        <f t="shared" si="362"/>
        <v>231.45536046368116</v>
      </c>
      <c r="AM150" s="197">
        <f t="shared" si="363"/>
        <v>1323.6943490396172</v>
      </c>
      <c r="AN150" s="197">
        <f t="shared" si="364"/>
        <v>-702.07138093715923</v>
      </c>
      <c r="AO150" s="199">
        <f t="shared" si="365"/>
        <v>-470.61602047347822</v>
      </c>
      <c r="AP150" s="196">
        <f t="shared" si="366"/>
        <v>9708.3772537275963</v>
      </c>
      <c r="AQ150" s="197">
        <f t="shared" si="367"/>
        <v>3614.8213178772971</v>
      </c>
      <c r="AR150" s="197">
        <f t="shared" si="368"/>
        <v>20673.180961012764</v>
      </c>
      <c r="AS150" s="197">
        <f t="shared" si="369"/>
        <v>-10964.803707285166</v>
      </c>
      <c r="AT150" s="199">
        <f t="shared" si="370"/>
        <v>-7349.98238940787</v>
      </c>
      <c r="AX150" s="900">
        <v>13</v>
      </c>
      <c r="AY150" s="911">
        <f>'Arable Inputs'!$H$18</f>
        <v>9.4</v>
      </c>
      <c r="AZ150" s="760">
        <f>'Arable Inputs'!$H$25</f>
        <v>94.285714285714292</v>
      </c>
      <c r="BA150" s="762">
        <f t="shared" si="371"/>
        <v>886.28571428571433</v>
      </c>
      <c r="BB150" s="197">
        <f>'Arable NPV'!$D129</f>
        <v>330</v>
      </c>
      <c r="BC150" s="197">
        <f t="shared" si="415"/>
        <v>1216.2857142857142</v>
      </c>
      <c r="BD150" s="197">
        <f>'Arable NPV'!$F129</f>
        <v>566.71194999999989</v>
      </c>
      <c r="BE150" s="197">
        <f>'Arable NPV'!$G129</f>
        <v>691.46913599999993</v>
      </c>
      <c r="BF150" s="197">
        <f t="shared" si="372"/>
        <v>629.09054299999991</v>
      </c>
      <c r="BG150" s="197">
        <f t="shared" si="373"/>
        <v>257.19517128571442</v>
      </c>
      <c r="BH150" s="197">
        <f t="shared" si="374"/>
        <v>587.19517128571431</v>
      </c>
      <c r="BI150" s="196">
        <f t="shared" si="375"/>
        <v>621.622968102458</v>
      </c>
      <c r="BJ150" s="197">
        <f t="shared" si="376"/>
        <v>231.45536046368116</v>
      </c>
      <c r="BK150" s="197">
        <f t="shared" si="377"/>
        <v>441.23144967987241</v>
      </c>
      <c r="BL150" s="197">
        <f t="shared" si="378"/>
        <v>180.39151842258559</v>
      </c>
      <c r="BM150" s="199">
        <f t="shared" si="379"/>
        <v>411.84687888626667</v>
      </c>
      <c r="BN150" s="196">
        <f t="shared" si="380"/>
        <v>9708.3772537275963</v>
      </c>
      <c r="BO150" s="197">
        <f t="shared" si="381"/>
        <v>3614.8213178772971</v>
      </c>
      <c r="BP150" s="197">
        <f t="shared" si="382"/>
        <v>6891.0603203375877</v>
      </c>
      <c r="BQ150" s="197">
        <f t="shared" si="383"/>
        <v>2817.31693339001</v>
      </c>
      <c r="BR150" s="199">
        <f t="shared" si="384"/>
        <v>6432.1382512673044</v>
      </c>
      <c r="BV150" s="900">
        <v>13</v>
      </c>
      <c r="BW150" s="911">
        <f>'Arable Inputs'!$H$18</f>
        <v>9.4</v>
      </c>
      <c r="BX150" s="760">
        <f>'Arable Inputs'!$H$25</f>
        <v>94.285714285714292</v>
      </c>
      <c r="BY150" s="762">
        <f t="shared" si="385"/>
        <v>886.28571428571433</v>
      </c>
      <c r="BZ150" s="197">
        <f>'Arable NPV'!$D129</f>
        <v>330</v>
      </c>
      <c r="CA150" s="197">
        <f t="shared" si="416"/>
        <v>1216.2857142857142</v>
      </c>
      <c r="CB150" s="197">
        <f>'Arable NPV'!$F129</f>
        <v>566.71194999999989</v>
      </c>
      <c r="CC150" s="197">
        <f>'Arable NPV'!$G129</f>
        <v>691.46913599999993</v>
      </c>
      <c r="CD150" s="197">
        <f t="shared" si="386"/>
        <v>2516.3621719999996</v>
      </c>
      <c r="CE150" s="197">
        <f t="shared" si="387"/>
        <v>-1630.0764577142854</v>
      </c>
      <c r="CF150" s="197">
        <f t="shared" si="388"/>
        <v>-1300.0764577142854</v>
      </c>
      <c r="CG150" s="196">
        <f t="shared" si="389"/>
        <v>621.622968102458</v>
      </c>
      <c r="CH150" s="197">
        <f t="shared" si="390"/>
        <v>231.45536046368116</v>
      </c>
      <c r="CI150" s="197">
        <f t="shared" si="391"/>
        <v>1764.9257987194896</v>
      </c>
      <c r="CJ150" s="197">
        <f t="shared" si="392"/>
        <v>-1143.3028306170318</v>
      </c>
      <c r="CK150" s="199">
        <f t="shared" si="393"/>
        <v>-911.84747015335051</v>
      </c>
      <c r="CL150" s="196">
        <f t="shared" si="394"/>
        <v>9708.3772537275963</v>
      </c>
      <c r="CM150" s="197">
        <f t="shared" si="395"/>
        <v>3614.8213178772971</v>
      </c>
      <c r="CN150" s="197">
        <f t="shared" si="396"/>
        <v>27564.241281350351</v>
      </c>
      <c r="CO150" s="197">
        <f t="shared" si="397"/>
        <v>-17855.864027622752</v>
      </c>
      <c r="CP150" s="199">
        <f t="shared" si="398"/>
        <v>-14241.042709745456</v>
      </c>
      <c r="CT150" s="900">
        <v>13</v>
      </c>
      <c r="CU150" s="911">
        <f>'Arable Inputs'!$H$18</f>
        <v>9.4</v>
      </c>
      <c r="CV150" s="760">
        <f>'Arable Inputs'!$H$25</f>
        <v>94.285714285714292</v>
      </c>
      <c r="CW150" s="762">
        <f t="shared" si="399"/>
        <v>886.28571428571433</v>
      </c>
      <c r="CX150" s="197">
        <f>'Arable NPV'!$D129</f>
        <v>330</v>
      </c>
      <c r="CY150" s="197">
        <f t="shared" si="417"/>
        <v>1216.2857142857142</v>
      </c>
      <c r="CZ150" s="197">
        <f>'Arable NPV'!$F129</f>
        <v>566.71194999999989</v>
      </c>
      <c r="DA150" s="197">
        <f>'Arable NPV'!$G129</f>
        <v>691.46913599999993</v>
      </c>
      <c r="DB150" s="197">
        <f t="shared" si="400"/>
        <v>0</v>
      </c>
      <c r="DC150" s="197">
        <f t="shared" si="401"/>
        <v>886.28571428571433</v>
      </c>
      <c r="DD150" s="197">
        <f t="shared" si="402"/>
        <v>1216.2857142857142</v>
      </c>
      <c r="DE150" s="196">
        <f t="shared" si="403"/>
        <v>621.622968102458</v>
      </c>
      <c r="DF150" s="197">
        <f t="shared" si="404"/>
        <v>231.45536046368116</v>
      </c>
      <c r="DG150" s="197">
        <f t="shared" si="405"/>
        <v>0</v>
      </c>
      <c r="DH150" s="197">
        <f t="shared" si="406"/>
        <v>621.622968102458</v>
      </c>
      <c r="DI150" s="199">
        <f t="shared" si="407"/>
        <v>853.07832856613913</v>
      </c>
      <c r="DJ150" s="196">
        <f t="shared" si="408"/>
        <v>9708.3772537275963</v>
      </c>
      <c r="DK150" s="197">
        <f t="shared" si="409"/>
        <v>3614.8213178772971</v>
      </c>
      <c r="DL150" s="197">
        <f t="shared" si="410"/>
        <v>0</v>
      </c>
      <c r="DM150" s="197">
        <f t="shared" si="411"/>
        <v>9708.3772537275963</v>
      </c>
      <c r="DN150" s="199">
        <f t="shared" si="412"/>
        <v>13323.198571604895</v>
      </c>
    </row>
    <row r="151" spans="2:118" x14ac:dyDescent="0.3">
      <c r="B151" s="900">
        <v>14</v>
      </c>
      <c r="C151" s="911">
        <f>'Arable Inputs'!$H$18</f>
        <v>9.4</v>
      </c>
      <c r="D151" s="760">
        <f>'Arable Inputs'!$H$25</f>
        <v>94.285714285714292</v>
      </c>
      <c r="E151" s="762">
        <f t="shared" si="347"/>
        <v>886.28571428571433</v>
      </c>
      <c r="F151" s="197">
        <f>'Arable NPV'!$D130</f>
        <v>330</v>
      </c>
      <c r="G151" s="197">
        <f t="shared" si="413"/>
        <v>1216.2857142857142</v>
      </c>
      <c r="H151" s="197">
        <f>'Arable NPV'!$F130</f>
        <v>566.71194999999989</v>
      </c>
      <c r="I151" s="197">
        <f>'Arable NPV'!$G130</f>
        <v>691.46913599999993</v>
      </c>
      <c r="J151" s="197">
        <f t="shared" si="348"/>
        <v>1258.1810859999998</v>
      </c>
      <c r="K151" s="197">
        <f t="shared" si="349"/>
        <v>-371.89537171428549</v>
      </c>
      <c r="L151" s="197">
        <f t="shared" si="350"/>
        <v>-41.895371714285602</v>
      </c>
      <c r="M151" s="196">
        <f t="shared" si="351"/>
        <v>603.51744475966802</v>
      </c>
      <c r="N151" s="197">
        <f t="shared" si="352"/>
        <v>224.71394219774871</v>
      </c>
      <c r="O151" s="197">
        <f t="shared" si="353"/>
        <v>856.76009646577165</v>
      </c>
      <c r="P151" s="197">
        <f t="shared" si="354"/>
        <v>-253.24265170610369</v>
      </c>
      <c r="Q151" s="199">
        <f t="shared" si="355"/>
        <v>-28.528709508355064</v>
      </c>
      <c r="R151" s="196">
        <f t="shared" si="356"/>
        <v>10311.894698487264</v>
      </c>
      <c r="S151" s="197">
        <f t="shared" si="356"/>
        <v>3839.5352600750457</v>
      </c>
      <c r="T151" s="197">
        <f t="shared" si="356"/>
        <v>14638.880737140948</v>
      </c>
      <c r="U151" s="197">
        <f t="shared" si="356"/>
        <v>-4326.9860386536811</v>
      </c>
      <c r="V151" s="199">
        <f t="shared" si="356"/>
        <v>-487.4507785786372</v>
      </c>
      <c r="Z151" s="900">
        <v>14</v>
      </c>
      <c r="AA151" s="911">
        <f>'Arable Inputs'!$H$18</f>
        <v>9.4</v>
      </c>
      <c r="AB151" s="760">
        <f>'Arable Inputs'!$H$25</f>
        <v>94.285714285714292</v>
      </c>
      <c r="AC151" s="762">
        <f t="shared" si="357"/>
        <v>886.28571428571433</v>
      </c>
      <c r="AD151" s="197">
        <f>'Arable NPV'!$D130</f>
        <v>330</v>
      </c>
      <c r="AE151" s="197">
        <f t="shared" si="414"/>
        <v>1216.2857142857142</v>
      </c>
      <c r="AF151" s="197">
        <f>'Arable NPV'!$F130</f>
        <v>566.71194999999989</v>
      </c>
      <c r="AG151" s="197">
        <f>'Arable NPV'!$G130</f>
        <v>691.46913599999993</v>
      </c>
      <c r="AH151" s="197">
        <f t="shared" si="358"/>
        <v>1887.2716289999998</v>
      </c>
      <c r="AI151" s="197">
        <f t="shared" si="359"/>
        <v>-1000.9859147142855</v>
      </c>
      <c r="AJ151" s="197">
        <f t="shared" si="360"/>
        <v>-670.98591471428563</v>
      </c>
      <c r="AK151" s="196">
        <f t="shared" si="361"/>
        <v>603.51744475966802</v>
      </c>
      <c r="AL151" s="197">
        <f t="shared" si="362"/>
        <v>224.71394219774871</v>
      </c>
      <c r="AM151" s="197">
        <f t="shared" si="363"/>
        <v>1285.1401446986577</v>
      </c>
      <c r="AN151" s="197">
        <f t="shared" si="364"/>
        <v>-681.62269993898963</v>
      </c>
      <c r="AO151" s="199">
        <f t="shared" si="365"/>
        <v>-456.908757741241</v>
      </c>
      <c r="AP151" s="196">
        <f t="shared" si="366"/>
        <v>10311.894698487264</v>
      </c>
      <c r="AQ151" s="197">
        <f t="shared" si="367"/>
        <v>3839.5352600750457</v>
      </c>
      <c r="AR151" s="197">
        <f t="shared" si="368"/>
        <v>21958.32110571142</v>
      </c>
      <c r="AS151" s="197">
        <f t="shared" si="369"/>
        <v>-11646.426407224155</v>
      </c>
      <c r="AT151" s="199">
        <f t="shared" si="370"/>
        <v>-7806.891147149111</v>
      </c>
      <c r="AX151" s="900">
        <v>14</v>
      </c>
      <c r="AY151" s="911">
        <f>'Arable Inputs'!$H$18</f>
        <v>9.4</v>
      </c>
      <c r="AZ151" s="760">
        <f>'Arable Inputs'!$H$25</f>
        <v>94.285714285714292</v>
      </c>
      <c r="BA151" s="762">
        <f t="shared" si="371"/>
        <v>886.28571428571433</v>
      </c>
      <c r="BB151" s="197">
        <f>'Arable NPV'!$D130</f>
        <v>330</v>
      </c>
      <c r="BC151" s="197">
        <f t="shared" si="415"/>
        <v>1216.2857142857142</v>
      </c>
      <c r="BD151" s="197">
        <f>'Arable NPV'!$F130</f>
        <v>566.71194999999989</v>
      </c>
      <c r="BE151" s="197">
        <f>'Arable NPV'!$G130</f>
        <v>691.46913599999993</v>
      </c>
      <c r="BF151" s="197">
        <f t="shared" si="372"/>
        <v>629.09054299999991</v>
      </c>
      <c r="BG151" s="197">
        <f t="shared" si="373"/>
        <v>257.19517128571442</v>
      </c>
      <c r="BH151" s="197">
        <f t="shared" si="374"/>
        <v>587.19517128571431</v>
      </c>
      <c r="BI151" s="196">
        <f t="shared" si="375"/>
        <v>603.51744475966802</v>
      </c>
      <c r="BJ151" s="197">
        <f t="shared" si="376"/>
        <v>224.71394219774871</v>
      </c>
      <c r="BK151" s="197">
        <f t="shared" si="377"/>
        <v>428.38004823288583</v>
      </c>
      <c r="BL151" s="197">
        <f t="shared" si="378"/>
        <v>175.13739652678214</v>
      </c>
      <c r="BM151" s="199">
        <f t="shared" si="379"/>
        <v>399.85133872453076</v>
      </c>
      <c r="BN151" s="196">
        <f t="shared" si="380"/>
        <v>10311.894698487264</v>
      </c>
      <c r="BO151" s="197">
        <f t="shared" si="381"/>
        <v>3839.5352600750457</v>
      </c>
      <c r="BP151" s="197">
        <f t="shared" si="382"/>
        <v>7319.4403685704738</v>
      </c>
      <c r="BQ151" s="197">
        <f t="shared" si="383"/>
        <v>2992.4543299167922</v>
      </c>
      <c r="BR151" s="199">
        <f t="shared" si="384"/>
        <v>6831.9895899918356</v>
      </c>
      <c r="BV151" s="900">
        <v>14</v>
      </c>
      <c r="BW151" s="911">
        <f>'Arable Inputs'!$H$18</f>
        <v>9.4</v>
      </c>
      <c r="BX151" s="760">
        <f>'Arable Inputs'!$H$25</f>
        <v>94.285714285714292</v>
      </c>
      <c r="BY151" s="762">
        <f t="shared" si="385"/>
        <v>886.28571428571433</v>
      </c>
      <c r="BZ151" s="197">
        <f>'Arable NPV'!$D130</f>
        <v>330</v>
      </c>
      <c r="CA151" s="197">
        <f t="shared" si="416"/>
        <v>1216.2857142857142</v>
      </c>
      <c r="CB151" s="197">
        <f>'Arable NPV'!$F130</f>
        <v>566.71194999999989</v>
      </c>
      <c r="CC151" s="197">
        <f>'Arable NPV'!$G130</f>
        <v>691.46913599999993</v>
      </c>
      <c r="CD151" s="197">
        <f t="shared" si="386"/>
        <v>2516.3621719999996</v>
      </c>
      <c r="CE151" s="197">
        <f t="shared" si="387"/>
        <v>-1630.0764577142854</v>
      </c>
      <c r="CF151" s="197">
        <f t="shared" si="388"/>
        <v>-1300.0764577142854</v>
      </c>
      <c r="CG151" s="196">
        <f t="shared" si="389"/>
        <v>603.51744475966802</v>
      </c>
      <c r="CH151" s="197">
        <f t="shared" si="390"/>
        <v>224.71394219774871</v>
      </c>
      <c r="CI151" s="197">
        <f t="shared" si="391"/>
        <v>1713.5201929315433</v>
      </c>
      <c r="CJ151" s="197">
        <f t="shared" si="392"/>
        <v>-1110.0027481718755</v>
      </c>
      <c r="CK151" s="199">
        <f t="shared" si="393"/>
        <v>-885.28880597412672</v>
      </c>
      <c r="CL151" s="196">
        <f t="shared" si="394"/>
        <v>10311.894698487264</v>
      </c>
      <c r="CM151" s="197">
        <f t="shared" si="395"/>
        <v>3839.5352600750457</v>
      </c>
      <c r="CN151" s="197">
        <f t="shared" si="396"/>
        <v>29277.761474281895</v>
      </c>
      <c r="CO151" s="197">
        <f t="shared" si="397"/>
        <v>-18965.866775794628</v>
      </c>
      <c r="CP151" s="199">
        <f t="shared" si="398"/>
        <v>-15126.331515719583</v>
      </c>
      <c r="CT151" s="900">
        <v>14</v>
      </c>
      <c r="CU151" s="911">
        <f>'Arable Inputs'!$H$18</f>
        <v>9.4</v>
      </c>
      <c r="CV151" s="760">
        <f>'Arable Inputs'!$H$25</f>
        <v>94.285714285714292</v>
      </c>
      <c r="CW151" s="762">
        <f t="shared" si="399"/>
        <v>886.28571428571433</v>
      </c>
      <c r="CX151" s="197">
        <f>'Arable NPV'!$D130</f>
        <v>330</v>
      </c>
      <c r="CY151" s="197">
        <f t="shared" si="417"/>
        <v>1216.2857142857142</v>
      </c>
      <c r="CZ151" s="197">
        <f>'Arable NPV'!$F130</f>
        <v>566.71194999999989</v>
      </c>
      <c r="DA151" s="197">
        <f>'Arable NPV'!$G130</f>
        <v>691.46913599999993</v>
      </c>
      <c r="DB151" s="197">
        <f t="shared" si="400"/>
        <v>0</v>
      </c>
      <c r="DC151" s="197">
        <f t="shared" si="401"/>
        <v>886.28571428571433</v>
      </c>
      <c r="DD151" s="197">
        <f t="shared" si="402"/>
        <v>1216.2857142857142</v>
      </c>
      <c r="DE151" s="196">
        <f t="shared" si="403"/>
        <v>603.51744475966802</v>
      </c>
      <c r="DF151" s="197">
        <f t="shared" si="404"/>
        <v>224.71394219774871</v>
      </c>
      <c r="DG151" s="197">
        <f t="shared" si="405"/>
        <v>0</v>
      </c>
      <c r="DH151" s="197">
        <f t="shared" si="406"/>
        <v>603.51744475966802</v>
      </c>
      <c r="DI151" s="199">
        <f t="shared" si="407"/>
        <v>828.23138695741659</v>
      </c>
      <c r="DJ151" s="196">
        <f t="shared" si="408"/>
        <v>10311.894698487264</v>
      </c>
      <c r="DK151" s="197">
        <f t="shared" si="409"/>
        <v>3839.5352600750457</v>
      </c>
      <c r="DL151" s="197">
        <f t="shared" si="410"/>
        <v>0</v>
      </c>
      <c r="DM151" s="197">
        <f t="shared" si="411"/>
        <v>10311.894698487264</v>
      </c>
      <c r="DN151" s="199">
        <f t="shared" si="412"/>
        <v>14151.429958562312</v>
      </c>
    </row>
    <row r="152" spans="2:118" x14ac:dyDescent="0.3">
      <c r="B152" s="900">
        <v>15</v>
      </c>
      <c r="C152" s="911">
        <f>'Arable Inputs'!$H$18</f>
        <v>9.4</v>
      </c>
      <c r="D152" s="760">
        <f>'Arable Inputs'!$H$25</f>
        <v>94.285714285714292</v>
      </c>
      <c r="E152" s="762">
        <f t="shared" si="347"/>
        <v>886.28571428571433</v>
      </c>
      <c r="F152" s="197">
        <f>'Arable NPV'!$D131</f>
        <v>330</v>
      </c>
      <c r="G152" s="197">
        <f t="shared" si="413"/>
        <v>1216.2857142857142</v>
      </c>
      <c r="H152" s="197">
        <f>'Arable NPV'!$F131</f>
        <v>566.71194999999989</v>
      </c>
      <c r="I152" s="197">
        <f>'Arable NPV'!$G131</f>
        <v>691.46913599999993</v>
      </c>
      <c r="J152" s="197">
        <f t="shared" si="348"/>
        <v>1258.1810859999998</v>
      </c>
      <c r="K152" s="197">
        <f t="shared" si="349"/>
        <v>-371.89537171428549</v>
      </c>
      <c r="L152" s="197">
        <f t="shared" si="350"/>
        <v>-41.895371714285602</v>
      </c>
      <c r="M152" s="196">
        <f t="shared" si="351"/>
        <v>585.93926675695911</v>
      </c>
      <c r="N152" s="197">
        <f t="shared" si="352"/>
        <v>218.16887592014436</v>
      </c>
      <c r="O152" s="197">
        <f t="shared" si="353"/>
        <v>831.80591889880736</v>
      </c>
      <c r="P152" s="197">
        <f t="shared" si="354"/>
        <v>-245.86665214184822</v>
      </c>
      <c r="Q152" s="199">
        <f t="shared" si="355"/>
        <v>-27.697776221703943</v>
      </c>
      <c r="R152" s="196">
        <f t="shared" si="356"/>
        <v>10897.833965244223</v>
      </c>
      <c r="S152" s="197">
        <f t="shared" si="356"/>
        <v>4057.70413599519</v>
      </c>
      <c r="T152" s="197">
        <f t="shared" si="356"/>
        <v>15470.686656039756</v>
      </c>
      <c r="U152" s="197">
        <f t="shared" si="356"/>
        <v>-4572.8526907955293</v>
      </c>
      <c r="V152" s="199">
        <f t="shared" si="356"/>
        <v>-515.14855480034112</v>
      </c>
      <c r="Z152" s="900">
        <v>15</v>
      </c>
      <c r="AA152" s="911">
        <f>'Arable Inputs'!$H$18</f>
        <v>9.4</v>
      </c>
      <c r="AB152" s="760">
        <f>'Arable Inputs'!$H$25</f>
        <v>94.285714285714292</v>
      </c>
      <c r="AC152" s="762">
        <f t="shared" si="357"/>
        <v>886.28571428571433</v>
      </c>
      <c r="AD152" s="197">
        <f>'Arable NPV'!$D131</f>
        <v>330</v>
      </c>
      <c r="AE152" s="197">
        <f t="shared" si="414"/>
        <v>1216.2857142857142</v>
      </c>
      <c r="AF152" s="197">
        <f>'Arable NPV'!$F131</f>
        <v>566.71194999999989</v>
      </c>
      <c r="AG152" s="197">
        <f>'Arable NPV'!$G131</f>
        <v>691.46913599999993</v>
      </c>
      <c r="AH152" s="197">
        <f t="shared" si="358"/>
        <v>1887.2716289999998</v>
      </c>
      <c r="AI152" s="197">
        <f t="shared" si="359"/>
        <v>-1000.9859147142855</v>
      </c>
      <c r="AJ152" s="197">
        <f t="shared" si="360"/>
        <v>-670.98591471428563</v>
      </c>
      <c r="AK152" s="196">
        <f t="shared" si="361"/>
        <v>585.93926675695911</v>
      </c>
      <c r="AL152" s="197">
        <f t="shared" si="362"/>
        <v>218.16887592014436</v>
      </c>
      <c r="AM152" s="197">
        <f t="shared" si="363"/>
        <v>1247.7088783482111</v>
      </c>
      <c r="AN152" s="197">
        <f t="shared" si="364"/>
        <v>-661.76961159125199</v>
      </c>
      <c r="AO152" s="199">
        <f t="shared" si="365"/>
        <v>-443.60073567110771</v>
      </c>
      <c r="AP152" s="196">
        <f t="shared" si="366"/>
        <v>10897.833965244223</v>
      </c>
      <c r="AQ152" s="197">
        <f t="shared" si="367"/>
        <v>4057.70413599519</v>
      </c>
      <c r="AR152" s="197">
        <f t="shared" si="368"/>
        <v>23206.029984059631</v>
      </c>
      <c r="AS152" s="197">
        <f t="shared" si="369"/>
        <v>-12308.196018815406</v>
      </c>
      <c r="AT152" s="199">
        <f t="shared" si="370"/>
        <v>-8250.491882820219</v>
      </c>
      <c r="AX152" s="900">
        <v>15</v>
      </c>
      <c r="AY152" s="911">
        <f>'Arable Inputs'!$H$18</f>
        <v>9.4</v>
      </c>
      <c r="AZ152" s="760">
        <f>'Arable Inputs'!$H$25</f>
        <v>94.285714285714292</v>
      </c>
      <c r="BA152" s="762">
        <f t="shared" si="371"/>
        <v>886.28571428571433</v>
      </c>
      <c r="BB152" s="197">
        <f>'Arable NPV'!$D131</f>
        <v>330</v>
      </c>
      <c r="BC152" s="197">
        <f t="shared" si="415"/>
        <v>1216.2857142857142</v>
      </c>
      <c r="BD152" s="197">
        <f>'Arable NPV'!$F131</f>
        <v>566.71194999999989</v>
      </c>
      <c r="BE152" s="197">
        <f>'Arable NPV'!$G131</f>
        <v>691.46913599999993</v>
      </c>
      <c r="BF152" s="197">
        <f t="shared" si="372"/>
        <v>629.09054299999991</v>
      </c>
      <c r="BG152" s="197">
        <f t="shared" si="373"/>
        <v>257.19517128571442</v>
      </c>
      <c r="BH152" s="197">
        <f t="shared" si="374"/>
        <v>587.19517128571431</v>
      </c>
      <c r="BI152" s="196">
        <f t="shared" si="375"/>
        <v>585.93926675695911</v>
      </c>
      <c r="BJ152" s="197">
        <f t="shared" si="376"/>
        <v>218.16887592014436</v>
      </c>
      <c r="BK152" s="197">
        <f t="shared" si="377"/>
        <v>415.90295944940368</v>
      </c>
      <c r="BL152" s="197">
        <f t="shared" si="378"/>
        <v>170.03630730755546</v>
      </c>
      <c r="BM152" s="199">
        <f t="shared" si="379"/>
        <v>388.20518322769976</v>
      </c>
      <c r="BN152" s="196">
        <f t="shared" si="380"/>
        <v>10897.833965244223</v>
      </c>
      <c r="BO152" s="197">
        <f t="shared" si="381"/>
        <v>4057.70413599519</v>
      </c>
      <c r="BP152" s="197">
        <f t="shared" si="382"/>
        <v>7735.3433280198778</v>
      </c>
      <c r="BQ152" s="197">
        <f t="shared" si="383"/>
        <v>3162.4906372243477</v>
      </c>
      <c r="BR152" s="199">
        <f t="shared" si="384"/>
        <v>7220.1947732195349</v>
      </c>
      <c r="BV152" s="900">
        <v>15</v>
      </c>
      <c r="BW152" s="911">
        <f>'Arable Inputs'!$H$18</f>
        <v>9.4</v>
      </c>
      <c r="BX152" s="760">
        <f>'Arable Inputs'!$H$25</f>
        <v>94.285714285714292</v>
      </c>
      <c r="BY152" s="762">
        <f t="shared" si="385"/>
        <v>886.28571428571433</v>
      </c>
      <c r="BZ152" s="197">
        <f>'Arable NPV'!$D131</f>
        <v>330</v>
      </c>
      <c r="CA152" s="197">
        <f t="shared" si="416"/>
        <v>1216.2857142857142</v>
      </c>
      <c r="CB152" s="197">
        <f>'Arable NPV'!$F131</f>
        <v>566.71194999999989</v>
      </c>
      <c r="CC152" s="197">
        <f>'Arable NPV'!$G131</f>
        <v>691.46913599999993</v>
      </c>
      <c r="CD152" s="197">
        <f t="shared" si="386"/>
        <v>2516.3621719999996</v>
      </c>
      <c r="CE152" s="197">
        <f t="shared" si="387"/>
        <v>-1630.0764577142854</v>
      </c>
      <c r="CF152" s="197">
        <f t="shared" si="388"/>
        <v>-1300.0764577142854</v>
      </c>
      <c r="CG152" s="196">
        <f t="shared" si="389"/>
        <v>585.93926675695911</v>
      </c>
      <c r="CH152" s="197">
        <f t="shared" si="390"/>
        <v>218.16887592014436</v>
      </c>
      <c r="CI152" s="197">
        <f t="shared" si="391"/>
        <v>1663.6118377976147</v>
      </c>
      <c r="CJ152" s="197">
        <f t="shared" si="392"/>
        <v>-1077.6725710406556</v>
      </c>
      <c r="CK152" s="199">
        <f t="shared" si="393"/>
        <v>-859.50369512051134</v>
      </c>
      <c r="CL152" s="196">
        <f t="shared" si="394"/>
        <v>10897.833965244223</v>
      </c>
      <c r="CM152" s="197">
        <f t="shared" si="395"/>
        <v>4057.70413599519</v>
      </c>
      <c r="CN152" s="197">
        <f t="shared" si="396"/>
        <v>30941.373312079511</v>
      </c>
      <c r="CO152" s="197">
        <f t="shared" si="397"/>
        <v>-20043.539346835285</v>
      </c>
      <c r="CP152" s="199">
        <f t="shared" si="398"/>
        <v>-15985.835210840094</v>
      </c>
      <c r="CT152" s="900">
        <v>15</v>
      </c>
      <c r="CU152" s="911">
        <f>'Arable Inputs'!$H$18</f>
        <v>9.4</v>
      </c>
      <c r="CV152" s="760">
        <f>'Arable Inputs'!$H$25</f>
        <v>94.285714285714292</v>
      </c>
      <c r="CW152" s="762">
        <f t="shared" si="399"/>
        <v>886.28571428571433</v>
      </c>
      <c r="CX152" s="197">
        <f>'Arable NPV'!$D131</f>
        <v>330</v>
      </c>
      <c r="CY152" s="197">
        <f t="shared" si="417"/>
        <v>1216.2857142857142</v>
      </c>
      <c r="CZ152" s="197">
        <f>'Arable NPV'!$F131</f>
        <v>566.71194999999989</v>
      </c>
      <c r="DA152" s="197">
        <f>'Arable NPV'!$G131</f>
        <v>691.46913599999993</v>
      </c>
      <c r="DB152" s="197">
        <f t="shared" si="400"/>
        <v>0</v>
      </c>
      <c r="DC152" s="197">
        <f t="shared" si="401"/>
        <v>886.28571428571433</v>
      </c>
      <c r="DD152" s="197">
        <f t="shared" si="402"/>
        <v>1216.2857142857142</v>
      </c>
      <c r="DE152" s="196">
        <f t="shared" si="403"/>
        <v>585.93926675695911</v>
      </c>
      <c r="DF152" s="197">
        <f t="shared" si="404"/>
        <v>218.16887592014436</v>
      </c>
      <c r="DG152" s="197">
        <f t="shared" si="405"/>
        <v>0</v>
      </c>
      <c r="DH152" s="197">
        <f t="shared" si="406"/>
        <v>585.93926675695911</v>
      </c>
      <c r="DI152" s="199">
        <f t="shared" si="407"/>
        <v>804.10814267710339</v>
      </c>
      <c r="DJ152" s="196">
        <f t="shared" si="408"/>
        <v>10897.833965244223</v>
      </c>
      <c r="DK152" s="197">
        <f t="shared" si="409"/>
        <v>4057.70413599519</v>
      </c>
      <c r="DL152" s="197">
        <f t="shared" si="410"/>
        <v>0</v>
      </c>
      <c r="DM152" s="197">
        <f t="shared" si="411"/>
        <v>10897.833965244223</v>
      </c>
      <c r="DN152" s="199">
        <f t="shared" si="412"/>
        <v>14955.538101239415</v>
      </c>
    </row>
    <row r="153" spans="2:118" x14ac:dyDescent="0.3">
      <c r="B153" s="901">
        <v>16</v>
      </c>
      <c r="C153" s="912">
        <f>'Arable Inputs'!$H$18</f>
        <v>9.4</v>
      </c>
      <c r="D153" s="761">
        <f>'Arable Inputs'!$H$25</f>
        <v>94.285714285714292</v>
      </c>
      <c r="E153" s="207">
        <f t="shared" si="347"/>
        <v>886.28571428571433</v>
      </c>
      <c r="F153" s="207">
        <f>'Arable NPV'!$D132</f>
        <v>330</v>
      </c>
      <c r="G153" s="207">
        <f>E153+F153</f>
        <v>1216.2857142857142</v>
      </c>
      <c r="H153" s="207">
        <f>'Arable NPV'!$F132</f>
        <v>566.71194999999989</v>
      </c>
      <c r="I153" s="207">
        <f>'Arable NPV'!$G132</f>
        <v>691.46913599999993</v>
      </c>
      <c r="J153" s="207">
        <f t="shared" si="348"/>
        <v>1258.1810859999998</v>
      </c>
      <c r="K153" s="207">
        <f t="shared" si="349"/>
        <v>-371.89537171428549</v>
      </c>
      <c r="L153" s="207">
        <f t="shared" si="350"/>
        <v>-41.895371714285602</v>
      </c>
      <c r="M153" s="208">
        <f t="shared" si="351"/>
        <v>568.8730745213195</v>
      </c>
      <c r="N153" s="207">
        <f t="shared" si="352"/>
        <v>211.81444264091684</v>
      </c>
      <c r="O153" s="207">
        <f t="shared" si="353"/>
        <v>807.57856203767699</v>
      </c>
      <c r="P153" s="207">
        <f t="shared" si="354"/>
        <v>-238.70548751635749</v>
      </c>
      <c r="Q153" s="209">
        <f t="shared" si="355"/>
        <v>-26.89104487544072</v>
      </c>
      <c r="R153" s="208">
        <f t="shared" si="356"/>
        <v>11466.707039765543</v>
      </c>
      <c r="S153" s="207">
        <f t="shared" si="356"/>
        <v>4269.5185786361071</v>
      </c>
      <c r="T153" s="207">
        <f t="shared" si="356"/>
        <v>16278.265218077433</v>
      </c>
      <c r="U153" s="207">
        <f t="shared" si="356"/>
        <v>-4811.5581783118869</v>
      </c>
      <c r="V153" s="209">
        <f t="shared" si="356"/>
        <v>-542.0395996757818</v>
      </c>
      <c r="Z153" s="901">
        <v>16</v>
      </c>
      <c r="AA153" s="912">
        <f>'Arable Inputs'!$H$18</f>
        <v>9.4</v>
      </c>
      <c r="AB153" s="761">
        <f>'Arable Inputs'!$H$25</f>
        <v>94.285714285714292</v>
      </c>
      <c r="AC153" s="207">
        <f t="shared" si="357"/>
        <v>886.28571428571433</v>
      </c>
      <c r="AD153" s="207">
        <f>'Arable NPV'!$D132</f>
        <v>330</v>
      </c>
      <c r="AE153" s="207">
        <f>AC153+AD153</f>
        <v>1216.2857142857142</v>
      </c>
      <c r="AF153" s="207">
        <f>'Arable NPV'!$F132</f>
        <v>566.71194999999989</v>
      </c>
      <c r="AG153" s="207">
        <f>'Arable NPV'!$G132</f>
        <v>691.46913599999993</v>
      </c>
      <c r="AH153" s="207">
        <f t="shared" si="358"/>
        <v>1887.2716289999998</v>
      </c>
      <c r="AI153" s="207">
        <f t="shared" si="359"/>
        <v>-1000.9859147142855</v>
      </c>
      <c r="AJ153" s="207">
        <f t="shared" si="360"/>
        <v>-670.98591471428563</v>
      </c>
      <c r="AK153" s="208">
        <f t="shared" si="361"/>
        <v>568.8730745213195</v>
      </c>
      <c r="AL153" s="207">
        <f t="shared" si="362"/>
        <v>211.81444264091684</v>
      </c>
      <c r="AM153" s="207">
        <f t="shared" si="363"/>
        <v>1211.3678430565155</v>
      </c>
      <c r="AN153" s="207">
        <f t="shared" si="364"/>
        <v>-642.49476853519604</v>
      </c>
      <c r="AO153" s="209">
        <f t="shared" si="365"/>
        <v>-430.68032589427929</v>
      </c>
      <c r="AP153" s="208">
        <f t="shared" si="366"/>
        <v>11466.707039765543</v>
      </c>
      <c r="AQ153" s="207">
        <f t="shared" si="367"/>
        <v>4269.5185786361071</v>
      </c>
      <c r="AR153" s="207">
        <f t="shared" si="368"/>
        <v>24417.397827116147</v>
      </c>
      <c r="AS153" s="207">
        <f t="shared" si="369"/>
        <v>-12950.690787350602</v>
      </c>
      <c r="AT153" s="209">
        <f t="shared" si="370"/>
        <v>-8681.172208714499</v>
      </c>
      <c r="AX153" s="901">
        <v>16</v>
      </c>
      <c r="AY153" s="912">
        <f>'Arable Inputs'!$H$18</f>
        <v>9.4</v>
      </c>
      <c r="AZ153" s="761">
        <f>'Arable Inputs'!$H$25</f>
        <v>94.285714285714292</v>
      </c>
      <c r="BA153" s="207">
        <f t="shared" si="371"/>
        <v>886.28571428571433</v>
      </c>
      <c r="BB153" s="207">
        <f>'Arable NPV'!$D132</f>
        <v>330</v>
      </c>
      <c r="BC153" s="207">
        <f>BA153+BB153</f>
        <v>1216.2857142857142</v>
      </c>
      <c r="BD153" s="207">
        <f>'Arable NPV'!$F132</f>
        <v>566.71194999999989</v>
      </c>
      <c r="BE153" s="207">
        <f>'Arable NPV'!$G132</f>
        <v>691.46913599999993</v>
      </c>
      <c r="BF153" s="207">
        <f t="shared" si="372"/>
        <v>629.09054299999991</v>
      </c>
      <c r="BG153" s="207">
        <f t="shared" si="373"/>
        <v>257.19517128571442</v>
      </c>
      <c r="BH153" s="207">
        <f t="shared" si="374"/>
        <v>587.19517128571431</v>
      </c>
      <c r="BI153" s="208">
        <f t="shared" si="375"/>
        <v>568.8730745213195</v>
      </c>
      <c r="BJ153" s="207">
        <f t="shared" si="376"/>
        <v>211.81444264091684</v>
      </c>
      <c r="BK153" s="207">
        <f t="shared" si="377"/>
        <v>403.78928101883849</v>
      </c>
      <c r="BL153" s="207">
        <f t="shared" si="378"/>
        <v>165.08379350248103</v>
      </c>
      <c r="BM153" s="209">
        <f t="shared" si="379"/>
        <v>376.89823614339781</v>
      </c>
      <c r="BN153" s="208">
        <f t="shared" si="380"/>
        <v>11466.707039765543</v>
      </c>
      <c r="BO153" s="207">
        <f t="shared" si="381"/>
        <v>4269.5185786361071</v>
      </c>
      <c r="BP153" s="207">
        <f t="shared" si="382"/>
        <v>8139.1326090387165</v>
      </c>
      <c r="BQ153" s="207">
        <f t="shared" si="383"/>
        <v>3327.5744307268287</v>
      </c>
      <c r="BR153" s="209">
        <f t="shared" si="384"/>
        <v>7597.0930093629331</v>
      </c>
      <c r="BV153" s="901">
        <v>16</v>
      </c>
      <c r="BW153" s="912">
        <f>'Arable Inputs'!$H$18</f>
        <v>9.4</v>
      </c>
      <c r="BX153" s="761">
        <f>'Arable Inputs'!$H$25</f>
        <v>94.285714285714292</v>
      </c>
      <c r="BY153" s="207">
        <f t="shared" si="385"/>
        <v>886.28571428571433</v>
      </c>
      <c r="BZ153" s="207">
        <f>'Arable NPV'!$D132</f>
        <v>330</v>
      </c>
      <c r="CA153" s="207">
        <f>BY153+BZ153</f>
        <v>1216.2857142857142</v>
      </c>
      <c r="CB153" s="207">
        <f>'Arable NPV'!$F132</f>
        <v>566.71194999999989</v>
      </c>
      <c r="CC153" s="207">
        <f>'Arable NPV'!$G132</f>
        <v>691.46913599999993</v>
      </c>
      <c r="CD153" s="207">
        <f t="shared" si="386"/>
        <v>2516.3621719999996</v>
      </c>
      <c r="CE153" s="207">
        <f t="shared" si="387"/>
        <v>-1630.0764577142854</v>
      </c>
      <c r="CF153" s="207">
        <f t="shared" si="388"/>
        <v>-1300.0764577142854</v>
      </c>
      <c r="CG153" s="208">
        <f t="shared" si="389"/>
        <v>568.8730745213195</v>
      </c>
      <c r="CH153" s="207">
        <f t="shared" si="390"/>
        <v>211.81444264091684</v>
      </c>
      <c r="CI153" s="207">
        <f t="shared" si="391"/>
        <v>1615.157124075354</v>
      </c>
      <c r="CJ153" s="207">
        <f t="shared" si="392"/>
        <v>-1046.2840495540345</v>
      </c>
      <c r="CK153" s="209">
        <f t="shared" si="393"/>
        <v>-834.46960691311767</v>
      </c>
      <c r="CL153" s="208">
        <f t="shared" si="394"/>
        <v>11466.707039765543</v>
      </c>
      <c r="CM153" s="207">
        <f t="shared" si="395"/>
        <v>4269.5185786361071</v>
      </c>
      <c r="CN153" s="207">
        <f t="shared" si="396"/>
        <v>32556.530436154866</v>
      </c>
      <c r="CO153" s="207">
        <f t="shared" si="397"/>
        <v>-21089.823396389318</v>
      </c>
      <c r="CP153" s="209">
        <f t="shared" si="398"/>
        <v>-16820.304817753211</v>
      </c>
      <c r="CT153" s="901">
        <v>16</v>
      </c>
      <c r="CU153" s="912">
        <f>'Arable Inputs'!$H$18</f>
        <v>9.4</v>
      </c>
      <c r="CV153" s="761">
        <f>'Arable Inputs'!$H$25</f>
        <v>94.285714285714292</v>
      </c>
      <c r="CW153" s="207">
        <f t="shared" si="399"/>
        <v>886.28571428571433</v>
      </c>
      <c r="CX153" s="207">
        <f>'Arable NPV'!$D132</f>
        <v>330</v>
      </c>
      <c r="CY153" s="207">
        <f>CW153+CX153</f>
        <v>1216.2857142857142</v>
      </c>
      <c r="CZ153" s="207">
        <f>'Arable NPV'!$F132</f>
        <v>566.71194999999989</v>
      </c>
      <c r="DA153" s="207">
        <f>'Arable NPV'!$G132</f>
        <v>691.46913599999993</v>
      </c>
      <c r="DB153" s="207">
        <f t="shared" si="400"/>
        <v>0</v>
      </c>
      <c r="DC153" s="207">
        <f t="shared" si="401"/>
        <v>886.28571428571433</v>
      </c>
      <c r="DD153" s="207">
        <f t="shared" si="402"/>
        <v>1216.2857142857142</v>
      </c>
      <c r="DE153" s="208">
        <f t="shared" si="403"/>
        <v>568.8730745213195</v>
      </c>
      <c r="DF153" s="207">
        <f t="shared" si="404"/>
        <v>211.81444264091684</v>
      </c>
      <c r="DG153" s="207">
        <f t="shared" si="405"/>
        <v>0</v>
      </c>
      <c r="DH153" s="207">
        <f t="shared" si="406"/>
        <v>568.8730745213195</v>
      </c>
      <c r="DI153" s="209">
        <f>DD153/(1+$B$4)^(CT153-1)</f>
        <v>780.6875171622363</v>
      </c>
      <c r="DJ153" s="208">
        <f t="shared" si="408"/>
        <v>11466.707039765543</v>
      </c>
      <c r="DK153" s="207">
        <f t="shared" si="409"/>
        <v>4269.5185786361071</v>
      </c>
      <c r="DL153" s="207">
        <f t="shared" si="410"/>
        <v>0</v>
      </c>
      <c r="DM153" s="207">
        <f t="shared" si="411"/>
        <v>11466.707039765543</v>
      </c>
      <c r="DN153" s="209">
        <f t="shared" si="412"/>
        <v>15736.225618401651</v>
      </c>
    </row>
    <row r="159" spans="2:118" x14ac:dyDescent="0.3">
      <c r="B159" s="273" t="s">
        <v>328</v>
      </c>
      <c r="C159" s="274"/>
      <c r="D159" s="88"/>
      <c r="E159" s="88"/>
      <c r="F159" s="88"/>
      <c r="G159" s="275"/>
      <c r="H159" s="276" t="s">
        <v>305</v>
      </c>
      <c r="I159" s="277" t="s">
        <v>306</v>
      </c>
      <c r="J159" s="277" t="s">
        <v>307</v>
      </c>
      <c r="K159" s="277" t="s">
        <v>308</v>
      </c>
      <c r="L159" s="277" t="s">
        <v>309</v>
      </c>
      <c r="M159" s="276" t="s">
        <v>634</v>
      </c>
      <c r="N159" s="277" t="s">
        <v>635</v>
      </c>
      <c r="O159" s="277" t="s">
        <v>636</v>
      </c>
      <c r="P159" s="277" t="s">
        <v>637</v>
      </c>
      <c r="Q159" s="277" t="s">
        <v>638</v>
      </c>
      <c r="R159" s="276" t="s">
        <v>389</v>
      </c>
      <c r="S159" s="277" t="s">
        <v>390</v>
      </c>
      <c r="T159" s="277" t="s">
        <v>391</v>
      </c>
      <c r="U159" s="277" t="s">
        <v>392</v>
      </c>
      <c r="V159" s="277" t="s">
        <v>393</v>
      </c>
      <c r="W159" s="276" t="s">
        <v>420</v>
      </c>
      <c r="X159" s="277" t="s">
        <v>421</v>
      </c>
      <c r="Y159" s="277" t="s">
        <v>422</v>
      </c>
      <c r="Z159" s="277" t="s">
        <v>423</v>
      </c>
      <c r="AA159" s="277" t="s">
        <v>424</v>
      </c>
      <c r="AB159" s="276" t="s">
        <v>425</v>
      </c>
      <c r="AC159" s="277" t="s">
        <v>426</v>
      </c>
      <c r="AD159" s="277" t="s">
        <v>427</v>
      </c>
      <c r="AE159" s="277" t="s">
        <v>428</v>
      </c>
      <c r="AF159" s="277" t="s">
        <v>429</v>
      </c>
      <c r="AG159" s="276" t="s">
        <v>526</v>
      </c>
      <c r="AH159" s="277" t="s">
        <v>527</v>
      </c>
      <c r="AI159" s="277" t="s">
        <v>528</v>
      </c>
      <c r="AJ159" s="277" t="s">
        <v>529</v>
      </c>
      <c r="AK159" s="277" t="s">
        <v>530</v>
      </c>
    </row>
    <row r="160" spans="2:118" x14ac:dyDescent="0.3">
      <c r="B160" s="278" t="s">
        <v>293</v>
      </c>
      <c r="C160" s="24"/>
      <c r="D160" s="279"/>
      <c r="E160" s="279"/>
      <c r="F160" s="279"/>
      <c r="G160" s="280" t="s">
        <v>567</v>
      </c>
      <c r="H160" s="281">
        <f>S27</f>
        <v>5153.0411811079257</v>
      </c>
      <c r="I160" s="281">
        <f>AQ27</f>
        <v>5153.0411811079257</v>
      </c>
      <c r="J160" s="281">
        <f>BO27</f>
        <v>5153.0411811079257</v>
      </c>
      <c r="K160" s="281">
        <f>CM27</f>
        <v>5153.0411811079257</v>
      </c>
      <c r="L160" s="281">
        <f>DK27</f>
        <v>5153.0411811079257</v>
      </c>
      <c r="M160" s="281">
        <f>S53</f>
        <v>7503.8112474454329</v>
      </c>
      <c r="N160" s="281">
        <f>AQ53</f>
        <v>7503.8112474454329</v>
      </c>
      <c r="O160" s="107">
        <f>BO53</f>
        <v>7503.8112474454329</v>
      </c>
      <c r="P160" s="107">
        <f>CM53</f>
        <v>7503.8112474454329</v>
      </c>
      <c r="Q160" s="107">
        <f>DK53</f>
        <v>7503.8112474454329</v>
      </c>
      <c r="R160" s="764">
        <f>U78</f>
        <v>11827.882468805239</v>
      </c>
      <c r="S160" s="764">
        <f>AU$78</f>
        <v>11827.882468805239</v>
      </c>
      <c r="T160" s="107">
        <f>BU$78</f>
        <v>11827.882468805239</v>
      </c>
      <c r="U160" s="107">
        <f>CU$78</f>
        <v>11827.882468805239</v>
      </c>
      <c r="V160" s="107">
        <f>DU$78</f>
        <v>11827.882468805239</v>
      </c>
      <c r="W160" s="764">
        <f>S$103</f>
        <v>7249.7050055210802</v>
      </c>
      <c r="X160" s="764">
        <f>AQ$103</f>
        <v>7249.7050055210802</v>
      </c>
      <c r="Y160" s="107">
        <f>BO$103</f>
        <v>7249.7050055210802</v>
      </c>
      <c r="Z160" s="107">
        <f>CM$103</f>
        <v>7249.7050055210802</v>
      </c>
      <c r="AA160" s="107">
        <f>DK$103</f>
        <v>7249.7050055210802</v>
      </c>
      <c r="AB160" s="764">
        <f>S$128</f>
        <v>6150.3876966488488</v>
      </c>
      <c r="AC160" s="764">
        <f>AQ$128</f>
        <v>6150.3876966488488</v>
      </c>
      <c r="AD160" s="107">
        <f>BO$128</f>
        <v>6150.3876966488488</v>
      </c>
      <c r="AE160" s="107">
        <f>CM$128</f>
        <v>6150.3876966488488</v>
      </c>
      <c r="AF160" s="107">
        <f>DK$128</f>
        <v>6150.3876966488488</v>
      </c>
      <c r="AG160" s="767">
        <f>R153</f>
        <v>11466.707039765543</v>
      </c>
      <c r="AH160" s="767">
        <f>AP153</f>
        <v>11466.707039765543</v>
      </c>
      <c r="AI160" s="767">
        <f>BN153</f>
        <v>11466.707039765543</v>
      </c>
      <c r="AJ160" s="767">
        <f>CL153</f>
        <v>11466.707039765543</v>
      </c>
      <c r="AK160" s="767">
        <f>DJ153</f>
        <v>11466.707039765543</v>
      </c>
    </row>
    <row r="161" spans="2:37" x14ac:dyDescent="0.3">
      <c r="B161" s="282" t="s">
        <v>689</v>
      </c>
      <c r="C161" s="24"/>
      <c r="D161" s="279"/>
      <c r="E161" s="279"/>
      <c r="F161" s="279"/>
      <c r="G161" s="283" t="s">
        <v>567</v>
      </c>
      <c r="H161" s="281">
        <f>T27</f>
        <v>4269.5185786361071</v>
      </c>
      <c r="I161" s="281">
        <f>AR27</f>
        <v>4269.5185786361071</v>
      </c>
      <c r="J161" s="281">
        <f>BP27</f>
        <v>4269.5185786361071</v>
      </c>
      <c r="K161" s="281">
        <f>CN27</f>
        <v>4269.5185786361071</v>
      </c>
      <c r="L161" s="281">
        <f>DL27</f>
        <v>4269.5185786361071</v>
      </c>
      <c r="M161" s="281">
        <f>T53</f>
        <v>4269.5185786361071</v>
      </c>
      <c r="N161" s="281">
        <f>AR53</f>
        <v>4269.5185786361071</v>
      </c>
      <c r="O161" s="108">
        <f>BP53</f>
        <v>4269.5185786361071</v>
      </c>
      <c r="P161" s="108">
        <f>CN53</f>
        <v>4269.5185786361071</v>
      </c>
      <c r="Q161" s="108">
        <f>DL53</f>
        <v>4269.5185786361071</v>
      </c>
      <c r="R161" s="764">
        <f>V$78</f>
        <v>4269.5185786361071</v>
      </c>
      <c r="S161" s="764">
        <f>AV$78</f>
        <v>4269.5185786361071</v>
      </c>
      <c r="T161" s="108">
        <f>BV$78</f>
        <v>4269.5185786361071</v>
      </c>
      <c r="U161" s="108">
        <f>CV$78</f>
        <v>4269.5185786361071</v>
      </c>
      <c r="V161" s="108">
        <f>DV$78</f>
        <v>4269.5185786361071</v>
      </c>
      <c r="W161" s="764">
        <f>T$103</f>
        <v>2899.4159442201048</v>
      </c>
      <c r="X161" s="764">
        <f>AR$103</f>
        <v>2899.4159442201048</v>
      </c>
      <c r="Y161" s="108">
        <f>BP$103</f>
        <v>2899.4159442201048</v>
      </c>
      <c r="Z161" s="108">
        <f>CN$103</f>
        <v>2899.4159442201048</v>
      </c>
      <c r="AA161" s="108">
        <f>DL$103</f>
        <v>2899.4159442201048</v>
      </c>
      <c r="AB161" s="764">
        <f>T$128</f>
        <v>4269.5185786361071</v>
      </c>
      <c r="AC161" s="764">
        <f>AR$128</f>
        <v>4269.5185786361071</v>
      </c>
      <c r="AD161" s="108">
        <f>BP$128</f>
        <v>4269.5185786361071</v>
      </c>
      <c r="AE161" s="108">
        <f>CN$128</f>
        <v>4269.5185786361071</v>
      </c>
      <c r="AF161" s="108">
        <f>DL$128</f>
        <v>4269.5185786361071</v>
      </c>
      <c r="AG161" s="914">
        <f>S153</f>
        <v>4269.5185786361071</v>
      </c>
      <c r="AH161" s="914">
        <f>AQ153</f>
        <v>4269.5185786361071</v>
      </c>
      <c r="AI161" s="914">
        <f>BO153</f>
        <v>4269.5185786361071</v>
      </c>
      <c r="AJ161" s="914">
        <f>CM153</f>
        <v>4269.5185786361071</v>
      </c>
      <c r="AK161" s="914">
        <f>DK153</f>
        <v>4269.5185786361071</v>
      </c>
    </row>
    <row r="162" spans="2:37" x14ac:dyDescent="0.3">
      <c r="B162" s="284" t="s">
        <v>292</v>
      </c>
      <c r="C162" s="165"/>
      <c r="D162" s="279"/>
      <c r="E162" s="279"/>
      <c r="F162" s="279"/>
      <c r="G162" s="285" t="s">
        <v>567</v>
      </c>
      <c r="H162" s="281">
        <f>U27</f>
        <v>10028.072186038104</v>
      </c>
      <c r="I162" s="281">
        <f>AS27</f>
        <v>15042.108279057153</v>
      </c>
      <c r="J162" s="281">
        <f>BQ27</f>
        <v>5014.0360930190518</v>
      </c>
      <c r="K162" s="281">
        <f>CO27</f>
        <v>20056.144372076207</v>
      </c>
      <c r="L162" s="281">
        <f>DM27</f>
        <v>0</v>
      </c>
      <c r="M162" s="281">
        <f>U53</f>
        <v>8237.601585738621</v>
      </c>
      <c r="N162" s="281">
        <f>AS53</f>
        <v>12356.402378607934</v>
      </c>
      <c r="O162" s="294">
        <f>BQ53</f>
        <v>4118.8007928693105</v>
      </c>
      <c r="P162" s="294">
        <f>CO53</f>
        <v>16475.203171477242</v>
      </c>
      <c r="Q162" s="294">
        <f>DM53</f>
        <v>0</v>
      </c>
      <c r="R162" s="764">
        <f>W$78</f>
        <v>15220.142021005624</v>
      </c>
      <c r="S162" s="764">
        <f>AW$78</f>
        <v>22830.213031508432</v>
      </c>
      <c r="T162" s="294">
        <f>BW$78</f>
        <v>7610.071010502812</v>
      </c>
      <c r="U162" s="294">
        <f>CW$78</f>
        <v>30440.284042011248</v>
      </c>
      <c r="V162" s="294">
        <f>DW$78</f>
        <v>0</v>
      </c>
      <c r="W162" s="764">
        <f>U$103</f>
        <v>6484.1859442089399</v>
      </c>
      <c r="X162" s="764">
        <f>AS$103</f>
        <v>9726.2789163134112</v>
      </c>
      <c r="Y162" s="294">
        <f>BQ$103</f>
        <v>3242.0929721044699</v>
      </c>
      <c r="Z162" s="294">
        <f>CO$103</f>
        <v>12968.37188841788</v>
      </c>
      <c r="AA162" s="294">
        <f>DM$103</f>
        <v>0</v>
      </c>
      <c r="AB162" s="764">
        <f>U$128</f>
        <v>7650.9886605307165</v>
      </c>
      <c r="AC162" s="764">
        <f>AS$128</f>
        <v>11476.482990796074</v>
      </c>
      <c r="AD162" s="294">
        <f>BQ$128</f>
        <v>3825.4943302653583</v>
      </c>
      <c r="AE162" s="294">
        <f>CO$128</f>
        <v>15301.977321061433</v>
      </c>
      <c r="AF162" s="294">
        <f>DM$128</f>
        <v>0</v>
      </c>
      <c r="AG162" s="768">
        <f>T153</f>
        <v>16278.265218077433</v>
      </c>
      <c r="AH162" s="768">
        <f>AR153</f>
        <v>24417.397827116147</v>
      </c>
      <c r="AI162" s="768">
        <f>BP153</f>
        <v>8139.1326090387165</v>
      </c>
      <c r="AJ162" s="768">
        <f>CN153</f>
        <v>32556.530436154866</v>
      </c>
      <c r="AK162" s="768">
        <f>DL153</f>
        <v>0</v>
      </c>
    </row>
    <row r="163" spans="2:37" x14ac:dyDescent="0.3">
      <c r="B163" s="278" t="s">
        <v>690</v>
      </c>
      <c r="C163" s="24"/>
      <c r="D163" s="286"/>
      <c r="E163" s="286"/>
      <c r="F163" s="286"/>
      <c r="G163" s="280" t="s">
        <v>567</v>
      </c>
      <c r="H163" s="287">
        <f>H160-H162</f>
        <v>-4875.0310049301779</v>
      </c>
      <c r="I163" s="287">
        <f t="shared" ref="I163:W163" si="418">I160-I162</f>
        <v>-9889.0670979492279</v>
      </c>
      <c r="J163" s="287">
        <f t="shared" si="418"/>
        <v>139.00508808887389</v>
      </c>
      <c r="K163" s="287">
        <f t="shared" si="418"/>
        <v>-14903.103190968282</v>
      </c>
      <c r="L163" s="287">
        <f t="shared" si="418"/>
        <v>5153.0411811079257</v>
      </c>
      <c r="M163" s="287">
        <f t="shared" si="418"/>
        <v>-733.79033829318814</v>
      </c>
      <c r="N163" s="287">
        <f t="shared" si="418"/>
        <v>-4852.5911311625014</v>
      </c>
      <c r="O163" s="287">
        <f t="shared" si="418"/>
        <v>3385.0104545761224</v>
      </c>
      <c r="P163" s="287">
        <f t="shared" si="418"/>
        <v>-8971.39192403181</v>
      </c>
      <c r="Q163" s="287">
        <f t="shared" si="418"/>
        <v>7503.8112474454329</v>
      </c>
      <c r="R163" s="765">
        <f t="shared" si="418"/>
        <v>-3392.2595522003849</v>
      </c>
      <c r="S163" s="765">
        <f t="shared" si="418"/>
        <v>-11002.330562703193</v>
      </c>
      <c r="T163" s="765">
        <f t="shared" si="418"/>
        <v>4217.8114583024271</v>
      </c>
      <c r="U163" s="765">
        <f t="shared" si="418"/>
        <v>-18612.401573206007</v>
      </c>
      <c r="V163" s="765">
        <f t="shared" si="418"/>
        <v>11827.882468805239</v>
      </c>
      <c r="W163" s="765">
        <f t="shared" si="418"/>
        <v>765.51906131214037</v>
      </c>
      <c r="X163" s="765">
        <f t="shared" ref="X163:AK163" si="419">X160-X162</f>
        <v>-2476.5739107923309</v>
      </c>
      <c r="Y163" s="765">
        <f t="shared" si="419"/>
        <v>4007.6120334166103</v>
      </c>
      <c r="Z163" s="765">
        <f t="shared" si="419"/>
        <v>-5718.6668828967995</v>
      </c>
      <c r="AA163" s="765">
        <f t="shared" si="419"/>
        <v>7249.7050055210802</v>
      </c>
      <c r="AB163" s="765">
        <f t="shared" si="419"/>
        <v>-1500.6009638818678</v>
      </c>
      <c r="AC163" s="765">
        <f t="shared" si="419"/>
        <v>-5326.0952941472251</v>
      </c>
      <c r="AD163" s="765">
        <f t="shared" si="419"/>
        <v>2324.8933663834905</v>
      </c>
      <c r="AE163" s="765">
        <f t="shared" si="419"/>
        <v>-9151.5896244125834</v>
      </c>
      <c r="AF163" s="765">
        <f t="shared" si="419"/>
        <v>6150.3876966488488</v>
      </c>
      <c r="AG163" s="765">
        <f t="shared" si="419"/>
        <v>-4811.5581783118905</v>
      </c>
      <c r="AH163" s="765">
        <f t="shared" si="419"/>
        <v>-12950.690787350604</v>
      </c>
      <c r="AI163" s="765">
        <f t="shared" si="419"/>
        <v>3327.574430726826</v>
      </c>
      <c r="AJ163" s="765">
        <f t="shared" si="419"/>
        <v>-21089.823396389322</v>
      </c>
      <c r="AK163" s="765">
        <f t="shared" si="419"/>
        <v>11466.707039765543</v>
      </c>
    </row>
    <row r="164" spans="2:37" x14ac:dyDescent="0.3">
      <c r="B164" s="284" t="s">
        <v>691</v>
      </c>
      <c r="C164" s="165"/>
      <c r="D164" s="288"/>
      <c r="E164" s="288"/>
      <c r="F164" s="288"/>
      <c r="G164" s="285" t="s">
        <v>567</v>
      </c>
      <c r="H164" s="295">
        <f>H160+H161-H162</f>
        <v>-605.5124262940717</v>
      </c>
      <c r="I164" s="295">
        <f t="shared" ref="I164:U164" si="420">I160+I161-I162</f>
        <v>-5619.5485193131208</v>
      </c>
      <c r="J164" s="295">
        <f t="shared" si="420"/>
        <v>4408.5236667249801</v>
      </c>
      <c r="K164" s="295">
        <f t="shared" si="420"/>
        <v>-10633.584612332175</v>
      </c>
      <c r="L164" s="295">
        <f t="shared" si="420"/>
        <v>9422.5597597440319</v>
      </c>
      <c r="M164" s="295">
        <f t="shared" si="420"/>
        <v>3535.7282403429181</v>
      </c>
      <c r="N164" s="295">
        <f t="shared" si="420"/>
        <v>-583.07255252639516</v>
      </c>
      <c r="O164" s="295">
        <f t="shared" si="420"/>
        <v>7654.5290332122286</v>
      </c>
      <c r="P164" s="295">
        <f t="shared" si="420"/>
        <v>-4701.8733453957029</v>
      </c>
      <c r="Q164" s="295">
        <f t="shared" si="420"/>
        <v>11773.329826081539</v>
      </c>
      <c r="R164" s="766">
        <f t="shared" si="420"/>
        <v>877.25902643572226</v>
      </c>
      <c r="S164" s="766">
        <f t="shared" si="420"/>
        <v>-6732.8119840670861</v>
      </c>
      <c r="T164" s="766">
        <f t="shared" si="420"/>
        <v>8487.3300369385342</v>
      </c>
      <c r="U164" s="766">
        <f t="shared" si="420"/>
        <v>-14342.882994569902</v>
      </c>
      <c r="V164" s="766">
        <f t="shared" ref="V164:W164" si="421">V160+V161-V162</f>
        <v>16097.401047441346</v>
      </c>
      <c r="W164" s="766">
        <f t="shared" si="421"/>
        <v>3664.9350055322457</v>
      </c>
      <c r="X164" s="766">
        <f t="shared" ref="X164:AE164" si="422">X160+X161-X162</f>
        <v>422.84203342777437</v>
      </c>
      <c r="Y164" s="766">
        <f t="shared" si="422"/>
        <v>6907.0279776367151</v>
      </c>
      <c r="Z164" s="766">
        <f t="shared" si="422"/>
        <v>-2819.2509386766942</v>
      </c>
      <c r="AA164" s="766">
        <f t="shared" si="422"/>
        <v>10149.120949741186</v>
      </c>
      <c r="AB164" s="766">
        <f t="shared" si="422"/>
        <v>2768.9176147542403</v>
      </c>
      <c r="AC164" s="766">
        <f t="shared" si="422"/>
        <v>-1056.5767155111171</v>
      </c>
      <c r="AD164" s="766">
        <f t="shared" si="422"/>
        <v>6594.4119450195985</v>
      </c>
      <c r="AE164" s="766">
        <f t="shared" si="422"/>
        <v>-4882.0710457764762</v>
      </c>
      <c r="AF164" s="766">
        <f t="shared" ref="AF164:AK164" si="423">AF160+AF161-AF162</f>
        <v>10419.906275284957</v>
      </c>
      <c r="AG164" s="766">
        <f t="shared" si="423"/>
        <v>-542.03959967578339</v>
      </c>
      <c r="AH164" s="766">
        <f t="shared" si="423"/>
        <v>-8681.1722087144972</v>
      </c>
      <c r="AI164" s="766">
        <f t="shared" si="423"/>
        <v>7597.0930093629331</v>
      </c>
      <c r="AJ164" s="766">
        <f t="shared" si="423"/>
        <v>-16820.304817753218</v>
      </c>
      <c r="AK164" s="766">
        <f t="shared" si="423"/>
        <v>15736.22561840165</v>
      </c>
    </row>
    <row r="165" spans="2:37" x14ac:dyDescent="0.3">
      <c r="B165" s="62" t="s">
        <v>692</v>
      </c>
      <c r="C165" s="24"/>
      <c r="D165" s="289"/>
      <c r="E165" s="289"/>
      <c r="F165" s="289"/>
      <c r="G165" s="280" t="s">
        <v>567</v>
      </c>
      <c r="H165" s="290">
        <f>H163*((1+$B$4)^16)/(((1+$B$4)^16)-1)</f>
        <v>-12936.845283269249</v>
      </c>
      <c r="I165" s="290">
        <f t="shared" ref="I165:Q166" si="424">I163*((1+$B$4)^16)/(((1+$B$4)^16)-1)</f>
        <v>-26242.567670371132</v>
      </c>
      <c r="J165" s="290">
        <f t="shared" si="424"/>
        <v>368.87710383264124</v>
      </c>
      <c r="K165" s="290">
        <f t="shared" si="424"/>
        <v>-39548.29005747303</v>
      </c>
      <c r="L165" s="290">
        <f t="shared" si="424"/>
        <v>13674.599490934532</v>
      </c>
      <c r="M165" s="290">
        <f t="shared" si="424"/>
        <v>-1947.255733811018</v>
      </c>
      <c r="N165" s="290">
        <f t="shared" si="424"/>
        <v>-12877.296703000748</v>
      </c>
      <c r="O165" s="290">
        <f t="shared" si="424"/>
        <v>8982.7852353787039</v>
      </c>
      <c r="P165" s="290">
        <f t="shared" si="424"/>
        <v>-23807.337672190464</v>
      </c>
      <c r="Q165" s="290">
        <f>Q163*((1+$B$4)^16)/(((1+$B$4)^16)-1)</f>
        <v>19912.826204568428</v>
      </c>
      <c r="R165" s="290">
        <f>R163*((1+$B$4)^16)/(((1+$B$4)^16)-1)</f>
        <v>-9002.0221293212362</v>
      </c>
      <c r="S165" s="290">
        <f t="shared" ref="S165:V166" si="425">S163*((1+$B$4)^16)/(((1+$B$4)^16)-1)</f>
        <v>-29196.829333214566</v>
      </c>
      <c r="T165" s="290">
        <f t="shared" si="425"/>
        <v>11192.785074572104</v>
      </c>
      <c r="U165" s="290">
        <f t="shared" si="425"/>
        <v>-49391.636537107916</v>
      </c>
      <c r="V165" s="290">
        <f t="shared" si="425"/>
        <v>31387.592278465447</v>
      </c>
      <c r="W165" s="290">
        <f>W163*((1+$B$4)^16)/(((1+$B$4)^16)-1)</f>
        <v>2031.454086665959</v>
      </c>
      <c r="X165" s="290">
        <f t="shared" ref="X165:AA166" si="426">X163*((1+$B$4)^16)/(((1+$B$4)^16)-1)</f>
        <v>-6572.07174356429</v>
      </c>
      <c r="Y165" s="290">
        <f t="shared" si="426"/>
        <v>10634.979916896204</v>
      </c>
      <c r="Z165" s="290">
        <f t="shared" si="426"/>
        <v>-15175.59757379453</v>
      </c>
      <c r="AA165" s="290">
        <f t="shared" si="426"/>
        <v>19238.505747126452</v>
      </c>
      <c r="AB165" s="290">
        <f>AB163*((1+$B$4)^16)/(((1+$B$4)^16)-1)</f>
        <v>-3982.1372381081856</v>
      </c>
      <c r="AC165" s="290">
        <f t="shared" ref="AC165:AK166" si="427">AC163*((1+$B$4)^16)/(((1+$B$4)^16)-1)</f>
        <v>-14133.832321199345</v>
      </c>
      <c r="AD165" s="290">
        <f t="shared" si="427"/>
        <v>6169.5578449829773</v>
      </c>
      <c r="AE165" s="290">
        <f t="shared" si="427"/>
        <v>-24285.527404290508</v>
      </c>
      <c r="AF165" s="290">
        <f t="shared" si="427"/>
        <v>16321.25292807414</v>
      </c>
      <c r="AG165" s="290">
        <f t="shared" si="427"/>
        <v>-12768.407762190485</v>
      </c>
      <c r="AH165" s="290">
        <f t="shared" si="427"/>
        <v>-34367.183071857151</v>
      </c>
      <c r="AI165" s="290">
        <f t="shared" si="427"/>
        <v>8830.3675474761931</v>
      </c>
      <c r="AJ165" s="290">
        <f t="shared" si="427"/>
        <v>-55965.958381523837</v>
      </c>
      <c r="AK165" s="290">
        <f t="shared" si="427"/>
        <v>30429.142857142873</v>
      </c>
    </row>
    <row r="166" spans="2:37" x14ac:dyDescent="0.3">
      <c r="B166" s="41" t="s">
        <v>693</v>
      </c>
      <c r="C166" s="24"/>
      <c r="D166" s="149"/>
      <c r="E166" s="149"/>
      <c r="F166" s="149"/>
      <c r="G166" s="285" t="s">
        <v>567</v>
      </c>
      <c r="H166" s="293">
        <f>H164*((1+$B$4)^16)/(((1+$B$4)^16)-1)</f>
        <v>-1606.8452832692442</v>
      </c>
      <c r="I166" s="293">
        <f t="shared" si="424"/>
        <v>-14912.567670371129</v>
      </c>
      <c r="J166" s="293">
        <f t="shared" si="424"/>
        <v>11698.877103832647</v>
      </c>
      <c r="K166" s="293">
        <f t="shared" si="424"/>
        <v>-28218.29005747303</v>
      </c>
      <c r="L166" s="293">
        <f t="shared" si="424"/>
        <v>25004.599490934535</v>
      </c>
      <c r="M166" s="293">
        <f t="shared" si="424"/>
        <v>9382.7442661889872</v>
      </c>
      <c r="N166" s="293">
        <f t="shared" si="424"/>
        <v>-1547.2967030007417</v>
      </c>
      <c r="O166" s="293">
        <f t="shared" si="424"/>
        <v>20312.785235378709</v>
      </c>
      <c r="P166" s="293">
        <f t="shared" si="424"/>
        <v>-12477.337672190457</v>
      </c>
      <c r="Q166" s="293">
        <f t="shared" si="424"/>
        <v>31242.826204568428</v>
      </c>
      <c r="R166" s="768">
        <f>R164*((1+$B$4)^16)/(((1+$B$4)^16)-1)</f>
        <v>2327.9778706787715</v>
      </c>
      <c r="S166" s="768">
        <f t="shared" si="425"/>
        <v>-17866.829333214562</v>
      </c>
      <c r="T166" s="768">
        <f t="shared" si="425"/>
        <v>22522.785074572115</v>
      </c>
      <c r="U166" s="768">
        <f t="shared" si="425"/>
        <v>-38061.636537107908</v>
      </c>
      <c r="V166" s="768">
        <f t="shared" si="425"/>
        <v>42717.592278465461</v>
      </c>
      <c r="W166" s="768">
        <f>W164*((1+$B$4)^16)/(((1+$B$4)^16)-1)</f>
        <v>9725.619609774616</v>
      </c>
      <c r="X166" s="768">
        <f t="shared" si="426"/>
        <v>1122.0937795443679</v>
      </c>
      <c r="Y166" s="768">
        <f t="shared" si="426"/>
        <v>18329.145440004861</v>
      </c>
      <c r="Z166" s="768">
        <f t="shared" si="426"/>
        <v>-7481.4320506858739</v>
      </c>
      <c r="AA166" s="768">
        <f t="shared" si="426"/>
        <v>26932.671270235107</v>
      </c>
      <c r="AB166" s="768">
        <f>AB164*((1+$B$4)^16)/(((1+$B$4)^16)-1)</f>
        <v>7347.8627618918254</v>
      </c>
      <c r="AC166" s="768">
        <f t="shared" si="427"/>
        <v>-2803.8323211993356</v>
      </c>
      <c r="AD166" s="768">
        <f t="shared" si="427"/>
        <v>17499.557844982988</v>
      </c>
      <c r="AE166" s="768">
        <f t="shared" si="427"/>
        <v>-12955.5274042905</v>
      </c>
      <c r="AF166" s="768">
        <f t="shared" si="427"/>
        <v>27651.252928074147</v>
      </c>
      <c r="AG166" s="768">
        <f t="shared" si="427"/>
        <v>-1438.4077621904773</v>
      </c>
      <c r="AH166" s="768">
        <f t="shared" si="427"/>
        <v>-23037.183071857147</v>
      </c>
      <c r="AI166" s="768">
        <f t="shared" si="427"/>
        <v>20160.367547476202</v>
      </c>
      <c r="AJ166" s="768">
        <f t="shared" si="427"/>
        <v>-44635.958381523844</v>
      </c>
      <c r="AK166" s="768">
        <f t="shared" si="427"/>
        <v>41759.142857142877</v>
      </c>
    </row>
    <row r="167" spans="2:37" x14ac:dyDescent="0.3">
      <c r="B167" s="62" t="s">
        <v>694</v>
      </c>
      <c r="C167" s="265"/>
      <c r="D167" s="289"/>
      <c r="E167" s="289"/>
      <c r="F167" s="289"/>
      <c r="G167" s="280" t="s">
        <v>584</v>
      </c>
      <c r="H167" s="290">
        <f>H165*$B$4</f>
        <v>-388.10535849807746</v>
      </c>
      <c r="I167" s="290">
        <f t="shared" ref="I167:Q168" si="428">I165*$B$4</f>
        <v>-787.27703011113397</v>
      </c>
      <c r="J167" s="290">
        <f t="shared" si="428"/>
        <v>11.066313114979236</v>
      </c>
      <c r="K167" s="290">
        <f t="shared" si="428"/>
        <v>-1186.4487017241909</v>
      </c>
      <c r="L167" s="290">
        <f t="shared" si="428"/>
        <v>410.23798472803594</v>
      </c>
      <c r="M167" s="290">
        <f t="shared" si="428"/>
        <v>-58.417672014330535</v>
      </c>
      <c r="N167" s="290">
        <f t="shared" si="428"/>
        <v>-386.31890109002239</v>
      </c>
      <c r="O167" s="290">
        <f t="shared" si="428"/>
        <v>269.48355706136113</v>
      </c>
      <c r="P167" s="290">
        <f t="shared" si="428"/>
        <v>-714.22013016571395</v>
      </c>
      <c r="Q167" s="290">
        <f t="shared" si="428"/>
        <v>597.38478613705286</v>
      </c>
      <c r="R167" s="767">
        <f>R165*$B$4</f>
        <v>-270.0606638796371</v>
      </c>
      <c r="S167" s="767">
        <f t="shared" ref="S167:V168" si="429">S165*$B$4</f>
        <v>-875.90487999643699</v>
      </c>
      <c r="T167" s="767">
        <f t="shared" si="429"/>
        <v>335.78355223716312</v>
      </c>
      <c r="U167" s="767">
        <f t="shared" si="429"/>
        <v>-1481.7490961132373</v>
      </c>
      <c r="V167" s="767">
        <f t="shared" si="429"/>
        <v>941.62776835396335</v>
      </c>
      <c r="W167" s="767">
        <f>W165*$B$4</f>
        <v>60.943622599978767</v>
      </c>
      <c r="X167" s="767">
        <f t="shared" ref="X167:AA168" si="430">X165*$B$4</f>
        <v>-197.1621523069287</v>
      </c>
      <c r="Y167" s="767">
        <f t="shared" si="430"/>
        <v>319.04939750688612</v>
      </c>
      <c r="Z167" s="767">
        <f t="shared" si="430"/>
        <v>-455.26792721383589</v>
      </c>
      <c r="AA167" s="767">
        <f t="shared" si="430"/>
        <v>577.15517241379348</v>
      </c>
      <c r="AB167" s="767">
        <f>AB165*$B$4</f>
        <v>-119.46411714324556</v>
      </c>
      <c r="AC167" s="767">
        <f t="shared" ref="AC167:AK168" si="431">AC165*$B$4</f>
        <v>-424.01496963598032</v>
      </c>
      <c r="AD167" s="767">
        <f t="shared" si="431"/>
        <v>185.08673534948932</v>
      </c>
      <c r="AE167" s="767">
        <f t="shared" si="431"/>
        <v>-728.56582212871524</v>
      </c>
      <c r="AF167" s="767">
        <f t="shared" si="431"/>
        <v>489.63758784222421</v>
      </c>
      <c r="AG167" s="767">
        <f t="shared" si="431"/>
        <v>-383.05223286571453</v>
      </c>
      <c r="AH167" s="767">
        <f t="shared" si="431"/>
        <v>-1031.0154921557146</v>
      </c>
      <c r="AI167" s="767">
        <f t="shared" si="431"/>
        <v>264.91102642428581</v>
      </c>
      <c r="AJ167" s="767">
        <f t="shared" si="431"/>
        <v>-1678.978751445715</v>
      </c>
      <c r="AK167" s="767">
        <f t="shared" si="431"/>
        <v>912.8742857142862</v>
      </c>
    </row>
    <row r="168" spans="2:37" x14ac:dyDescent="0.3">
      <c r="B168" s="46" t="s">
        <v>695</v>
      </c>
      <c r="C168" s="291"/>
      <c r="D168" s="292"/>
      <c r="E168" s="292"/>
      <c r="F168" s="292"/>
      <c r="G168" s="285" t="s">
        <v>584</v>
      </c>
      <c r="H168" s="293">
        <f>H166*$B$4</f>
        <v>-48.205358498077324</v>
      </c>
      <c r="I168" s="293">
        <f t="shared" si="428"/>
        <v>-447.37703011113382</v>
      </c>
      <c r="J168" s="293">
        <f t="shared" si="428"/>
        <v>350.96631311497941</v>
      </c>
      <c r="K168" s="293">
        <f t="shared" si="428"/>
        <v>-846.54870172419089</v>
      </c>
      <c r="L168" s="293">
        <f t="shared" si="428"/>
        <v>750.13798472803603</v>
      </c>
      <c r="M168" s="293">
        <f t="shared" si="428"/>
        <v>281.4823279856696</v>
      </c>
      <c r="N168" s="293">
        <f t="shared" si="428"/>
        <v>-46.418901090022246</v>
      </c>
      <c r="O168" s="293">
        <f t="shared" si="428"/>
        <v>609.38355706136122</v>
      </c>
      <c r="P168" s="293">
        <f t="shared" si="428"/>
        <v>-374.32013016571369</v>
      </c>
      <c r="Q168" s="293">
        <f t="shared" si="428"/>
        <v>937.28478613705283</v>
      </c>
      <c r="R168" s="768">
        <f>R166*$B$4</f>
        <v>69.839336120363143</v>
      </c>
      <c r="S168" s="768">
        <f t="shared" si="429"/>
        <v>-536.0048799964369</v>
      </c>
      <c r="T168" s="768">
        <f t="shared" si="429"/>
        <v>675.68355223716344</v>
      </c>
      <c r="U168" s="768">
        <f t="shared" si="429"/>
        <v>-1141.8490961132372</v>
      </c>
      <c r="V168" s="768">
        <f t="shared" si="429"/>
        <v>1281.5277683539639</v>
      </c>
      <c r="W168" s="768">
        <f>W166*$B$4</f>
        <v>291.76858829323845</v>
      </c>
      <c r="X168" s="768">
        <f t="shared" si="430"/>
        <v>33.662813386331038</v>
      </c>
      <c r="Y168" s="768">
        <f t="shared" si="430"/>
        <v>549.87436320014581</v>
      </c>
      <c r="Z168" s="768">
        <f t="shared" si="430"/>
        <v>-224.4429615205762</v>
      </c>
      <c r="AA168" s="768">
        <f t="shared" si="430"/>
        <v>807.98013810705322</v>
      </c>
      <c r="AB168" s="768">
        <f>AB166*$B$4</f>
        <v>220.43588285675474</v>
      </c>
      <c r="AC168" s="768">
        <f t="shared" si="431"/>
        <v>-84.11496963598006</v>
      </c>
      <c r="AD168" s="768">
        <f t="shared" si="431"/>
        <v>524.98673534948966</v>
      </c>
      <c r="AE168" s="768">
        <f t="shared" si="431"/>
        <v>-388.66582212871498</v>
      </c>
      <c r="AF168" s="768">
        <f t="shared" si="431"/>
        <v>829.53758784222441</v>
      </c>
      <c r="AG168" s="768">
        <f t="shared" si="431"/>
        <v>-43.152232865714318</v>
      </c>
      <c r="AH168" s="768">
        <f t="shared" si="431"/>
        <v>-691.11549215571438</v>
      </c>
      <c r="AI168" s="768">
        <f t="shared" si="431"/>
        <v>604.81102642428607</v>
      </c>
      <c r="AJ168" s="768">
        <f t="shared" si="431"/>
        <v>-1339.0787514457152</v>
      </c>
      <c r="AK168" s="768">
        <f t="shared" si="431"/>
        <v>1252.7742857142862</v>
      </c>
    </row>
  </sheetData>
  <mergeCells count="59">
    <mergeCell ref="DK35:DO35"/>
    <mergeCell ref="BY35:CA35"/>
    <mergeCell ref="CD35:CE35"/>
    <mergeCell ref="CH35:CL35"/>
    <mergeCell ref="CM35:CQ35"/>
    <mergeCell ref="CW35:CY35"/>
    <mergeCell ref="DB35:DC35"/>
    <mergeCell ref="B2:D2"/>
    <mergeCell ref="CH9:CL9"/>
    <mergeCell ref="CM9:CQ9"/>
    <mergeCell ref="DF9:DJ9"/>
    <mergeCell ref="DF35:DJ35"/>
    <mergeCell ref="E35:G35"/>
    <mergeCell ref="J35:K35"/>
    <mergeCell ref="N35:R35"/>
    <mergeCell ref="S35:W35"/>
    <mergeCell ref="AC35:AE35"/>
    <mergeCell ref="AH35:AI35"/>
    <mergeCell ref="BO35:BS35"/>
    <mergeCell ref="AL35:AP35"/>
    <mergeCell ref="AQ35:AU35"/>
    <mergeCell ref="BA35:BC35"/>
    <mergeCell ref="BF35:BG35"/>
    <mergeCell ref="E85:G85"/>
    <mergeCell ref="J85:K85"/>
    <mergeCell ref="N85:R85"/>
    <mergeCell ref="S85:W85"/>
    <mergeCell ref="DK9:DO9"/>
    <mergeCell ref="E9:G9"/>
    <mergeCell ref="J9:K9"/>
    <mergeCell ref="N9:R9"/>
    <mergeCell ref="S9:W9"/>
    <mergeCell ref="AC9:AE9"/>
    <mergeCell ref="AH9:AI9"/>
    <mergeCell ref="AL9:AP9"/>
    <mergeCell ref="AQ9:AU9"/>
    <mergeCell ref="BJ9:BN9"/>
    <mergeCell ref="BO9:BS9"/>
    <mergeCell ref="BJ35:BN35"/>
    <mergeCell ref="AH110:AI110"/>
    <mergeCell ref="AL110:AP110"/>
    <mergeCell ref="AQ110:AU110"/>
    <mergeCell ref="BA110:BC110"/>
    <mergeCell ref="BF110:BG110"/>
    <mergeCell ref="E110:G110"/>
    <mergeCell ref="J110:K110"/>
    <mergeCell ref="N110:R110"/>
    <mergeCell ref="S110:W110"/>
    <mergeCell ref="AC110:AE110"/>
    <mergeCell ref="CM110:CQ110"/>
    <mergeCell ref="CW110:CY110"/>
    <mergeCell ref="DB110:DC110"/>
    <mergeCell ref="DF110:DJ110"/>
    <mergeCell ref="DK110:DO110"/>
    <mergeCell ref="BJ110:BN110"/>
    <mergeCell ref="BO110:BS110"/>
    <mergeCell ref="BY110:CA110"/>
    <mergeCell ref="CD110:CE110"/>
    <mergeCell ref="CH110:CL110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Y164"/>
  <sheetViews>
    <sheetView topLeftCell="A10" workbookViewId="0">
      <selection activeCell="E10" sqref="E10"/>
    </sheetView>
  </sheetViews>
  <sheetFormatPr defaultColWidth="9" defaultRowHeight="14" x14ac:dyDescent="0.3"/>
  <sheetData>
    <row r="2" spans="2:115" x14ac:dyDescent="0.3">
      <c r="B2" s="1113" t="s">
        <v>342</v>
      </c>
      <c r="C2" s="1114"/>
      <c r="D2" s="1115"/>
    </row>
    <row r="4" spans="2:115" x14ac:dyDescent="0.3">
      <c r="B4" s="927">
        <f>'Arable NPV'!C6</f>
        <v>0.03</v>
      </c>
      <c r="C4" s="927">
        <f>B4+(B4*0.5)</f>
        <v>4.4999999999999998E-2</v>
      </c>
      <c r="D4" s="927">
        <f>B4-(B4*0.5)</f>
        <v>1.4999999999999999E-2</v>
      </c>
      <c r="E4" s="927">
        <f>B4+B4</f>
        <v>0.06</v>
      </c>
      <c r="F4" s="927">
        <f>B4-B4</f>
        <v>0</v>
      </c>
    </row>
    <row r="5" spans="2:115" x14ac:dyDescent="0.3">
      <c r="D5" s="271"/>
    </row>
    <row r="8" spans="2:115" x14ac:dyDescent="0.3">
      <c r="B8" s="227" t="s">
        <v>93</v>
      </c>
      <c r="C8" s="763" t="s">
        <v>410</v>
      </c>
      <c r="D8" s="269" t="s">
        <v>395</v>
      </c>
      <c r="E8" s="194"/>
      <c r="F8" s="193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Y8" s="227" t="s">
        <v>93</v>
      </c>
      <c r="Z8" s="1116" t="s">
        <v>396</v>
      </c>
      <c r="AA8" s="1117"/>
      <c r="AB8" s="194"/>
      <c r="AC8" s="193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V8" s="227" t="s">
        <v>93</v>
      </c>
      <c r="AW8" s="1116" t="s">
        <v>397</v>
      </c>
      <c r="AX8" s="1117"/>
      <c r="AY8" s="194"/>
      <c r="AZ8" s="193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S8" s="227" t="s">
        <v>93</v>
      </c>
      <c r="BT8" s="1116" t="s">
        <v>398</v>
      </c>
      <c r="BU8" s="1117"/>
      <c r="BV8" s="194"/>
      <c r="BW8" s="193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P8" s="227" t="s">
        <v>93</v>
      </c>
      <c r="CQ8" s="1116" t="s">
        <v>399</v>
      </c>
      <c r="CR8" s="1117"/>
      <c r="CS8" s="194"/>
      <c r="CT8" s="193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</row>
    <row r="9" spans="2:115" x14ac:dyDescent="0.3">
      <c r="B9" s="203"/>
      <c r="C9" s="148"/>
      <c r="D9" s="148"/>
      <c r="E9" s="1108"/>
      <c r="F9" s="1108"/>
      <c r="G9" s="1108"/>
      <c r="H9" s="148"/>
      <c r="I9" s="931"/>
      <c r="J9" s="1108"/>
      <c r="K9" s="1108"/>
      <c r="L9" s="148"/>
      <c r="M9" s="148"/>
      <c r="N9" s="1109" t="s">
        <v>270</v>
      </c>
      <c r="O9" s="1110"/>
      <c r="P9" s="1110"/>
      <c r="Q9" s="1110"/>
      <c r="R9" s="1111"/>
      <c r="S9" s="1109" t="s">
        <v>271</v>
      </c>
      <c r="T9" s="1110"/>
      <c r="U9" s="1110"/>
      <c r="V9" s="1110"/>
      <c r="W9" s="1111"/>
      <c r="Y9" s="203"/>
      <c r="Z9" s="148"/>
      <c r="AA9" s="148"/>
      <c r="AB9" s="1108"/>
      <c r="AC9" s="1108"/>
      <c r="AD9" s="1108"/>
      <c r="AE9" s="148"/>
      <c r="AF9" s="931"/>
      <c r="AG9" s="1108"/>
      <c r="AH9" s="1108"/>
      <c r="AI9" s="148"/>
      <c r="AJ9" s="148"/>
      <c r="AK9" s="1109" t="s">
        <v>303</v>
      </c>
      <c r="AL9" s="1110"/>
      <c r="AM9" s="1110"/>
      <c r="AN9" s="1110"/>
      <c r="AO9" s="1111"/>
      <c r="AP9" s="1109" t="s">
        <v>271</v>
      </c>
      <c r="AQ9" s="1110"/>
      <c r="AR9" s="1110"/>
      <c r="AS9" s="1110"/>
      <c r="AT9" s="1111"/>
      <c r="AV9" s="203"/>
      <c r="AW9" s="148"/>
      <c r="AX9" s="148"/>
      <c r="AY9" s="232"/>
      <c r="AZ9" s="232"/>
      <c r="BA9" s="232"/>
      <c r="BB9" s="148"/>
      <c r="BC9" s="931"/>
      <c r="BD9" s="232"/>
      <c r="BE9" s="232"/>
      <c r="BF9" s="148"/>
      <c r="BG9" s="148"/>
      <c r="BH9" s="1109" t="s">
        <v>270</v>
      </c>
      <c r="BI9" s="1110"/>
      <c r="BJ9" s="1110"/>
      <c r="BK9" s="1110"/>
      <c r="BL9" s="1111"/>
      <c r="BM9" s="1109" t="s">
        <v>271</v>
      </c>
      <c r="BN9" s="1110"/>
      <c r="BO9" s="1110"/>
      <c r="BP9" s="1110"/>
      <c r="BQ9" s="1111"/>
      <c r="BS9" s="203"/>
      <c r="BT9" s="148"/>
      <c r="BU9" s="148"/>
      <c r="BV9" s="232"/>
      <c r="BW9" s="232"/>
      <c r="BX9" s="232"/>
      <c r="BY9" s="148"/>
      <c r="BZ9" s="931"/>
      <c r="CA9" s="232"/>
      <c r="CB9" s="232"/>
      <c r="CC9" s="148"/>
      <c r="CD9" s="148"/>
      <c r="CE9" s="1109" t="s">
        <v>270</v>
      </c>
      <c r="CF9" s="1110"/>
      <c r="CG9" s="1110"/>
      <c r="CH9" s="1110"/>
      <c r="CI9" s="1111"/>
      <c r="CJ9" s="1109" t="s">
        <v>271</v>
      </c>
      <c r="CK9" s="1110"/>
      <c r="CL9" s="1110"/>
      <c r="CM9" s="1110"/>
      <c r="CN9" s="1111"/>
      <c r="CP9" s="203"/>
      <c r="CQ9" s="148"/>
      <c r="CR9" s="148"/>
      <c r="CS9" s="232"/>
      <c r="CT9" s="232"/>
      <c r="CU9" s="232"/>
      <c r="CV9" s="148"/>
      <c r="CW9" s="931"/>
      <c r="CX9" s="232"/>
      <c r="CY9" s="232"/>
      <c r="CZ9" s="148"/>
      <c r="DA9" s="148"/>
      <c r="DB9" s="1109" t="s">
        <v>270</v>
      </c>
      <c r="DC9" s="1110"/>
      <c r="DD9" s="1110"/>
      <c r="DE9" s="1110"/>
      <c r="DF9" s="1111"/>
      <c r="DG9" s="1109" t="s">
        <v>271</v>
      </c>
      <c r="DH9" s="1110"/>
      <c r="DI9" s="1110"/>
      <c r="DJ9" s="1110"/>
      <c r="DK9" s="1111"/>
    </row>
    <row r="10" spans="2:115" ht="51" x14ac:dyDescent="0.3">
      <c r="B10" s="204" t="s">
        <v>272</v>
      </c>
      <c r="C10" s="205" t="s">
        <v>289</v>
      </c>
      <c r="D10" s="205" t="s">
        <v>290</v>
      </c>
      <c r="E10" s="171" t="s">
        <v>676</v>
      </c>
      <c r="F10" s="171" t="s">
        <v>672</v>
      </c>
      <c r="G10" s="171" t="s">
        <v>677</v>
      </c>
      <c r="H10" s="205" t="s">
        <v>287</v>
      </c>
      <c r="I10" s="935" t="s">
        <v>288</v>
      </c>
      <c r="J10" s="205" t="s">
        <v>291</v>
      </c>
      <c r="K10" s="171" t="s">
        <v>276</v>
      </c>
      <c r="L10" s="171" t="s">
        <v>678</v>
      </c>
      <c r="M10" s="171" t="s">
        <v>679</v>
      </c>
      <c r="N10" s="195" t="s">
        <v>277</v>
      </c>
      <c r="O10" s="171" t="s">
        <v>680</v>
      </c>
      <c r="P10" s="171" t="s">
        <v>278</v>
      </c>
      <c r="Q10" s="171" t="s">
        <v>681</v>
      </c>
      <c r="R10" s="198" t="s">
        <v>279</v>
      </c>
      <c r="S10" s="195" t="s">
        <v>280</v>
      </c>
      <c r="T10" s="171" t="s">
        <v>682</v>
      </c>
      <c r="U10" s="171" t="s">
        <v>281</v>
      </c>
      <c r="V10" s="171" t="s">
        <v>683</v>
      </c>
      <c r="W10" s="198" t="s">
        <v>282</v>
      </c>
      <c r="Y10" s="204" t="s">
        <v>272</v>
      </c>
      <c r="Z10" s="205" t="s">
        <v>289</v>
      </c>
      <c r="AA10" s="205" t="s">
        <v>290</v>
      </c>
      <c r="AB10" s="171" t="s">
        <v>676</v>
      </c>
      <c r="AC10" s="171" t="s">
        <v>672</v>
      </c>
      <c r="AD10" s="171" t="s">
        <v>677</v>
      </c>
      <c r="AE10" s="205" t="s">
        <v>287</v>
      </c>
      <c r="AF10" s="935" t="s">
        <v>288</v>
      </c>
      <c r="AG10" s="205" t="s">
        <v>291</v>
      </c>
      <c r="AH10" s="171" t="s">
        <v>276</v>
      </c>
      <c r="AI10" s="171" t="s">
        <v>678</v>
      </c>
      <c r="AJ10" s="171" t="s">
        <v>679</v>
      </c>
      <c r="AK10" s="195" t="s">
        <v>277</v>
      </c>
      <c r="AL10" s="171" t="s">
        <v>680</v>
      </c>
      <c r="AM10" s="171" t="s">
        <v>278</v>
      </c>
      <c r="AN10" s="171" t="s">
        <v>681</v>
      </c>
      <c r="AO10" s="198" t="s">
        <v>279</v>
      </c>
      <c r="AP10" s="195" t="s">
        <v>280</v>
      </c>
      <c r="AQ10" s="171" t="s">
        <v>682</v>
      </c>
      <c r="AR10" s="171" t="s">
        <v>281</v>
      </c>
      <c r="AS10" s="171" t="s">
        <v>683</v>
      </c>
      <c r="AT10" s="198" t="s">
        <v>282</v>
      </c>
      <c r="AV10" s="204" t="s">
        <v>272</v>
      </c>
      <c r="AW10" s="205" t="s">
        <v>289</v>
      </c>
      <c r="AX10" s="205" t="s">
        <v>290</v>
      </c>
      <c r="AY10" s="171" t="s">
        <v>676</v>
      </c>
      <c r="AZ10" s="171" t="s">
        <v>672</v>
      </c>
      <c r="BA10" s="171" t="s">
        <v>677</v>
      </c>
      <c r="BB10" s="205" t="s">
        <v>287</v>
      </c>
      <c r="BC10" s="935" t="s">
        <v>288</v>
      </c>
      <c r="BD10" s="205" t="s">
        <v>291</v>
      </c>
      <c r="BE10" s="171" t="s">
        <v>276</v>
      </c>
      <c r="BF10" s="171" t="s">
        <v>678</v>
      </c>
      <c r="BG10" s="171" t="s">
        <v>679</v>
      </c>
      <c r="BH10" s="195" t="s">
        <v>277</v>
      </c>
      <c r="BI10" s="171" t="s">
        <v>680</v>
      </c>
      <c r="BJ10" s="171" t="s">
        <v>278</v>
      </c>
      <c r="BK10" s="171" t="s">
        <v>681</v>
      </c>
      <c r="BL10" s="198" t="s">
        <v>279</v>
      </c>
      <c r="BM10" s="195" t="s">
        <v>280</v>
      </c>
      <c r="BN10" s="171" t="s">
        <v>682</v>
      </c>
      <c r="BO10" s="171" t="s">
        <v>281</v>
      </c>
      <c r="BP10" s="171" t="s">
        <v>683</v>
      </c>
      <c r="BQ10" s="198" t="s">
        <v>282</v>
      </c>
      <c r="BS10" s="204" t="s">
        <v>272</v>
      </c>
      <c r="BT10" s="205" t="s">
        <v>289</v>
      </c>
      <c r="BU10" s="205" t="s">
        <v>290</v>
      </c>
      <c r="BV10" s="171" t="s">
        <v>676</v>
      </c>
      <c r="BW10" s="171" t="s">
        <v>672</v>
      </c>
      <c r="BX10" s="171" t="s">
        <v>677</v>
      </c>
      <c r="BY10" s="205" t="s">
        <v>287</v>
      </c>
      <c r="BZ10" s="935" t="s">
        <v>288</v>
      </c>
      <c r="CA10" s="205" t="s">
        <v>291</v>
      </c>
      <c r="CB10" s="171" t="s">
        <v>276</v>
      </c>
      <c r="CC10" s="171" t="s">
        <v>678</v>
      </c>
      <c r="CD10" s="171" t="s">
        <v>679</v>
      </c>
      <c r="CE10" s="195" t="s">
        <v>277</v>
      </c>
      <c r="CF10" s="171" t="s">
        <v>680</v>
      </c>
      <c r="CG10" s="171" t="s">
        <v>278</v>
      </c>
      <c r="CH10" s="171" t="s">
        <v>681</v>
      </c>
      <c r="CI10" s="198" t="s">
        <v>279</v>
      </c>
      <c r="CJ10" s="195" t="s">
        <v>280</v>
      </c>
      <c r="CK10" s="171" t="s">
        <v>682</v>
      </c>
      <c r="CL10" s="171" t="s">
        <v>281</v>
      </c>
      <c r="CM10" s="171" t="s">
        <v>683</v>
      </c>
      <c r="CN10" s="198" t="s">
        <v>282</v>
      </c>
      <c r="CP10" s="204" t="s">
        <v>272</v>
      </c>
      <c r="CQ10" s="205" t="s">
        <v>289</v>
      </c>
      <c r="CR10" s="205" t="s">
        <v>290</v>
      </c>
      <c r="CS10" s="171" t="s">
        <v>676</v>
      </c>
      <c r="CT10" s="171" t="s">
        <v>672</v>
      </c>
      <c r="CU10" s="171" t="s">
        <v>677</v>
      </c>
      <c r="CV10" s="205" t="s">
        <v>287</v>
      </c>
      <c r="CW10" s="935" t="s">
        <v>288</v>
      </c>
      <c r="CX10" s="205" t="s">
        <v>291</v>
      </c>
      <c r="CY10" s="171" t="s">
        <v>276</v>
      </c>
      <c r="CZ10" s="171" t="s">
        <v>678</v>
      </c>
      <c r="DA10" s="171" t="s">
        <v>679</v>
      </c>
      <c r="DB10" s="195" t="s">
        <v>277</v>
      </c>
      <c r="DC10" s="171" t="s">
        <v>680</v>
      </c>
      <c r="DD10" s="171" t="s">
        <v>278</v>
      </c>
      <c r="DE10" s="171" t="s">
        <v>681</v>
      </c>
      <c r="DF10" s="198" t="s">
        <v>279</v>
      </c>
      <c r="DG10" s="195" t="s">
        <v>280</v>
      </c>
      <c r="DH10" s="171" t="s">
        <v>682</v>
      </c>
      <c r="DI10" s="171" t="s">
        <v>281</v>
      </c>
      <c r="DJ10" s="171" t="s">
        <v>683</v>
      </c>
      <c r="DK10" s="198" t="s">
        <v>282</v>
      </c>
    </row>
    <row r="11" spans="2:115" x14ac:dyDescent="0.3">
      <c r="B11" s="173"/>
      <c r="C11" s="226" t="s">
        <v>332</v>
      </c>
      <c r="D11" s="226" t="s">
        <v>569</v>
      </c>
      <c r="E11" s="201" t="s">
        <v>567</v>
      </c>
      <c r="F11" s="201" t="s">
        <v>567</v>
      </c>
      <c r="G11" s="201" t="s">
        <v>567</v>
      </c>
      <c r="H11" s="201" t="s">
        <v>567</v>
      </c>
      <c r="I11" s="969" t="s">
        <v>567</v>
      </c>
      <c r="J11" s="201" t="s">
        <v>567</v>
      </c>
      <c r="K11" s="201" t="s">
        <v>567</v>
      </c>
      <c r="L11" s="201" t="s">
        <v>567</v>
      </c>
      <c r="M11" s="202" t="s">
        <v>567</v>
      </c>
      <c r="N11" s="201" t="s">
        <v>567</v>
      </c>
      <c r="O11" s="201" t="s">
        <v>567</v>
      </c>
      <c r="P11" s="201" t="s">
        <v>567</v>
      </c>
      <c r="Q11" s="201" t="s">
        <v>567</v>
      </c>
      <c r="R11" s="202" t="s">
        <v>567</v>
      </c>
      <c r="S11" s="201" t="s">
        <v>567</v>
      </c>
      <c r="T11" s="201" t="s">
        <v>567</v>
      </c>
      <c r="U11" s="201" t="s">
        <v>567</v>
      </c>
      <c r="V11" s="201" t="s">
        <v>567</v>
      </c>
      <c r="W11" s="202" t="s">
        <v>567</v>
      </c>
      <c r="Y11" s="173"/>
      <c r="Z11" s="226" t="s">
        <v>332</v>
      </c>
      <c r="AA11" s="226" t="s">
        <v>569</v>
      </c>
      <c r="AB11" s="201" t="s">
        <v>567</v>
      </c>
      <c r="AC11" s="201" t="s">
        <v>567</v>
      </c>
      <c r="AD11" s="201" t="s">
        <v>567</v>
      </c>
      <c r="AE11" s="201" t="s">
        <v>567</v>
      </c>
      <c r="AF11" s="969" t="s">
        <v>567</v>
      </c>
      <c r="AG11" s="201" t="s">
        <v>567</v>
      </c>
      <c r="AH11" s="201" t="s">
        <v>567</v>
      </c>
      <c r="AI11" s="201" t="s">
        <v>567</v>
      </c>
      <c r="AJ11" s="202" t="s">
        <v>567</v>
      </c>
      <c r="AK11" s="201" t="s">
        <v>567</v>
      </c>
      <c r="AL11" s="201" t="s">
        <v>567</v>
      </c>
      <c r="AM11" s="201" t="s">
        <v>567</v>
      </c>
      <c r="AN11" s="201" t="s">
        <v>567</v>
      </c>
      <c r="AO11" s="202" t="s">
        <v>567</v>
      </c>
      <c r="AP11" s="201" t="s">
        <v>567</v>
      </c>
      <c r="AQ11" s="201" t="s">
        <v>567</v>
      </c>
      <c r="AR11" s="201" t="s">
        <v>567</v>
      </c>
      <c r="AS11" s="201" t="s">
        <v>567</v>
      </c>
      <c r="AT11" s="202" t="s">
        <v>567</v>
      </c>
      <c r="AV11" s="173"/>
      <c r="AW11" s="226" t="s">
        <v>332</v>
      </c>
      <c r="AX11" s="226" t="s">
        <v>569</v>
      </c>
      <c r="AY11" s="201" t="s">
        <v>567</v>
      </c>
      <c r="AZ11" s="201" t="s">
        <v>567</v>
      </c>
      <c r="BA11" s="201" t="s">
        <v>567</v>
      </c>
      <c r="BB11" s="201" t="s">
        <v>567</v>
      </c>
      <c r="BC11" s="969" t="s">
        <v>567</v>
      </c>
      <c r="BD11" s="201" t="s">
        <v>567</v>
      </c>
      <c r="BE11" s="201" t="s">
        <v>567</v>
      </c>
      <c r="BF11" s="201" t="s">
        <v>567</v>
      </c>
      <c r="BG11" s="202" t="s">
        <v>567</v>
      </c>
      <c r="BH11" s="201" t="s">
        <v>567</v>
      </c>
      <c r="BI11" s="201" t="s">
        <v>567</v>
      </c>
      <c r="BJ11" s="201" t="s">
        <v>567</v>
      </c>
      <c r="BK11" s="201" t="s">
        <v>567</v>
      </c>
      <c r="BL11" s="202" t="s">
        <v>567</v>
      </c>
      <c r="BM11" s="201" t="s">
        <v>567</v>
      </c>
      <c r="BN11" s="201" t="s">
        <v>567</v>
      </c>
      <c r="BO11" s="201" t="s">
        <v>567</v>
      </c>
      <c r="BP11" s="201" t="s">
        <v>567</v>
      </c>
      <c r="BQ11" s="202" t="s">
        <v>567</v>
      </c>
      <c r="BS11" s="173"/>
      <c r="BT11" s="226" t="s">
        <v>332</v>
      </c>
      <c r="BU11" s="226" t="s">
        <v>569</v>
      </c>
      <c r="BV11" s="201" t="s">
        <v>567</v>
      </c>
      <c r="BW11" s="201" t="s">
        <v>567</v>
      </c>
      <c r="BX11" s="201" t="s">
        <v>567</v>
      </c>
      <c r="BY11" s="201" t="s">
        <v>567</v>
      </c>
      <c r="BZ11" s="969" t="s">
        <v>567</v>
      </c>
      <c r="CA11" s="201" t="s">
        <v>567</v>
      </c>
      <c r="CB11" s="201" t="s">
        <v>567</v>
      </c>
      <c r="CC11" s="201" t="s">
        <v>567</v>
      </c>
      <c r="CD11" s="202" t="s">
        <v>567</v>
      </c>
      <c r="CE11" s="201" t="s">
        <v>567</v>
      </c>
      <c r="CF11" s="201" t="s">
        <v>567</v>
      </c>
      <c r="CG11" s="201" t="s">
        <v>567</v>
      </c>
      <c r="CH11" s="201" t="s">
        <v>567</v>
      </c>
      <c r="CI11" s="202" t="s">
        <v>567</v>
      </c>
      <c r="CJ11" s="201" t="s">
        <v>567</v>
      </c>
      <c r="CK11" s="201" t="s">
        <v>567</v>
      </c>
      <c r="CL11" s="201" t="s">
        <v>567</v>
      </c>
      <c r="CM11" s="201" t="s">
        <v>567</v>
      </c>
      <c r="CN11" s="202" t="s">
        <v>567</v>
      </c>
      <c r="CP11" s="173"/>
      <c r="CQ11" s="226" t="s">
        <v>332</v>
      </c>
      <c r="CR11" s="226" t="s">
        <v>569</v>
      </c>
      <c r="CS11" s="201" t="s">
        <v>567</v>
      </c>
      <c r="CT11" s="201" t="s">
        <v>567</v>
      </c>
      <c r="CU11" s="201" t="s">
        <v>567</v>
      </c>
      <c r="CV11" s="201" t="s">
        <v>567</v>
      </c>
      <c r="CW11" s="969" t="s">
        <v>567</v>
      </c>
      <c r="CX11" s="201" t="s">
        <v>567</v>
      </c>
      <c r="CY11" s="201" t="s">
        <v>567</v>
      </c>
      <c r="CZ11" s="201" t="s">
        <v>567</v>
      </c>
      <c r="DA11" s="202" t="s">
        <v>567</v>
      </c>
      <c r="DB11" s="201" t="s">
        <v>567</v>
      </c>
      <c r="DC11" s="201" t="s">
        <v>567</v>
      </c>
      <c r="DD11" s="201" t="s">
        <v>567</v>
      </c>
      <c r="DE11" s="201" t="s">
        <v>567</v>
      </c>
      <c r="DF11" s="202" t="s">
        <v>567</v>
      </c>
      <c r="DG11" s="201" t="s">
        <v>567</v>
      </c>
      <c r="DH11" s="201" t="s">
        <v>567</v>
      </c>
      <c r="DI11" s="201" t="s">
        <v>567</v>
      </c>
      <c r="DJ11" s="201" t="s">
        <v>567</v>
      </c>
      <c r="DK11" s="202" t="s">
        <v>567</v>
      </c>
    </row>
    <row r="12" spans="2:115" x14ac:dyDescent="0.3">
      <c r="B12" s="204">
        <v>1</v>
      </c>
      <c r="C12" s="197">
        <f>'Energy NPV'!$D65</f>
        <v>1.761785888496743</v>
      </c>
      <c r="D12" s="197">
        <f>'Energy margins'!$S$12</f>
        <v>43.75</v>
      </c>
      <c r="E12" s="197">
        <f>C12*D12</f>
        <v>77.078132621732507</v>
      </c>
      <c r="F12" s="197">
        <f>'Margins summary'!$U$14</f>
        <v>330</v>
      </c>
      <c r="G12" s="197">
        <f>E12+F12</f>
        <v>407.07813262173249</v>
      </c>
      <c r="H12" s="197">
        <f>'Margins summary'!$T$20</f>
        <v>5743.7583439999999</v>
      </c>
      <c r="I12" s="918">
        <f>'Energy NPV'!U65</f>
        <v>112.99999999999999</v>
      </c>
      <c r="J12" s="197"/>
      <c r="K12" s="197">
        <f>H12+I12+J12</f>
        <v>5856.7583439999999</v>
      </c>
      <c r="L12" s="197">
        <f t="shared" ref="L12:L27" si="0">E12-K12</f>
        <v>-5779.6802113782669</v>
      </c>
      <c r="M12" s="197">
        <f t="shared" ref="M12:M27" si="1">G12-K12</f>
        <v>-5449.6802113782669</v>
      </c>
      <c r="N12" s="1033">
        <f>E12/((1+$B$4)^(B12-1))</f>
        <v>77.078132621732507</v>
      </c>
      <c r="O12" s="213">
        <f>F12/((1+$B$4)^(B12-1))</f>
        <v>330</v>
      </c>
      <c r="P12" s="213">
        <f>K12/((1+$B$4)^(B12-1))</f>
        <v>5856.7583439999999</v>
      </c>
      <c r="Q12" s="213">
        <f>L12/((1+$B$4)^(B12-1))</f>
        <v>-5779.6802113782669</v>
      </c>
      <c r="R12" s="929">
        <f>M12/((1+$B$4)^(B12-1))</f>
        <v>-5449.6802113782669</v>
      </c>
      <c r="S12" s="196">
        <f>N12</f>
        <v>77.078132621732507</v>
      </c>
      <c r="T12" s="197">
        <f>O12</f>
        <v>330</v>
      </c>
      <c r="U12" s="197">
        <f>P12</f>
        <v>5856.7583439999999</v>
      </c>
      <c r="V12" s="197">
        <f>Q12</f>
        <v>-5779.6802113782669</v>
      </c>
      <c r="W12" s="199">
        <f>R12</f>
        <v>-5449.6802113782669</v>
      </c>
      <c r="Y12" s="204">
        <v>1</v>
      </c>
      <c r="Z12" s="197">
        <f>'Energy NPV'!$D65</f>
        <v>1.761785888496743</v>
      </c>
      <c r="AA12" s="197">
        <f>'Energy margins'!$S$12</f>
        <v>43.75</v>
      </c>
      <c r="AB12" s="197">
        <f>Z12*AA12</f>
        <v>77.078132621732507</v>
      </c>
      <c r="AC12" s="197">
        <f>'Margins summary'!$U$14</f>
        <v>330</v>
      </c>
      <c r="AD12" s="197">
        <f>AB12+AC12</f>
        <v>407.07813262173249</v>
      </c>
      <c r="AE12" s="197">
        <f>'Margins summary'!$T$20</f>
        <v>5743.7583439999999</v>
      </c>
      <c r="AF12" s="918">
        <f>'Energy NPV'!U65</f>
        <v>112.99999999999999</v>
      </c>
      <c r="AG12" s="197"/>
      <c r="AH12" s="197">
        <f>AE12+AF12+AG12</f>
        <v>5856.7583439999999</v>
      </c>
      <c r="AI12" s="197">
        <f t="shared" ref="AI12:AI27" si="2">AB12-AH12</f>
        <v>-5779.6802113782669</v>
      </c>
      <c r="AJ12" s="197">
        <f t="shared" ref="AJ12:AJ27" si="3">AD12-AH12</f>
        <v>-5449.6802113782669</v>
      </c>
      <c r="AK12" s="1033">
        <f>AB12/((1+$C$4)^(Y12-1))</f>
        <v>77.078132621732507</v>
      </c>
      <c r="AL12" s="213">
        <f>AC12/((1+$C$4)^(Y12-1))</f>
        <v>330</v>
      </c>
      <c r="AM12" s="213">
        <f>AH12/((1+$C$4)^(Y12-1))</f>
        <v>5856.7583439999999</v>
      </c>
      <c r="AN12" s="213">
        <f>AI12/((1+$C$4)^(Y12-1))</f>
        <v>-5779.6802113782669</v>
      </c>
      <c r="AO12" s="929">
        <f>AJ12/((1+$C$4)^(Y12-1))</f>
        <v>-5449.6802113782669</v>
      </c>
      <c r="AP12" s="196">
        <f>AK12</f>
        <v>77.078132621732507</v>
      </c>
      <c r="AQ12" s="197">
        <f>AL12</f>
        <v>330</v>
      </c>
      <c r="AR12" s="197">
        <f>AM12</f>
        <v>5856.7583439999999</v>
      </c>
      <c r="AS12" s="197">
        <f>AN12</f>
        <v>-5779.6802113782669</v>
      </c>
      <c r="AT12" s="199">
        <f>AO12</f>
        <v>-5449.6802113782669</v>
      </c>
      <c r="AV12" s="204">
        <v>1</v>
      </c>
      <c r="AW12" s="197">
        <f>'Energy NPV'!$D65</f>
        <v>1.761785888496743</v>
      </c>
      <c r="AX12" s="197">
        <f>'Energy margins'!$S$12</f>
        <v>43.75</v>
      </c>
      <c r="AY12" s="197">
        <f>AW12*AX12</f>
        <v>77.078132621732507</v>
      </c>
      <c r="AZ12" s="197">
        <f>'Margins summary'!$U$14</f>
        <v>330</v>
      </c>
      <c r="BA12" s="197">
        <f>AY12+AZ12</f>
        <v>407.07813262173249</v>
      </c>
      <c r="BB12" s="197">
        <f>'Margins summary'!$T$20</f>
        <v>5743.7583439999999</v>
      </c>
      <c r="BC12" s="918">
        <f>'Energy NPV'!U65</f>
        <v>112.99999999999999</v>
      </c>
      <c r="BD12" s="197"/>
      <c r="BE12" s="197">
        <f>BB12+BC12+BD12</f>
        <v>5856.7583439999999</v>
      </c>
      <c r="BF12" s="197">
        <f t="shared" ref="BF12:BF27" si="4">AY12-BE12</f>
        <v>-5779.6802113782669</v>
      </c>
      <c r="BG12" s="197">
        <f t="shared" ref="BG12:BG27" si="5">BA12-BE12</f>
        <v>-5449.6802113782669</v>
      </c>
      <c r="BH12" s="1033">
        <f>AY12/((1+$D$4)^(AV12-1))</f>
        <v>77.078132621732507</v>
      </c>
      <c r="BI12" s="213">
        <f>AZ12/((1+$D$4)^(AV12-1))</f>
        <v>330</v>
      </c>
      <c r="BJ12" s="213">
        <f>BE12/((1+$D$4)^(AV12-1))</f>
        <v>5856.7583439999999</v>
      </c>
      <c r="BK12" s="213">
        <f>BF12/((1+$D$4)^(AV12-1))</f>
        <v>-5779.6802113782669</v>
      </c>
      <c r="BL12" s="929">
        <f>BG12/((1+$D$4)^(AV12-1))</f>
        <v>-5449.6802113782669</v>
      </c>
      <c r="BM12" s="196">
        <f>BH12</f>
        <v>77.078132621732507</v>
      </c>
      <c r="BN12" s="197">
        <f>BI12</f>
        <v>330</v>
      </c>
      <c r="BO12" s="197">
        <f>BJ12</f>
        <v>5856.7583439999999</v>
      </c>
      <c r="BP12" s="197">
        <f>BK12</f>
        <v>-5779.6802113782669</v>
      </c>
      <c r="BQ12" s="199">
        <f>BL12</f>
        <v>-5449.6802113782669</v>
      </c>
      <c r="BS12" s="204">
        <v>1</v>
      </c>
      <c r="BT12" s="197">
        <f>'Energy NPV'!$D65</f>
        <v>1.761785888496743</v>
      </c>
      <c r="BU12" s="197">
        <f>'Energy margins'!$S$12</f>
        <v>43.75</v>
      </c>
      <c r="BV12" s="197">
        <f>BT12*BU12</f>
        <v>77.078132621732507</v>
      </c>
      <c r="BW12" s="197">
        <f>'Margins summary'!$U$14</f>
        <v>330</v>
      </c>
      <c r="BX12" s="197">
        <f>BV12+BW12</f>
        <v>407.07813262173249</v>
      </c>
      <c r="BY12" s="197">
        <f>'Margins summary'!$T$20</f>
        <v>5743.7583439999999</v>
      </c>
      <c r="BZ12" s="918">
        <f>'Energy NPV'!U65</f>
        <v>112.99999999999999</v>
      </c>
      <c r="CA12" s="197"/>
      <c r="CB12" s="197">
        <f>BY12+BZ12+CA12</f>
        <v>5856.7583439999999</v>
      </c>
      <c r="CC12" s="197">
        <f t="shared" ref="CC12:CC27" si="6">BV12-CB12</f>
        <v>-5779.6802113782669</v>
      </c>
      <c r="CD12" s="197">
        <f t="shared" ref="CD12:CD27" si="7">BX12-CB12</f>
        <v>-5449.6802113782669</v>
      </c>
      <c r="CE12" s="1033">
        <f>BV12/((1+$E$4)^(BS12-1))</f>
        <v>77.078132621732507</v>
      </c>
      <c r="CF12" s="213">
        <f>BW12/((1+$E$4)^(BS12-1))</f>
        <v>330</v>
      </c>
      <c r="CG12" s="213">
        <f>CB12/((1+$E$4)^(BS12-1))</f>
        <v>5856.7583439999999</v>
      </c>
      <c r="CH12" s="213">
        <f>CC12/((1+$E$4)^(BS12-1))</f>
        <v>-5779.6802113782669</v>
      </c>
      <c r="CI12" s="929">
        <f>CD12/((1+$E$4)^(BS12-1))</f>
        <v>-5449.6802113782669</v>
      </c>
      <c r="CJ12" s="196">
        <f>CE12</f>
        <v>77.078132621732507</v>
      </c>
      <c r="CK12" s="197">
        <f>CF12</f>
        <v>330</v>
      </c>
      <c r="CL12" s="197">
        <f>CG12</f>
        <v>5856.7583439999999</v>
      </c>
      <c r="CM12" s="197">
        <f>CH12</f>
        <v>-5779.6802113782669</v>
      </c>
      <c r="CN12" s="199">
        <f>CI12</f>
        <v>-5449.6802113782669</v>
      </c>
      <c r="CP12" s="204">
        <v>1</v>
      </c>
      <c r="CQ12" s="197">
        <f>'Energy NPV'!$D65</f>
        <v>1.761785888496743</v>
      </c>
      <c r="CR12" s="197">
        <f>'Energy margins'!$S$12</f>
        <v>43.75</v>
      </c>
      <c r="CS12" s="197">
        <f>CQ12*CR12</f>
        <v>77.078132621732507</v>
      </c>
      <c r="CT12" s="197">
        <f>'Margins summary'!$U$14</f>
        <v>330</v>
      </c>
      <c r="CU12" s="197">
        <f>CS12+CT12</f>
        <v>407.07813262173249</v>
      </c>
      <c r="CV12" s="197">
        <f>'Margins summary'!$T$20</f>
        <v>5743.7583439999999</v>
      </c>
      <c r="CW12" s="918">
        <f>'Energy NPV'!U65</f>
        <v>112.99999999999999</v>
      </c>
      <c r="CX12" s="197"/>
      <c r="CY12" s="197">
        <f>CV12+CW12+CX12</f>
        <v>5856.7583439999999</v>
      </c>
      <c r="CZ12" s="197">
        <f t="shared" ref="CZ12:CZ27" si="8">CS12-CY12</f>
        <v>-5779.6802113782669</v>
      </c>
      <c r="DA12" s="197">
        <f t="shared" ref="DA12:DA27" si="9">CU12-CY12</f>
        <v>-5449.6802113782669</v>
      </c>
      <c r="DB12" s="1033">
        <f>CS12/((1+$F$4)^(CP12-1))</f>
        <v>77.078132621732507</v>
      </c>
      <c r="DC12" s="213">
        <f>CT12/((1+$F$4)^(CP12-1))</f>
        <v>330</v>
      </c>
      <c r="DD12" s="213">
        <f>CY12/((1+$F$4)^(CP12-1))</f>
        <v>5856.7583439999999</v>
      </c>
      <c r="DE12" s="213">
        <f>CZ12/((1+$F$4)^(CP12-1))</f>
        <v>-5779.6802113782669</v>
      </c>
      <c r="DF12" s="929">
        <f>DA12/((1+$F$4)^(CP12-1))</f>
        <v>-5449.6802113782669</v>
      </c>
      <c r="DG12" s="196">
        <f>DB12</f>
        <v>77.078132621732507</v>
      </c>
      <c r="DH12" s="197">
        <f>DC12</f>
        <v>330</v>
      </c>
      <c r="DI12" s="197">
        <f>DD12</f>
        <v>5856.7583439999999</v>
      </c>
      <c r="DJ12" s="197">
        <f>DE12</f>
        <v>-5779.6802113782669</v>
      </c>
      <c r="DK12" s="199">
        <f>DF12</f>
        <v>-5449.6802113782669</v>
      </c>
    </row>
    <row r="13" spans="2:115" x14ac:dyDescent="0.3">
      <c r="B13" s="204">
        <v>2</v>
      </c>
      <c r="C13" s="197">
        <f>'Energy NPV'!$D66</f>
        <v>7.1188775071016606</v>
      </c>
      <c r="D13" s="197">
        <f>'Energy margins'!$S$12</f>
        <v>43.75</v>
      </c>
      <c r="E13" s="197">
        <f t="shared" ref="E13:E27" si="10">C13*D13</f>
        <v>311.45089093569766</v>
      </c>
      <c r="F13" s="197">
        <f>'Margins summary'!$U$14</f>
        <v>330</v>
      </c>
      <c r="G13" s="197">
        <f t="shared" ref="G13:G27" si="11">E13+F13</f>
        <v>641.45089093569766</v>
      </c>
      <c r="H13" s="197"/>
      <c r="I13" s="918">
        <f>'Energy NPV'!U66</f>
        <v>497.93314399999997</v>
      </c>
      <c r="J13" s="197"/>
      <c r="K13" s="197">
        <f t="shared" ref="K13:K27" si="12">H13+I13+J13</f>
        <v>497.93314399999997</v>
      </c>
      <c r="L13" s="197">
        <f t="shared" si="0"/>
        <v>-186.48225306430231</v>
      </c>
      <c r="M13" s="197">
        <f t="shared" si="1"/>
        <v>143.51774693569769</v>
      </c>
      <c r="N13" s="196">
        <f t="shared" ref="N13:N27" si="13">E13/((1+$B$4)^(B13-1))</f>
        <v>302.37950576281327</v>
      </c>
      <c r="O13" s="197">
        <f t="shared" ref="O13:O27" si="14">F13/((1+$B$4)^(B13-1))</f>
        <v>320.38834951456312</v>
      </c>
      <c r="P13" s="197">
        <f t="shared" ref="P13:P27" si="15">K13/((1+$B$4)^(B13-1))</f>
        <v>483.43023689320387</v>
      </c>
      <c r="Q13" s="197">
        <f t="shared" ref="Q13:Q27" si="16">L13/((1+$B$4)^(B13-1))</f>
        <v>-181.0507311303906</v>
      </c>
      <c r="R13" s="199">
        <f t="shared" ref="R13:R27" si="17">M13/((1+$B$4)^(B13-1))</f>
        <v>139.33761838417252</v>
      </c>
      <c r="S13" s="196">
        <f>S12+N13</f>
        <v>379.45763838454576</v>
      </c>
      <c r="T13" s="197">
        <f t="shared" ref="T13:W27" si="18">T12+O13</f>
        <v>650.38834951456306</v>
      </c>
      <c r="U13" s="197">
        <f t="shared" si="18"/>
        <v>6340.1885808932038</v>
      </c>
      <c r="V13" s="197">
        <f t="shared" si="18"/>
        <v>-5960.7309425086578</v>
      </c>
      <c r="W13" s="199">
        <f t="shared" si="18"/>
        <v>-5310.342592994094</v>
      </c>
      <c r="Y13" s="204">
        <v>2</v>
      </c>
      <c r="Z13" s="197">
        <f>'Energy NPV'!$D66</f>
        <v>7.1188775071016606</v>
      </c>
      <c r="AA13" s="197">
        <f>'Energy margins'!$S$12</f>
        <v>43.75</v>
      </c>
      <c r="AB13" s="197">
        <f t="shared" ref="AB13:AB26" si="19">Z13*AA13</f>
        <v>311.45089093569766</v>
      </c>
      <c r="AC13" s="197">
        <f>'Margins summary'!$U$14</f>
        <v>330</v>
      </c>
      <c r="AD13" s="197">
        <f t="shared" ref="AD13:AD27" si="20">AB13+AC13</f>
        <v>641.45089093569766</v>
      </c>
      <c r="AE13" s="197"/>
      <c r="AF13" s="918">
        <f>'Energy NPV'!U66</f>
        <v>497.93314399999997</v>
      </c>
      <c r="AG13" s="197"/>
      <c r="AH13" s="197">
        <f t="shared" ref="AH13:AH27" si="21">AE13+AF13+AG13</f>
        <v>497.93314399999997</v>
      </c>
      <c r="AI13" s="197">
        <f t="shared" si="2"/>
        <v>-186.48225306430231</v>
      </c>
      <c r="AJ13" s="197">
        <f t="shared" si="3"/>
        <v>143.51774693569769</v>
      </c>
      <c r="AK13" s="196">
        <f t="shared" ref="AK13:AK27" si="22">AB13/((1+$C$4)^(Y13-1))</f>
        <v>298.03913008200738</v>
      </c>
      <c r="AL13" s="197">
        <f t="shared" ref="AL13:AL27" si="23">AC13/((1+$C$4)^(Y13-1))</f>
        <v>315.78947368421052</v>
      </c>
      <c r="AM13" s="197">
        <f t="shared" ref="AM13:AM27" si="24">AH13/((1+$C$4)^(Y13-1))</f>
        <v>476.49104688995214</v>
      </c>
      <c r="AN13" s="197">
        <f t="shared" ref="AN13:AN27" si="25">AI13/((1+$C$4)^(Y13-1))</f>
        <v>-178.4519168079448</v>
      </c>
      <c r="AO13" s="199">
        <f t="shared" ref="AO13:AO27" si="26">AJ13/((1+$C$4)^(Y13-1))</f>
        <v>137.33755687626575</v>
      </c>
      <c r="AP13" s="196">
        <f>AP12+AK13</f>
        <v>375.11726270373987</v>
      </c>
      <c r="AQ13" s="197">
        <f t="shared" ref="AQ13:AT27" si="27">AQ12+AL13</f>
        <v>645.78947368421052</v>
      </c>
      <c r="AR13" s="197">
        <f t="shared" si="27"/>
        <v>6333.2493908899523</v>
      </c>
      <c r="AS13" s="197">
        <f t="shared" si="27"/>
        <v>-5958.132128186212</v>
      </c>
      <c r="AT13" s="199">
        <f t="shared" si="27"/>
        <v>-5312.3426545020011</v>
      </c>
      <c r="AV13" s="204">
        <v>2</v>
      </c>
      <c r="AW13" s="197">
        <f>'Energy NPV'!$D66</f>
        <v>7.1188775071016606</v>
      </c>
      <c r="AX13" s="197">
        <f>'Energy margins'!$S$12</f>
        <v>43.75</v>
      </c>
      <c r="AY13" s="197">
        <f t="shared" ref="AY13:AY27" si="28">AW13*AX13</f>
        <v>311.45089093569766</v>
      </c>
      <c r="AZ13" s="197">
        <f>'Margins summary'!$U$14</f>
        <v>330</v>
      </c>
      <c r="BA13" s="197">
        <f t="shared" ref="BA13:BA27" si="29">AY13+AZ13</f>
        <v>641.45089093569766</v>
      </c>
      <c r="BB13" s="197"/>
      <c r="BC13" s="918">
        <f>'Energy NPV'!U66</f>
        <v>497.93314399999997</v>
      </c>
      <c r="BD13" s="197"/>
      <c r="BE13" s="197">
        <f t="shared" ref="BE13:BE27" si="30">BB13+BC13+BD13</f>
        <v>497.93314399999997</v>
      </c>
      <c r="BF13" s="197">
        <f t="shared" si="4"/>
        <v>-186.48225306430231</v>
      </c>
      <c r="BG13" s="197">
        <f t="shared" si="5"/>
        <v>143.51774693569769</v>
      </c>
      <c r="BH13" s="196">
        <f t="shared" ref="BH13:BH27" si="31">AY13/((1+$D$4)^(AV13-1))</f>
        <v>306.84816840955438</v>
      </c>
      <c r="BI13" s="197">
        <f t="shared" ref="BI13:BI27" si="32">AZ13/((1+$D$4)^(AV13-1))</f>
        <v>325.12315270935966</v>
      </c>
      <c r="BJ13" s="197">
        <f t="shared" ref="BJ13:BJ27" si="33">BE13/((1+$D$4)^(AV13-1))</f>
        <v>490.57452610837441</v>
      </c>
      <c r="BK13" s="197">
        <f t="shared" ref="BK13:BK27" si="34">BF13/((1+$D$4)^(AV13-1))</f>
        <v>-183.72635769882004</v>
      </c>
      <c r="BL13" s="199">
        <f t="shared" ref="BL13:BL27" si="35">BG13/((1+$D$4)^(AV13-1))</f>
        <v>141.39679501053962</v>
      </c>
      <c r="BM13" s="196">
        <f>BM12+BH13</f>
        <v>383.92630103128687</v>
      </c>
      <c r="BN13" s="197">
        <f t="shared" ref="BN13:BQ27" si="36">BN12+BI13</f>
        <v>655.1231527093596</v>
      </c>
      <c r="BO13" s="197">
        <f t="shared" si="36"/>
        <v>6347.3328701083747</v>
      </c>
      <c r="BP13" s="197">
        <f t="shared" si="36"/>
        <v>-5963.4065690770867</v>
      </c>
      <c r="BQ13" s="199">
        <f t="shared" si="36"/>
        <v>-5308.2834163677271</v>
      </c>
      <c r="BS13" s="204">
        <v>2</v>
      </c>
      <c r="BT13" s="197">
        <f>'Energy NPV'!$D66</f>
        <v>7.1188775071016606</v>
      </c>
      <c r="BU13" s="197">
        <f>'Energy margins'!$S$12</f>
        <v>43.75</v>
      </c>
      <c r="BV13" s="197">
        <f t="shared" ref="BV13:BV27" si="37">BT13*BU13</f>
        <v>311.45089093569766</v>
      </c>
      <c r="BW13" s="197">
        <f>'Margins summary'!$U$14</f>
        <v>330</v>
      </c>
      <c r="BX13" s="197">
        <f t="shared" ref="BX13:BX27" si="38">BV13+BW13</f>
        <v>641.45089093569766</v>
      </c>
      <c r="BY13" s="197"/>
      <c r="BZ13" s="918">
        <f>'Energy NPV'!U66</f>
        <v>497.93314399999997</v>
      </c>
      <c r="CA13" s="197"/>
      <c r="CB13" s="197">
        <f t="shared" ref="CB13:CB27" si="39">BY13+BZ13+CA13</f>
        <v>497.93314399999997</v>
      </c>
      <c r="CC13" s="197">
        <f t="shared" si="6"/>
        <v>-186.48225306430231</v>
      </c>
      <c r="CD13" s="197">
        <f t="shared" si="7"/>
        <v>143.51774693569769</v>
      </c>
      <c r="CE13" s="196">
        <f t="shared" ref="CE13:CE27" si="40">BV13/((1+$E$4)^(BS13-1))</f>
        <v>293.82159522235628</v>
      </c>
      <c r="CF13" s="197">
        <f t="shared" ref="CF13:CF27" si="41">BW13/((1+$E$4)^(BS13-1))</f>
        <v>311.32075471698113</v>
      </c>
      <c r="CG13" s="197">
        <f t="shared" ref="CG13:CG27" si="42">CB13/((1+$E$4)^(BS13-1))</f>
        <v>469.7482490566037</v>
      </c>
      <c r="CH13" s="197">
        <f t="shared" ref="CH13:CH27" si="43">CC13/((1+$E$4)^(BS13-1))</f>
        <v>-175.92665383424745</v>
      </c>
      <c r="CI13" s="199">
        <f t="shared" ref="CI13:CI27" si="44">CD13/((1+$E$4)^(BS13-1))</f>
        <v>135.39410088273365</v>
      </c>
      <c r="CJ13" s="196">
        <f>CJ12+CE13</f>
        <v>370.89972784408877</v>
      </c>
      <c r="CK13" s="197">
        <f t="shared" ref="CK13:CK27" si="45">CK12+CF13</f>
        <v>641.32075471698113</v>
      </c>
      <c r="CL13" s="197">
        <f t="shared" ref="CL13:CL27" si="46">CL12+CG13</f>
        <v>6326.5065930566034</v>
      </c>
      <c r="CM13" s="197">
        <f t="shared" ref="CM13:CM27" si="47">CM12+CH13</f>
        <v>-5955.6068652125141</v>
      </c>
      <c r="CN13" s="199">
        <f t="shared" ref="CN13:CN27" si="48">CN12+CI13</f>
        <v>-5314.2861104955336</v>
      </c>
      <c r="CP13" s="204">
        <f>CP12+1</f>
        <v>2</v>
      </c>
      <c r="CQ13" s="197">
        <f>'Energy NPV'!$D66</f>
        <v>7.1188775071016606</v>
      </c>
      <c r="CR13" s="197">
        <f>'Energy margins'!$S$12</f>
        <v>43.75</v>
      </c>
      <c r="CS13" s="197">
        <f t="shared" ref="CS13:CS27" si="49">CQ13*CR13</f>
        <v>311.45089093569766</v>
      </c>
      <c r="CT13" s="197">
        <f>'Margins summary'!$U$14</f>
        <v>330</v>
      </c>
      <c r="CU13" s="197">
        <f t="shared" ref="CU13:CU27" si="50">CS13+CT13</f>
        <v>641.45089093569766</v>
      </c>
      <c r="CV13" s="197"/>
      <c r="CW13" s="918">
        <f>'Energy NPV'!U66</f>
        <v>497.93314399999997</v>
      </c>
      <c r="CX13" s="197"/>
      <c r="CY13" s="197">
        <f t="shared" ref="CY13:CY27" si="51">CV13+CW13+CX13</f>
        <v>497.93314399999997</v>
      </c>
      <c r="CZ13" s="197">
        <f t="shared" si="8"/>
        <v>-186.48225306430231</v>
      </c>
      <c r="DA13" s="197">
        <f t="shared" si="9"/>
        <v>143.51774693569769</v>
      </c>
      <c r="DB13" s="196">
        <f t="shared" ref="DB13:DB27" si="52">CS13/((1+$F$4)^(CP13-1))</f>
        <v>311.45089093569766</v>
      </c>
      <c r="DC13" s="197">
        <f t="shared" ref="DC13:DC27" si="53">CT13/((1+$F$4)^(CP13-1))</f>
        <v>330</v>
      </c>
      <c r="DD13" s="197">
        <f t="shared" ref="DD13:DD27" si="54">CY13/((1+$F$4)^(CP13-1))</f>
        <v>497.93314399999997</v>
      </c>
      <c r="DE13" s="197">
        <f t="shared" ref="DE13:DE27" si="55">CZ13/((1+$F$4)^(CP13-1))</f>
        <v>-186.48225306430231</v>
      </c>
      <c r="DF13" s="199">
        <f t="shared" ref="DF13:DF27" si="56">DA13/((1+$F$4)^(CP13-1))</f>
        <v>143.51774693569769</v>
      </c>
      <c r="DG13" s="196">
        <f>DG12+DB13</f>
        <v>388.52902355743015</v>
      </c>
      <c r="DH13" s="197">
        <f t="shared" ref="DH13:DH27" si="57">DH12+DC13</f>
        <v>660</v>
      </c>
      <c r="DI13" s="197">
        <f t="shared" ref="DI13:DI27" si="58">DI12+DD13</f>
        <v>6354.6914879999995</v>
      </c>
      <c r="DJ13" s="197">
        <f t="shared" ref="DJ13:DJ27" si="59">DJ12+DE13</f>
        <v>-5966.1624644425692</v>
      </c>
      <c r="DK13" s="199">
        <f t="shared" ref="DK13:DK27" si="60">DK12+DF13</f>
        <v>-5306.1624644425692</v>
      </c>
    </row>
    <row r="14" spans="2:115" x14ac:dyDescent="0.3">
      <c r="B14" s="204">
        <f t="shared" ref="B14:B27" si="61">B13+1</f>
        <v>3</v>
      </c>
      <c r="C14" s="197">
        <f>'Energy NPV'!$D67</f>
        <v>9.4057559323979216</v>
      </c>
      <c r="D14" s="197">
        <f>'Energy margins'!$S$12</f>
        <v>43.75</v>
      </c>
      <c r="E14" s="197">
        <f t="shared" si="10"/>
        <v>411.50182204240906</v>
      </c>
      <c r="F14" s="197">
        <f>'Margins summary'!$U$14</f>
        <v>330</v>
      </c>
      <c r="G14" s="197">
        <f t="shared" si="11"/>
        <v>741.501822042409</v>
      </c>
      <c r="H14" s="197"/>
      <c r="I14" s="918">
        <f>'Energy NPV'!U67</f>
        <v>497.93314399999997</v>
      </c>
      <c r="J14" s="197"/>
      <c r="K14" s="197">
        <f t="shared" si="12"/>
        <v>497.93314399999997</v>
      </c>
      <c r="L14" s="197">
        <f t="shared" si="0"/>
        <v>-86.43132195759091</v>
      </c>
      <c r="M14" s="197">
        <f t="shared" si="1"/>
        <v>243.56867804240903</v>
      </c>
      <c r="N14" s="196">
        <f t="shared" si="13"/>
        <v>387.87993405826097</v>
      </c>
      <c r="O14" s="197">
        <f t="shared" si="14"/>
        <v>311.05665001413894</v>
      </c>
      <c r="P14" s="197">
        <f t="shared" si="15"/>
        <v>469.3497445565086</v>
      </c>
      <c r="Q14" s="197">
        <f t="shared" si="16"/>
        <v>-81.469810498247639</v>
      </c>
      <c r="R14" s="199">
        <f t="shared" si="17"/>
        <v>229.58683951589126</v>
      </c>
      <c r="S14" s="196">
        <f t="shared" ref="S14:S27" si="62">S13+N14</f>
        <v>767.33757244280673</v>
      </c>
      <c r="T14" s="197">
        <f t="shared" si="18"/>
        <v>961.44499952870206</v>
      </c>
      <c r="U14" s="197">
        <f t="shared" si="18"/>
        <v>6809.5383254497128</v>
      </c>
      <c r="V14" s="197">
        <f t="shared" si="18"/>
        <v>-6042.2007530069059</v>
      </c>
      <c r="W14" s="199">
        <f t="shared" si="18"/>
        <v>-5080.7557534782027</v>
      </c>
      <c r="Y14" s="204">
        <f t="shared" ref="Y14:Y27" si="63">Y13+1</f>
        <v>3</v>
      </c>
      <c r="Z14" s="197">
        <f>'Energy NPV'!$D67</f>
        <v>9.4057559323979216</v>
      </c>
      <c r="AA14" s="197">
        <f>'Energy margins'!$S$12</f>
        <v>43.75</v>
      </c>
      <c r="AB14" s="197">
        <f t="shared" si="19"/>
        <v>411.50182204240906</v>
      </c>
      <c r="AC14" s="197">
        <f>'Margins summary'!$U$14</f>
        <v>330</v>
      </c>
      <c r="AD14" s="197">
        <f t="shared" si="20"/>
        <v>741.501822042409</v>
      </c>
      <c r="AE14" s="197"/>
      <c r="AF14" s="918">
        <f>'Energy NPV'!U67</f>
        <v>497.93314399999997</v>
      </c>
      <c r="AG14" s="197"/>
      <c r="AH14" s="197">
        <f t="shared" si="21"/>
        <v>497.93314399999997</v>
      </c>
      <c r="AI14" s="197">
        <f t="shared" si="2"/>
        <v>-86.43132195759091</v>
      </c>
      <c r="AJ14" s="197">
        <f t="shared" si="3"/>
        <v>243.56867804240903</v>
      </c>
      <c r="AK14" s="196">
        <f t="shared" si="22"/>
        <v>376.82454343298838</v>
      </c>
      <c r="AL14" s="197">
        <f t="shared" si="23"/>
        <v>302.19088390833548</v>
      </c>
      <c r="AM14" s="197">
        <f t="shared" si="24"/>
        <v>455.97229367459539</v>
      </c>
      <c r="AN14" s="197">
        <f t="shared" si="25"/>
        <v>-79.147750241607042</v>
      </c>
      <c r="AO14" s="199">
        <f t="shared" si="26"/>
        <v>223.04313366672841</v>
      </c>
      <c r="AP14" s="196">
        <f t="shared" ref="AP14:AP27" si="64">AP13+AK14</f>
        <v>751.94180613672825</v>
      </c>
      <c r="AQ14" s="197">
        <f t="shared" si="27"/>
        <v>947.98035759254594</v>
      </c>
      <c r="AR14" s="197">
        <f t="shared" si="27"/>
        <v>6789.221684564548</v>
      </c>
      <c r="AS14" s="197">
        <f t="shared" si="27"/>
        <v>-6037.2798784278193</v>
      </c>
      <c r="AT14" s="199">
        <f t="shared" si="27"/>
        <v>-5089.2995208352731</v>
      </c>
      <c r="AV14" s="204">
        <f t="shared" ref="AV14:AV27" si="65">AV13+1</f>
        <v>3</v>
      </c>
      <c r="AW14" s="197">
        <f>'Energy NPV'!$D67</f>
        <v>9.4057559323979216</v>
      </c>
      <c r="AX14" s="197">
        <f>'Energy margins'!$S$12</f>
        <v>43.75</v>
      </c>
      <c r="AY14" s="197">
        <f t="shared" si="28"/>
        <v>411.50182204240906</v>
      </c>
      <c r="AZ14" s="197">
        <f>'Margins summary'!$U$14</f>
        <v>330</v>
      </c>
      <c r="BA14" s="197">
        <f t="shared" si="29"/>
        <v>741.501822042409</v>
      </c>
      <c r="BB14" s="197"/>
      <c r="BC14" s="918">
        <f>'Energy NPV'!U67</f>
        <v>497.93314399999997</v>
      </c>
      <c r="BD14" s="197"/>
      <c r="BE14" s="197">
        <f t="shared" si="30"/>
        <v>497.93314399999997</v>
      </c>
      <c r="BF14" s="197">
        <f t="shared" si="4"/>
        <v>-86.43132195759091</v>
      </c>
      <c r="BG14" s="197">
        <f t="shared" si="5"/>
        <v>243.56867804240903</v>
      </c>
      <c r="BH14" s="196">
        <f t="shared" si="31"/>
        <v>399.42907815516918</v>
      </c>
      <c r="BI14" s="197">
        <f t="shared" si="32"/>
        <v>320.31837705355633</v>
      </c>
      <c r="BJ14" s="197">
        <f t="shared" si="33"/>
        <v>483.32465626440836</v>
      </c>
      <c r="BK14" s="197">
        <f t="shared" si="34"/>
        <v>-83.895578109239182</v>
      </c>
      <c r="BL14" s="199">
        <f t="shared" si="35"/>
        <v>236.42279894431712</v>
      </c>
      <c r="BM14" s="196">
        <f t="shared" ref="BM14:BM27" si="66">BM13+BH14</f>
        <v>783.35537918645605</v>
      </c>
      <c r="BN14" s="197">
        <f t="shared" si="36"/>
        <v>975.44152976291593</v>
      </c>
      <c r="BO14" s="197">
        <f t="shared" si="36"/>
        <v>6830.6575263727827</v>
      </c>
      <c r="BP14" s="197">
        <f t="shared" si="36"/>
        <v>-6047.3021471863258</v>
      </c>
      <c r="BQ14" s="199">
        <f t="shared" si="36"/>
        <v>-5071.8606174234101</v>
      </c>
      <c r="BS14" s="204">
        <f t="shared" ref="BS14:BS27" si="67">BS13+1</f>
        <v>3</v>
      </c>
      <c r="BT14" s="197">
        <f>'Energy NPV'!$D67</f>
        <v>9.4057559323979216</v>
      </c>
      <c r="BU14" s="197">
        <f>'Energy margins'!$S$12</f>
        <v>43.75</v>
      </c>
      <c r="BV14" s="197">
        <f t="shared" si="37"/>
        <v>411.50182204240906</v>
      </c>
      <c r="BW14" s="197">
        <f>'Margins summary'!$U$14</f>
        <v>330</v>
      </c>
      <c r="BX14" s="197">
        <f t="shared" si="38"/>
        <v>741.501822042409</v>
      </c>
      <c r="BY14" s="197"/>
      <c r="BZ14" s="918">
        <f>'Energy NPV'!U67</f>
        <v>497.93314399999997</v>
      </c>
      <c r="CA14" s="197"/>
      <c r="CB14" s="197">
        <f t="shared" si="39"/>
        <v>497.93314399999997</v>
      </c>
      <c r="CC14" s="197">
        <f t="shared" si="6"/>
        <v>-86.43132195759091</v>
      </c>
      <c r="CD14" s="197">
        <f t="shared" si="7"/>
        <v>243.56867804240903</v>
      </c>
      <c r="CE14" s="196">
        <f t="shared" si="40"/>
        <v>366.23515667711729</v>
      </c>
      <c r="CF14" s="197">
        <f t="shared" si="41"/>
        <v>293.69882520469912</v>
      </c>
      <c r="CG14" s="197">
        <f t="shared" si="42"/>
        <v>443.15872552509779</v>
      </c>
      <c r="CH14" s="197">
        <f t="shared" si="43"/>
        <v>-76.923568847980505</v>
      </c>
      <c r="CI14" s="199">
        <f t="shared" si="44"/>
        <v>216.77525635671859</v>
      </c>
      <c r="CJ14" s="196">
        <f t="shared" ref="CJ14:CJ27" si="68">CJ13+CE14</f>
        <v>737.134884521206</v>
      </c>
      <c r="CK14" s="197">
        <f t="shared" si="45"/>
        <v>935.01957992168025</v>
      </c>
      <c r="CL14" s="197">
        <f t="shared" si="46"/>
        <v>6769.6653185817013</v>
      </c>
      <c r="CM14" s="197">
        <f t="shared" si="47"/>
        <v>-6032.5304340604944</v>
      </c>
      <c r="CN14" s="199">
        <f t="shared" si="48"/>
        <v>-5097.5108541388154</v>
      </c>
      <c r="CP14" s="204">
        <f t="shared" ref="CP14:CP27" si="69">CP13+1</f>
        <v>3</v>
      </c>
      <c r="CQ14" s="197">
        <f>'Energy NPV'!$D67</f>
        <v>9.4057559323979216</v>
      </c>
      <c r="CR14" s="197">
        <f>'Energy margins'!$S$12</f>
        <v>43.75</v>
      </c>
      <c r="CS14" s="197">
        <f t="shared" si="49"/>
        <v>411.50182204240906</v>
      </c>
      <c r="CT14" s="197">
        <f>'Margins summary'!$U$14</f>
        <v>330</v>
      </c>
      <c r="CU14" s="197">
        <f t="shared" si="50"/>
        <v>741.501822042409</v>
      </c>
      <c r="CV14" s="197"/>
      <c r="CW14" s="918">
        <f>'Energy NPV'!U67</f>
        <v>497.93314399999997</v>
      </c>
      <c r="CX14" s="197"/>
      <c r="CY14" s="197">
        <f t="shared" si="51"/>
        <v>497.93314399999997</v>
      </c>
      <c r="CZ14" s="197">
        <f t="shared" si="8"/>
        <v>-86.43132195759091</v>
      </c>
      <c r="DA14" s="197">
        <f t="shared" si="9"/>
        <v>243.56867804240903</v>
      </c>
      <c r="DB14" s="196">
        <f t="shared" si="52"/>
        <v>411.50182204240906</v>
      </c>
      <c r="DC14" s="197">
        <f t="shared" si="53"/>
        <v>330</v>
      </c>
      <c r="DD14" s="197">
        <f t="shared" si="54"/>
        <v>497.93314399999997</v>
      </c>
      <c r="DE14" s="197">
        <f t="shared" si="55"/>
        <v>-86.43132195759091</v>
      </c>
      <c r="DF14" s="199">
        <f t="shared" si="56"/>
        <v>243.56867804240903</v>
      </c>
      <c r="DG14" s="196">
        <f t="shared" ref="DG14:DG27" si="70">DG13+DB14</f>
        <v>800.03084559983927</v>
      </c>
      <c r="DH14" s="197">
        <f t="shared" si="57"/>
        <v>990</v>
      </c>
      <c r="DI14" s="197">
        <f t="shared" si="58"/>
        <v>6852.6246319999991</v>
      </c>
      <c r="DJ14" s="197">
        <f t="shared" si="59"/>
        <v>-6052.5937864001598</v>
      </c>
      <c r="DK14" s="199">
        <f t="shared" si="60"/>
        <v>-5062.5937864001598</v>
      </c>
    </row>
    <row r="15" spans="2:115" x14ac:dyDescent="0.3">
      <c r="B15" s="204">
        <f t="shared" si="61"/>
        <v>4</v>
      </c>
      <c r="C15" s="225">
        <f>'Energy NPV'!$D68</f>
        <v>10</v>
      </c>
      <c r="D15" s="197">
        <f>'Energy margins'!$S$12</f>
        <v>43.75</v>
      </c>
      <c r="E15" s="197">
        <f t="shared" si="10"/>
        <v>437.5</v>
      </c>
      <c r="F15" s="197">
        <f>'Margins summary'!$U$14</f>
        <v>330</v>
      </c>
      <c r="G15" s="197">
        <f t="shared" si="11"/>
        <v>767.5</v>
      </c>
      <c r="H15" s="197"/>
      <c r="I15" s="918">
        <f>'Energy NPV'!U68</f>
        <v>316.00314399999996</v>
      </c>
      <c r="J15" s="197"/>
      <c r="K15" s="197">
        <f t="shared" si="12"/>
        <v>316.00314399999996</v>
      </c>
      <c r="L15" s="197">
        <f t="shared" si="0"/>
        <v>121.49685600000004</v>
      </c>
      <c r="M15" s="197">
        <f t="shared" si="1"/>
        <v>451.49685600000004</v>
      </c>
      <c r="N15" s="196">
        <f t="shared" si="13"/>
        <v>400.3744759670073</v>
      </c>
      <c r="O15" s="197">
        <f t="shared" si="14"/>
        <v>301.99674758654265</v>
      </c>
      <c r="P15" s="197">
        <f t="shared" si="15"/>
        <v>289.18764156097541</v>
      </c>
      <c r="Q15" s="197">
        <f t="shared" si="16"/>
        <v>111.18683440603192</v>
      </c>
      <c r="R15" s="199">
        <f t="shared" si="17"/>
        <v>413.18358199257455</v>
      </c>
      <c r="S15" s="196">
        <f t="shared" si="62"/>
        <v>1167.7120484098141</v>
      </c>
      <c r="T15" s="197">
        <f t="shared" si="18"/>
        <v>1263.4417471152447</v>
      </c>
      <c r="U15" s="197">
        <f t="shared" si="18"/>
        <v>7098.7259670106887</v>
      </c>
      <c r="V15" s="197">
        <f t="shared" si="18"/>
        <v>-5931.0139186008737</v>
      </c>
      <c r="W15" s="199">
        <f t="shared" si="18"/>
        <v>-4667.5721714856281</v>
      </c>
      <c r="Y15" s="204">
        <f t="shared" si="63"/>
        <v>4</v>
      </c>
      <c r="Z15" s="225">
        <f>'Energy NPV'!$D68</f>
        <v>10</v>
      </c>
      <c r="AA15" s="197">
        <f>'Energy margins'!$S$12</f>
        <v>43.75</v>
      </c>
      <c r="AB15" s="197">
        <f t="shared" si="19"/>
        <v>437.5</v>
      </c>
      <c r="AC15" s="197">
        <f>'Margins summary'!$U$14</f>
        <v>330</v>
      </c>
      <c r="AD15" s="197">
        <f t="shared" si="20"/>
        <v>767.5</v>
      </c>
      <c r="AE15" s="197"/>
      <c r="AF15" s="918">
        <f>'Energy NPV'!U68</f>
        <v>316.00314399999996</v>
      </c>
      <c r="AG15" s="197"/>
      <c r="AH15" s="197">
        <f t="shared" si="21"/>
        <v>316.00314399999996</v>
      </c>
      <c r="AI15" s="197">
        <f t="shared" si="2"/>
        <v>121.49685600000004</v>
      </c>
      <c r="AJ15" s="197">
        <f t="shared" si="3"/>
        <v>451.49685600000004</v>
      </c>
      <c r="AK15" s="196">
        <f t="shared" si="22"/>
        <v>383.37976427402282</v>
      </c>
      <c r="AL15" s="197">
        <f t="shared" si="23"/>
        <v>289.17787933812008</v>
      </c>
      <c r="AM15" s="197">
        <f t="shared" si="24"/>
        <v>276.91248195787449</v>
      </c>
      <c r="AN15" s="197">
        <f t="shared" si="25"/>
        <v>106.46728231614837</v>
      </c>
      <c r="AO15" s="199">
        <f t="shared" si="26"/>
        <v>395.64516165426846</v>
      </c>
      <c r="AP15" s="196">
        <f t="shared" si="64"/>
        <v>1135.3215704107511</v>
      </c>
      <c r="AQ15" s="197">
        <f t="shared" si="27"/>
        <v>1237.1582369306661</v>
      </c>
      <c r="AR15" s="197">
        <f t="shared" si="27"/>
        <v>7066.1341665224227</v>
      </c>
      <c r="AS15" s="197">
        <f t="shared" si="27"/>
        <v>-5930.8125961116712</v>
      </c>
      <c r="AT15" s="199">
        <f t="shared" si="27"/>
        <v>-4693.654359181005</v>
      </c>
      <c r="AV15" s="204">
        <f t="shared" si="65"/>
        <v>4</v>
      </c>
      <c r="AW15" s="225">
        <f>'Energy NPV'!$D68</f>
        <v>10</v>
      </c>
      <c r="AX15" s="197">
        <f>'Energy margins'!$S$12</f>
        <v>43.75</v>
      </c>
      <c r="AY15" s="197">
        <f t="shared" si="28"/>
        <v>437.5</v>
      </c>
      <c r="AZ15" s="197">
        <f>'Margins summary'!$U$14</f>
        <v>330</v>
      </c>
      <c r="BA15" s="197">
        <f t="shared" si="29"/>
        <v>767.5</v>
      </c>
      <c r="BB15" s="197"/>
      <c r="BC15" s="918">
        <f>'Energy NPV'!U68</f>
        <v>316.00314399999996</v>
      </c>
      <c r="BD15" s="197"/>
      <c r="BE15" s="197">
        <f t="shared" si="30"/>
        <v>316.00314399999996</v>
      </c>
      <c r="BF15" s="197">
        <f t="shared" si="4"/>
        <v>121.49685600000004</v>
      </c>
      <c r="BG15" s="197">
        <f t="shared" si="5"/>
        <v>451.49685600000004</v>
      </c>
      <c r="BH15" s="196">
        <f t="shared" si="31"/>
        <v>418.38868476169853</v>
      </c>
      <c r="BI15" s="197">
        <f t="shared" si="32"/>
        <v>315.58460793453833</v>
      </c>
      <c r="BJ15" s="197">
        <f t="shared" si="33"/>
        <v>302.19917668279226</v>
      </c>
      <c r="BK15" s="197">
        <f t="shared" si="34"/>
        <v>116.18950807890627</v>
      </c>
      <c r="BL15" s="199">
        <f t="shared" si="35"/>
        <v>431.7741160134446</v>
      </c>
      <c r="BM15" s="196">
        <f t="shared" si="66"/>
        <v>1201.7440639481547</v>
      </c>
      <c r="BN15" s="197">
        <f t="shared" si="36"/>
        <v>1291.0261376974543</v>
      </c>
      <c r="BO15" s="197">
        <f t="shared" si="36"/>
        <v>7132.8567030555751</v>
      </c>
      <c r="BP15" s="197">
        <f t="shared" si="36"/>
        <v>-5931.1126391074195</v>
      </c>
      <c r="BQ15" s="199">
        <f t="shared" si="36"/>
        <v>-4640.0865014099654</v>
      </c>
      <c r="BS15" s="204">
        <f t="shared" si="67"/>
        <v>4</v>
      </c>
      <c r="BT15" s="225">
        <f>'Energy NPV'!$D68</f>
        <v>10</v>
      </c>
      <c r="BU15" s="197">
        <f>'Energy margins'!$S$12</f>
        <v>43.75</v>
      </c>
      <c r="BV15" s="197">
        <f t="shared" si="37"/>
        <v>437.5</v>
      </c>
      <c r="BW15" s="197">
        <f>'Margins summary'!$U$14</f>
        <v>330</v>
      </c>
      <c r="BX15" s="197">
        <f t="shared" si="38"/>
        <v>767.5</v>
      </c>
      <c r="BY15" s="197"/>
      <c r="BZ15" s="918">
        <f>'Energy NPV'!U68</f>
        <v>316.00314399999996</v>
      </c>
      <c r="CA15" s="197"/>
      <c r="CB15" s="197">
        <f t="shared" si="39"/>
        <v>316.00314399999996</v>
      </c>
      <c r="CC15" s="197">
        <f t="shared" si="6"/>
        <v>121.49685600000004</v>
      </c>
      <c r="CD15" s="197">
        <f t="shared" si="7"/>
        <v>451.49685600000004</v>
      </c>
      <c r="CE15" s="196">
        <f t="shared" si="40"/>
        <v>367.33343632663195</v>
      </c>
      <c r="CF15" s="197">
        <f t="shared" si="41"/>
        <v>277.07436340065954</v>
      </c>
      <c r="CG15" s="197">
        <f t="shared" si="42"/>
        <v>265.32233320123316</v>
      </c>
      <c r="CH15" s="197">
        <f t="shared" si="43"/>
        <v>102.01110312539882</v>
      </c>
      <c r="CI15" s="199">
        <f t="shared" si="44"/>
        <v>379.08546652605838</v>
      </c>
      <c r="CJ15" s="196">
        <f t="shared" si="68"/>
        <v>1104.468320847838</v>
      </c>
      <c r="CK15" s="197">
        <f t="shared" si="45"/>
        <v>1212.0939433223398</v>
      </c>
      <c r="CL15" s="197">
        <f t="shared" si="46"/>
        <v>7034.9876517829343</v>
      </c>
      <c r="CM15" s="197">
        <f t="shared" si="47"/>
        <v>-5930.5193309350952</v>
      </c>
      <c r="CN15" s="199">
        <f t="shared" si="48"/>
        <v>-4718.4253876127568</v>
      </c>
      <c r="CP15" s="204">
        <f t="shared" si="69"/>
        <v>4</v>
      </c>
      <c r="CQ15" s="225">
        <f>'Energy NPV'!$D68</f>
        <v>10</v>
      </c>
      <c r="CR15" s="197">
        <f>'Energy margins'!$S$12</f>
        <v>43.75</v>
      </c>
      <c r="CS15" s="197">
        <f t="shared" si="49"/>
        <v>437.5</v>
      </c>
      <c r="CT15" s="197">
        <f>'Margins summary'!$U$14</f>
        <v>330</v>
      </c>
      <c r="CU15" s="197">
        <f t="shared" si="50"/>
        <v>767.5</v>
      </c>
      <c r="CV15" s="197"/>
      <c r="CW15" s="918">
        <f>'Energy NPV'!U68</f>
        <v>316.00314399999996</v>
      </c>
      <c r="CX15" s="197"/>
      <c r="CY15" s="197">
        <f t="shared" si="51"/>
        <v>316.00314399999996</v>
      </c>
      <c r="CZ15" s="197">
        <f t="shared" si="8"/>
        <v>121.49685600000004</v>
      </c>
      <c r="DA15" s="197">
        <f t="shared" si="9"/>
        <v>451.49685600000004</v>
      </c>
      <c r="DB15" s="196">
        <f t="shared" si="52"/>
        <v>437.5</v>
      </c>
      <c r="DC15" s="197">
        <f t="shared" si="53"/>
        <v>330</v>
      </c>
      <c r="DD15" s="197">
        <f t="shared" si="54"/>
        <v>316.00314399999996</v>
      </c>
      <c r="DE15" s="197">
        <f t="shared" si="55"/>
        <v>121.49685600000004</v>
      </c>
      <c r="DF15" s="199">
        <f t="shared" si="56"/>
        <v>451.49685600000004</v>
      </c>
      <c r="DG15" s="196">
        <f t="shared" si="70"/>
        <v>1237.5308455998393</v>
      </c>
      <c r="DH15" s="197">
        <f t="shared" si="57"/>
        <v>1320</v>
      </c>
      <c r="DI15" s="197">
        <f t="shared" si="58"/>
        <v>7168.6277759999994</v>
      </c>
      <c r="DJ15" s="197">
        <f t="shared" si="59"/>
        <v>-5931.0969304001601</v>
      </c>
      <c r="DK15" s="199">
        <f t="shared" si="60"/>
        <v>-4611.0969304001601</v>
      </c>
    </row>
    <row r="16" spans="2:115" x14ac:dyDescent="0.3">
      <c r="B16" s="204">
        <f t="shared" si="61"/>
        <v>5</v>
      </c>
      <c r="C16" s="225">
        <f>'Energy NPV'!$D69</f>
        <v>10</v>
      </c>
      <c r="D16" s="197">
        <f>'Energy margins'!$S$12</f>
        <v>43.75</v>
      </c>
      <c r="E16" s="197">
        <f t="shared" si="10"/>
        <v>437.5</v>
      </c>
      <c r="F16" s="197">
        <f>'Margins summary'!$U$14</f>
        <v>330</v>
      </c>
      <c r="G16" s="197">
        <f t="shared" si="11"/>
        <v>767.5</v>
      </c>
      <c r="H16" s="197"/>
      <c r="I16" s="918">
        <f>'Energy NPV'!U69</f>
        <v>316.00314399999996</v>
      </c>
      <c r="J16" s="197"/>
      <c r="K16" s="197">
        <f t="shared" si="12"/>
        <v>316.00314399999996</v>
      </c>
      <c r="L16" s="197">
        <f t="shared" si="0"/>
        <v>121.49685600000004</v>
      </c>
      <c r="M16" s="197">
        <f t="shared" si="1"/>
        <v>451.49685600000004</v>
      </c>
      <c r="N16" s="196">
        <f t="shared" si="13"/>
        <v>388.71308346311395</v>
      </c>
      <c r="O16" s="197">
        <f t="shared" si="14"/>
        <v>293.20072581217738</v>
      </c>
      <c r="P16" s="197">
        <f t="shared" si="15"/>
        <v>280.76470054463636</v>
      </c>
      <c r="Q16" s="197">
        <f t="shared" si="16"/>
        <v>107.94838291847759</v>
      </c>
      <c r="R16" s="199">
        <f t="shared" si="17"/>
        <v>401.14910873065497</v>
      </c>
      <c r="S16" s="196">
        <f t="shared" si="62"/>
        <v>1556.425131872928</v>
      </c>
      <c r="T16" s="197">
        <f t="shared" si="18"/>
        <v>1556.642472927422</v>
      </c>
      <c r="U16" s="197">
        <f t="shared" si="18"/>
        <v>7379.4906675553248</v>
      </c>
      <c r="V16" s="197">
        <f t="shared" si="18"/>
        <v>-5823.0655356823963</v>
      </c>
      <c r="W16" s="199">
        <f t="shared" si="18"/>
        <v>-4266.4230627549732</v>
      </c>
      <c r="Y16" s="204">
        <f t="shared" si="63"/>
        <v>5</v>
      </c>
      <c r="Z16" s="225">
        <f>'Energy NPV'!$D69</f>
        <v>10</v>
      </c>
      <c r="AA16" s="197">
        <f>'Energy margins'!$S$12</f>
        <v>43.75</v>
      </c>
      <c r="AB16" s="197">
        <f t="shared" si="19"/>
        <v>437.5</v>
      </c>
      <c r="AC16" s="197">
        <f>'Margins summary'!$U$14</f>
        <v>330</v>
      </c>
      <c r="AD16" s="197">
        <f t="shared" si="20"/>
        <v>767.5</v>
      </c>
      <c r="AE16" s="197"/>
      <c r="AF16" s="918">
        <f>'Energy NPV'!U69</f>
        <v>316.00314399999996</v>
      </c>
      <c r="AG16" s="197"/>
      <c r="AH16" s="197">
        <f t="shared" si="21"/>
        <v>316.00314399999996</v>
      </c>
      <c r="AI16" s="197">
        <f t="shared" si="2"/>
        <v>121.49685600000004</v>
      </c>
      <c r="AJ16" s="197">
        <f t="shared" si="3"/>
        <v>451.49685600000004</v>
      </c>
      <c r="AK16" s="196">
        <f t="shared" si="22"/>
        <v>366.8705878220315</v>
      </c>
      <c r="AL16" s="197">
        <f t="shared" si="23"/>
        <v>276.7252433857609</v>
      </c>
      <c r="AM16" s="197">
        <f t="shared" si="24"/>
        <v>264.98802101232013</v>
      </c>
      <c r="AN16" s="197">
        <f t="shared" si="25"/>
        <v>101.88256680971138</v>
      </c>
      <c r="AO16" s="199">
        <f t="shared" si="26"/>
        <v>378.60781019547233</v>
      </c>
      <c r="AP16" s="196">
        <f t="shared" si="64"/>
        <v>1502.1921582327825</v>
      </c>
      <c r="AQ16" s="197">
        <f t="shared" si="27"/>
        <v>1513.883480316427</v>
      </c>
      <c r="AR16" s="197">
        <f t="shared" si="27"/>
        <v>7331.1221875347428</v>
      </c>
      <c r="AS16" s="197">
        <f t="shared" si="27"/>
        <v>-5828.9300293019596</v>
      </c>
      <c r="AT16" s="199">
        <f t="shared" si="27"/>
        <v>-4315.0465489855324</v>
      </c>
      <c r="AV16" s="204">
        <f t="shared" si="65"/>
        <v>5</v>
      </c>
      <c r="AW16" s="225">
        <f>'Energy NPV'!$D69</f>
        <v>10</v>
      </c>
      <c r="AX16" s="197">
        <f>'Energy margins'!$S$12</f>
        <v>43.75</v>
      </c>
      <c r="AY16" s="197">
        <f t="shared" si="28"/>
        <v>437.5</v>
      </c>
      <c r="AZ16" s="197">
        <f>'Margins summary'!$U$14</f>
        <v>330</v>
      </c>
      <c r="BA16" s="197">
        <f t="shared" si="29"/>
        <v>767.5</v>
      </c>
      <c r="BB16" s="197"/>
      <c r="BC16" s="918">
        <f>'Energy NPV'!U69</f>
        <v>316.00314399999996</v>
      </c>
      <c r="BD16" s="197"/>
      <c r="BE16" s="197">
        <f t="shared" si="30"/>
        <v>316.00314399999996</v>
      </c>
      <c r="BF16" s="197">
        <f t="shared" si="4"/>
        <v>121.49685600000004</v>
      </c>
      <c r="BG16" s="197">
        <f t="shared" si="5"/>
        <v>451.49685600000004</v>
      </c>
      <c r="BH16" s="196">
        <f t="shared" si="31"/>
        <v>412.20560075044193</v>
      </c>
      <c r="BI16" s="197">
        <f t="shared" si="32"/>
        <v>310.92079599461908</v>
      </c>
      <c r="BJ16" s="197">
        <f t="shared" si="33"/>
        <v>297.73317899782489</v>
      </c>
      <c r="BK16" s="197">
        <f t="shared" si="34"/>
        <v>114.47242175261704</v>
      </c>
      <c r="BL16" s="199">
        <f t="shared" si="35"/>
        <v>425.39321774723612</v>
      </c>
      <c r="BM16" s="196">
        <f t="shared" si="66"/>
        <v>1613.9496646985967</v>
      </c>
      <c r="BN16" s="197">
        <f t="shared" si="36"/>
        <v>1601.9469336920733</v>
      </c>
      <c r="BO16" s="197">
        <f t="shared" si="36"/>
        <v>7430.5898820534003</v>
      </c>
      <c r="BP16" s="197">
        <f t="shared" si="36"/>
        <v>-5816.6402173548022</v>
      </c>
      <c r="BQ16" s="199">
        <f t="shared" si="36"/>
        <v>-4214.6932836627293</v>
      </c>
      <c r="BS16" s="204">
        <f t="shared" si="67"/>
        <v>5</v>
      </c>
      <c r="BT16" s="225">
        <f>'Energy NPV'!$D69</f>
        <v>10</v>
      </c>
      <c r="BU16" s="197">
        <f>'Energy margins'!$S$12</f>
        <v>43.75</v>
      </c>
      <c r="BV16" s="197">
        <f t="shared" si="37"/>
        <v>437.5</v>
      </c>
      <c r="BW16" s="197">
        <f>'Margins summary'!$U$14</f>
        <v>330</v>
      </c>
      <c r="BX16" s="197">
        <f t="shared" si="38"/>
        <v>767.5</v>
      </c>
      <c r="BY16" s="197"/>
      <c r="BZ16" s="918">
        <f>'Energy NPV'!U69</f>
        <v>316.00314399999996</v>
      </c>
      <c r="CA16" s="197"/>
      <c r="CB16" s="197">
        <f t="shared" si="39"/>
        <v>316.00314399999996</v>
      </c>
      <c r="CC16" s="197">
        <f t="shared" si="6"/>
        <v>121.49685600000004</v>
      </c>
      <c r="CD16" s="197">
        <f t="shared" si="7"/>
        <v>451.49685600000004</v>
      </c>
      <c r="CE16" s="196">
        <f t="shared" si="40"/>
        <v>346.54097766663392</v>
      </c>
      <c r="CF16" s="197">
        <f t="shared" si="41"/>
        <v>261.39090886854672</v>
      </c>
      <c r="CG16" s="197">
        <f t="shared" si="42"/>
        <v>250.30408792569165</v>
      </c>
      <c r="CH16" s="197">
        <f t="shared" si="43"/>
        <v>96.236889740942289</v>
      </c>
      <c r="CI16" s="199">
        <f t="shared" si="44"/>
        <v>357.62779860948899</v>
      </c>
      <c r="CJ16" s="196">
        <f t="shared" si="68"/>
        <v>1451.009298514472</v>
      </c>
      <c r="CK16" s="197">
        <f t="shared" si="45"/>
        <v>1473.4848521908866</v>
      </c>
      <c r="CL16" s="197">
        <f t="shared" si="46"/>
        <v>7285.2917397086258</v>
      </c>
      <c r="CM16" s="197">
        <f t="shared" si="47"/>
        <v>-5834.2824411941529</v>
      </c>
      <c r="CN16" s="199">
        <f t="shared" si="48"/>
        <v>-4360.7975890032676</v>
      </c>
      <c r="CP16" s="204">
        <f t="shared" si="69"/>
        <v>5</v>
      </c>
      <c r="CQ16" s="225">
        <f>'Energy NPV'!$D69</f>
        <v>10</v>
      </c>
      <c r="CR16" s="197">
        <f>'Energy margins'!$S$12</f>
        <v>43.75</v>
      </c>
      <c r="CS16" s="197">
        <f t="shared" si="49"/>
        <v>437.5</v>
      </c>
      <c r="CT16" s="197">
        <f>'Margins summary'!$U$14</f>
        <v>330</v>
      </c>
      <c r="CU16" s="197">
        <f t="shared" si="50"/>
        <v>767.5</v>
      </c>
      <c r="CV16" s="197"/>
      <c r="CW16" s="918">
        <f>'Energy NPV'!U69</f>
        <v>316.00314399999996</v>
      </c>
      <c r="CX16" s="197"/>
      <c r="CY16" s="197">
        <f t="shared" si="51"/>
        <v>316.00314399999996</v>
      </c>
      <c r="CZ16" s="197">
        <f t="shared" si="8"/>
        <v>121.49685600000004</v>
      </c>
      <c r="DA16" s="197">
        <f t="shared" si="9"/>
        <v>451.49685600000004</v>
      </c>
      <c r="DB16" s="196">
        <f t="shared" si="52"/>
        <v>437.5</v>
      </c>
      <c r="DC16" s="197">
        <f t="shared" si="53"/>
        <v>330</v>
      </c>
      <c r="DD16" s="197">
        <f t="shared" si="54"/>
        <v>316.00314399999996</v>
      </c>
      <c r="DE16" s="197">
        <f t="shared" si="55"/>
        <v>121.49685600000004</v>
      </c>
      <c r="DF16" s="199">
        <f t="shared" si="56"/>
        <v>451.49685600000004</v>
      </c>
      <c r="DG16" s="196">
        <f t="shared" si="70"/>
        <v>1675.0308455998393</v>
      </c>
      <c r="DH16" s="197">
        <f t="shared" si="57"/>
        <v>1650</v>
      </c>
      <c r="DI16" s="197">
        <f t="shared" si="58"/>
        <v>7484.6309199999996</v>
      </c>
      <c r="DJ16" s="197">
        <f t="shared" si="59"/>
        <v>-5809.6000744001603</v>
      </c>
      <c r="DK16" s="199">
        <f t="shared" si="60"/>
        <v>-4159.6000744001603</v>
      </c>
    </row>
    <row r="17" spans="2:115" x14ac:dyDescent="0.3">
      <c r="B17" s="204">
        <f t="shared" si="61"/>
        <v>6</v>
      </c>
      <c r="C17" s="225">
        <f>'Energy NPV'!$D70</f>
        <v>10</v>
      </c>
      <c r="D17" s="197">
        <f>'Energy margins'!$S$12</f>
        <v>43.75</v>
      </c>
      <c r="E17" s="197">
        <f t="shared" si="10"/>
        <v>437.5</v>
      </c>
      <c r="F17" s="197">
        <f>'Margins summary'!$U$14</f>
        <v>330</v>
      </c>
      <c r="G17" s="197">
        <f t="shared" si="11"/>
        <v>767.5</v>
      </c>
      <c r="H17" s="197"/>
      <c r="I17" s="918">
        <f>'Energy NPV'!U70</f>
        <v>316.00314399999996</v>
      </c>
      <c r="J17" s="197"/>
      <c r="K17" s="197">
        <f t="shared" si="12"/>
        <v>316.00314399999996</v>
      </c>
      <c r="L17" s="197">
        <f t="shared" si="0"/>
        <v>121.49685600000004</v>
      </c>
      <c r="M17" s="197">
        <f t="shared" si="1"/>
        <v>451.49685600000004</v>
      </c>
      <c r="N17" s="196">
        <f t="shared" si="13"/>
        <v>377.39134316807178</v>
      </c>
      <c r="O17" s="197">
        <f t="shared" si="14"/>
        <v>284.66089884677416</v>
      </c>
      <c r="P17" s="197">
        <f t="shared" si="15"/>
        <v>272.58708790741395</v>
      </c>
      <c r="Q17" s="197">
        <f t="shared" si="16"/>
        <v>104.80425526065787</v>
      </c>
      <c r="R17" s="199">
        <f t="shared" si="17"/>
        <v>389.465154107432</v>
      </c>
      <c r="S17" s="196">
        <f t="shared" si="62"/>
        <v>1933.8164750409996</v>
      </c>
      <c r="T17" s="197">
        <f t="shared" si="18"/>
        <v>1841.3033717741962</v>
      </c>
      <c r="U17" s="197">
        <f t="shared" si="18"/>
        <v>7652.0777554627384</v>
      </c>
      <c r="V17" s="197">
        <f t="shared" si="18"/>
        <v>-5718.2612804217388</v>
      </c>
      <c r="W17" s="199">
        <f t="shared" si="18"/>
        <v>-3876.9579086475414</v>
      </c>
      <c r="Y17" s="204">
        <f t="shared" si="63"/>
        <v>6</v>
      </c>
      <c r="Z17" s="225">
        <f>'Energy NPV'!$D70</f>
        <v>10</v>
      </c>
      <c r="AA17" s="197">
        <f>'Energy margins'!$S$12</f>
        <v>43.75</v>
      </c>
      <c r="AB17" s="197">
        <f t="shared" si="19"/>
        <v>437.5</v>
      </c>
      <c r="AC17" s="197">
        <f>'Margins summary'!$U$14</f>
        <v>330</v>
      </c>
      <c r="AD17" s="197">
        <f t="shared" si="20"/>
        <v>767.5</v>
      </c>
      <c r="AE17" s="197"/>
      <c r="AF17" s="918">
        <f>'Energy NPV'!U70</f>
        <v>316.00314399999996</v>
      </c>
      <c r="AG17" s="197"/>
      <c r="AH17" s="197">
        <f t="shared" si="21"/>
        <v>316.00314399999996</v>
      </c>
      <c r="AI17" s="197">
        <f t="shared" si="2"/>
        <v>121.49685600000004</v>
      </c>
      <c r="AJ17" s="197">
        <f t="shared" si="3"/>
        <v>451.49685600000004</v>
      </c>
      <c r="AK17" s="196">
        <f t="shared" si="22"/>
        <v>351.0723328440493</v>
      </c>
      <c r="AL17" s="197">
        <f t="shared" si="23"/>
        <v>264.80884534522573</v>
      </c>
      <c r="AM17" s="197">
        <f t="shared" si="24"/>
        <v>253.57705360030636</v>
      </c>
      <c r="AN17" s="197">
        <f t="shared" si="25"/>
        <v>97.495279243742957</v>
      </c>
      <c r="AO17" s="199">
        <f t="shared" si="26"/>
        <v>362.3041245889687</v>
      </c>
      <c r="AP17" s="196">
        <f t="shared" si="64"/>
        <v>1853.2644910768317</v>
      </c>
      <c r="AQ17" s="197">
        <f t="shared" si="27"/>
        <v>1778.6923256616528</v>
      </c>
      <c r="AR17" s="197">
        <f t="shared" si="27"/>
        <v>7584.6992411350493</v>
      </c>
      <c r="AS17" s="197">
        <f t="shared" si="27"/>
        <v>-5731.4347500582171</v>
      </c>
      <c r="AT17" s="199">
        <f t="shared" si="27"/>
        <v>-3952.7424243965638</v>
      </c>
      <c r="AV17" s="204">
        <f t="shared" si="65"/>
        <v>6</v>
      </c>
      <c r="AW17" s="225">
        <f>'Energy NPV'!$D70</f>
        <v>10</v>
      </c>
      <c r="AX17" s="197">
        <f>'Energy margins'!$S$12</f>
        <v>43.75</v>
      </c>
      <c r="AY17" s="197">
        <f t="shared" si="28"/>
        <v>437.5</v>
      </c>
      <c r="AZ17" s="197">
        <f>'Margins summary'!$U$14</f>
        <v>330</v>
      </c>
      <c r="BA17" s="197">
        <f t="shared" si="29"/>
        <v>767.5</v>
      </c>
      <c r="BB17" s="197"/>
      <c r="BC17" s="918">
        <f>'Energy NPV'!U70</f>
        <v>316.00314399999996</v>
      </c>
      <c r="BD17" s="197"/>
      <c r="BE17" s="197">
        <f t="shared" si="30"/>
        <v>316.00314399999996</v>
      </c>
      <c r="BF17" s="197">
        <f t="shared" si="4"/>
        <v>121.49685600000004</v>
      </c>
      <c r="BG17" s="197">
        <f t="shared" si="5"/>
        <v>451.49685600000004</v>
      </c>
      <c r="BH17" s="196">
        <f t="shared" si="31"/>
        <v>406.11389236496751</v>
      </c>
      <c r="BI17" s="197">
        <f t="shared" si="32"/>
        <v>306.32590738386119</v>
      </c>
      <c r="BJ17" s="197">
        <f t="shared" si="33"/>
        <v>293.33318127864527</v>
      </c>
      <c r="BK17" s="197">
        <f t="shared" si="34"/>
        <v>112.78071108632221</v>
      </c>
      <c r="BL17" s="199">
        <f t="shared" si="35"/>
        <v>419.10661847018343</v>
      </c>
      <c r="BM17" s="196">
        <f t="shared" si="66"/>
        <v>2020.0635570635643</v>
      </c>
      <c r="BN17" s="197">
        <f t="shared" si="36"/>
        <v>1908.2728410759346</v>
      </c>
      <c r="BO17" s="197">
        <f t="shared" si="36"/>
        <v>7723.9230633320458</v>
      </c>
      <c r="BP17" s="197">
        <f t="shared" si="36"/>
        <v>-5703.8595062684799</v>
      </c>
      <c r="BQ17" s="199">
        <f t="shared" si="36"/>
        <v>-3795.5866651925458</v>
      </c>
      <c r="BS17" s="204">
        <f t="shared" si="67"/>
        <v>6</v>
      </c>
      <c r="BT17" s="225">
        <f>'Energy NPV'!$D70</f>
        <v>10</v>
      </c>
      <c r="BU17" s="197">
        <f>'Energy margins'!$S$12</f>
        <v>43.75</v>
      </c>
      <c r="BV17" s="197">
        <f t="shared" si="37"/>
        <v>437.5</v>
      </c>
      <c r="BW17" s="197">
        <f>'Margins summary'!$U$14</f>
        <v>330</v>
      </c>
      <c r="BX17" s="197">
        <f t="shared" si="38"/>
        <v>767.5</v>
      </c>
      <c r="BY17" s="197"/>
      <c r="BZ17" s="918">
        <f>'Energy NPV'!U70</f>
        <v>316.00314399999996</v>
      </c>
      <c r="CA17" s="197"/>
      <c r="CB17" s="197">
        <f t="shared" si="39"/>
        <v>316.00314399999996</v>
      </c>
      <c r="CC17" s="197">
        <f t="shared" si="6"/>
        <v>121.49685600000004</v>
      </c>
      <c r="CD17" s="197">
        <f t="shared" si="7"/>
        <v>451.49685600000004</v>
      </c>
      <c r="CE17" s="196">
        <f t="shared" si="40"/>
        <v>326.92545062889991</v>
      </c>
      <c r="CF17" s="197">
        <f t="shared" si="41"/>
        <v>246.59519704579878</v>
      </c>
      <c r="CG17" s="197">
        <f t="shared" si="42"/>
        <v>236.13593200536945</v>
      </c>
      <c r="CH17" s="197">
        <f t="shared" si="43"/>
        <v>90.789518623530455</v>
      </c>
      <c r="CI17" s="199">
        <f t="shared" si="44"/>
        <v>337.38471566932924</v>
      </c>
      <c r="CJ17" s="196">
        <f t="shared" si="68"/>
        <v>1777.9347491433718</v>
      </c>
      <c r="CK17" s="197">
        <f t="shared" si="45"/>
        <v>1720.0800492366855</v>
      </c>
      <c r="CL17" s="197">
        <f t="shared" si="46"/>
        <v>7521.4276717139956</v>
      </c>
      <c r="CM17" s="197">
        <f t="shared" si="47"/>
        <v>-5743.4929225706228</v>
      </c>
      <c r="CN17" s="199">
        <f t="shared" si="48"/>
        <v>-4023.4128733339385</v>
      </c>
      <c r="CP17" s="204">
        <f t="shared" si="69"/>
        <v>6</v>
      </c>
      <c r="CQ17" s="225">
        <f>'Energy NPV'!$D70</f>
        <v>10</v>
      </c>
      <c r="CR17" s="197">
        <f>'Energy margins'!$S$12</f>
        <v>43.75</v>
      </c>
      <c r="CS17" s="197">
        <f t="shared" si="49"/>
        <v>437.5</v>
      </c>
      <c r="CT17" s="197">
        <f>'Margins summary'!$U$14</f>
        <v>330</v>
      </c>
      <c r="CU17" s="197">
        <f t="shared" si="50"/>
        <v>767.5</v>
      </c>
      <c r="CV17" s="197"/>
      <c r="CW17" s="918">
        <f>'Energy NPV'!U70</f>
        <v>316.00314399999996</v>
      </c>
      <c r="CX17" s="197"/>
      <c r="CY17" s="197">
        <f t="shared" si="51"/>
        <v>316.00314399999996</v>
      </c>
      <c r="CZ17" s="197">
        <f t="shared" si="8"/>
        <v>121.49685600000004</v>
      </c>
      <c r="DA17" s="197">
        <f t="shared" si="9"/>
        <v>451.49685600000004</v>
      </c>
      <c r="DB17" s="196">
        <f t="shared" si="52"/>
        <v>437.5</v>
      </c>
      <c r="DC17" s="197">
        <f t="shared" si="53"/>
        <v>330</v>
      </c>
      <c r="DD17" s="197">
        <f t="shared" si="54"/>
        <v>316.00314399999996</v>
      </c>
      <c r="DE17" s="197">
        <f t="shared" si="55"/>
        <v>121.49685600000004</v>
      </c>
      <c r="DF17" s="199">
        <f t="shared" si="56"/>
        <v>451.49685600000004</v>
      </c>
      <c r="DG17" s="196">
        <f t="shared" si="70"/>
        <v>2112.5308455998393</v>
      </c>
      <c r="DH17" s="197">
        <f t="shared" si="57"/>
        <v>1980</v>
      </c>
      <c r="DI17" s="197">
        <f t="shared" si="58"/>
        <v>7800.6340639999999</v>
      </c>
      <c r="DJ17" s="197">
        <f t="shared" si="59"/>
        <v>-5688.1032184001606</v>
      </c>
      <c r="DK17" s="199">
        <f t="shared" si="60"/>
        <v>-3708.1032184001601</v>
      </c>
    </row>
    <row r="18" spans="2:115" x14ac:dyDescent="0.3">
      <c r="B18" s="204">
        <f t="shared" si="61"/>
        <v>7</v>
      </c>
      <c r="C18" s="225">
        <f>'Energy NPV'!$D71</f>
        <v>10</v>
      </c>
      <c r="D18" s="197">
        <f>'Energy margins'!$S$12</f>
        <v>43.75</v>
      </c>
      <c r="E18" s="197">
        <f t="shared" si="10"/>
        <v>437.5</v>
      </c>
      <c r="F18" s="197">
        <f>'Margins summary'!$U$14</f>
        <v>330</v>
      </c>
      <c r="G18" s="197">
        <f t="shared" si="11"/>
        <v>767.5</v>
      </c>
      <c r="H18" s="197"/>
      <c r="I18" s="918">
        <f>'Energy NPV'!U71</f>
        <v>316.00314399999996</v>
      </c>
      <c r="J18" s="197"/>
      <c r="K18" s="197">
        <f t="shared" si="12"/>
        <v>316.00314399999996</v>
      </c>
      <c r="L18" s="197">
        <f t="shared" si="0"/>
        <v>121.49685600000004</v>
      </c>
      <c r="M18" s="197">
        <f t="shared" si="1"/>
        <v>451.49685600000004</v>
      </c>
      <c r="N18" s="196">
        <f t="shared" si="13"/>
        <v>366.39936229909881</v>
      </c>
      <c r="O18" s="197">
        <f t="shared" si="14"/>
        <v>276.36980470560593</v>
      </c>
      <c r="P18" s="197">
        <f t="shared" si="15"/>
        <v>264.64765816253777</v>
      </c>
      <c r="Q18" s="197">
        <f t="shared" si="16"/>
        <v>101.75170413656103</v>
      </c>
      <c r="R18" s="199">
        <f t="shared" si="17"/>
        <v>378.12150884216697</v>
      </c>
      <c r="S18" s="196">
        <f t="shared" si="62"/>
        <v>2300.2158373400985</v>
      </c>
      <c r="T18" s="197">
        <f t="shared" si="18"/>
        <v>2117.6731764798024</v>
      </c>
      <c r="U18" s="197">
        <f t="shared" si="18"/>
        <v>7916.7254136252759</v>
      </c>
      <c r="V18" s="197">
        <f t="shared" si="18"/>
        <v>-5616.5095762851779</v>
      </c>
      <c r="W18" s="199">
        <f t="shared" si="18"/>
        <v>-3498.8363998053746</v>
      </c>
      <c r="Y18" s="204">
        <f t="shared" si="63"/>
        <v>7</v>
      </c>
      <c r="Z18" s="225">
        <f>'Energy NPV'!$D71</f>
        <v>10</v>
      </c>
      <c r="AA18" s="197">
        <f>'Energy margins'!$S$12</f>
        <v>43.75</v>
      </c>
      <c r="AB18" s="197">
        <f t="shared" si="19"/>
        <v>437.5</v>
      </c>
      <c r="AC18" s="197">
        <f>'Margins summary'!$U$14</f>
        <v>330</v>
      </c>
      <c r="AD18" s="197">
        <f t="shared" si="20"/>
        <v>767.5</v>
      </c>
      <c r="AE18" s="197"/>
      <c r="AF18" s="918">
        <f>'Energy NPV'!U71</f>
        <v>316.00314399999996</v>
      </c>
      <c r="AG18" s="197"/>
      <c r="AH18" s="197">
        <f t="shared" si="21"/>
        <v>316.00314399999996</v>
      </c>
      <c r="AI18" s="197">
        <f t="shared" si="2"/>
        <v>121.49685600000004</v>
      </c>
      <c r="AJ18" s="197">
        <f t="shared" si="3"/>
        <v>451.49685600000004</v>
      </c>
      <c r="AK18" s="196">
        <f t="shared" si="22"/>
        <v>335.95438549669797</v>
      </c>
      <c r="AL18" s="197">
        <f t="shared" si="23"/>
        <v>253.40559363179506</v>
      </c>
      <c r="AM18" s="197">
        <f t="shared" si="24"/>
        <v>242.65746756010182</v>
      </c>
      <c r="AN18" s="197">
        <f t="shared" si="25"/>
        <v>93.296917936596145</v>
      </c>
      <c r="AO18" s="199">
        <f t="shared" si="26"/>
        <v>346.70251156839117</v>
      </c>
      <c r="AP18" s="196">
        <f t="shared" si="64"/>
        <v>2189.2188765735295</v>
      </c>
      <c r="AQ18" s="197">
        <f t="shared" si="27"/>
        <v>2032.0979192934478</v>
      </c>
      <c r="AR18" s="197">
        <f t="shared" si="27"/>
        <v>7827.3567086951507</v>
      </c>
      <c r="AS18" s="197">
        <f t="shared" si="27"/>
        <v>-5638.1378321216207</v>
      </c>
      <c r="AT18" s="199">
        <f t="shared" si="27"/>
        <v>-3606.0399128281724</v>
      </c>
      <c r="AV18" s="204">
        <f t="shared" si="65"/>
        <v>7</v>
      </c>
      <c r="AW18" s="225">
        <f>'Energy NPV'!$D71</f>
        <v>10</v>
      </c>
      <c r="AX18" s="197">
        <f>'Energy margins'!$S$12</f>
        <v>43.75</v>
      </c>
      <c r="AY18" s="197">
        <f t="shared" si="28"/>
        <v>437.5</v>
      </c>
      <c r="AZ18" s="197">
        <f>'Margins summary'!$U$14</f>
        <v>330</v>
      </c>
      <c r="BA18" s="197">
        <f t="shared" si="29"/>
        <v>767.5</v>
      </c>
      <c r="BB18" s="197"/>
      <c r="BC18" s="918">
        <f>'Energy NPV'!U71</f>
        <v>316.00314399999996</v>
      </c>
      <c r="BD18" s="197"/>
      <c r="BE18" s="197">
        <f t="shared" si="30"/>
        <v>316.00314399999996</v>
      </c>
      <c r="BF18" s="197">
        <f t="shared" si="4"/>
        <v>121.49685600000004</v>
      </c>
      <c r="BG18" s="197">
        <f t="shared" si="5"/>
        <v>451.49685600000004</v>
      </c>
      <c r="BH18" s="196">
        <f t="shared" si="31"/>
        <v>400.11220922656901</v>
      </c>
      <c r="BI18" s="197">
        <f t="shared" si="32"/>
        <v>301.79892353089781</v>
      </c>
      <c r="BJ18" s="197">
        <f t="shared" si="33"/>
        <v>288.99820815630085</v>
      </c>
      <c r="BK18" s="197">
        <f t="shared" si="34"/>
        <v>111.11400107026822</v>
      </c>
      <c r="BL18" s="199">
        <f t="shared" si="35"/>
        <v>412.91292460116603</v>
      </c>
      <c r="BM18" s="196">
        <f t="shared" si="66"/>
        <v>2420.1757662901332</v>
      </c>
      <c r="BN18" s="197">
        <f t="shared" si="36"/>
        <v>2210.0717646068324</v>
      </c>
      <c r="BO18" s="197">
        <f t="shared" si="36"/>
        <v>8012.921271488347</v>
      </c>
      <c r="BP18" s="197">
        <f t="shared" si="36"/>
        <v>-5592.7455051982115</v>
      </c>
      <c r="BQ18" s="199">
        <f t="shared" si="36"/>
        <v>-3382.6737405913796</v>
      </c>
      <c r="BS18" s="204">
        <f t="shared" si="67"/>
        <v>7</v>
      </c>
      <c r="BT18" s="225">
        <f>'Energy NPV'!$D71</f>
        <v>10</v>
      </c>
      <c r="BU18" s="197">
        <f>'Energy margins'!$S$12</f>
        <v>43.75</v>
      </c>
      <c r="BV18" s="197">
        <f t="shared" si="37"/>
        <v>437.5</v>
      </c>
      <c r="BW18" s="197">
        <f>'Margins summary'!$U$14</f>
        <v>330</v>
      </c>
      <c r="BX18" s="197">
        <f t="shared" si="38"/>
        <v>767.5</v>
      </c>
      <c r="BY18" s="197"/>
      <c r="BZ18" s="918">
        <f>'Energy NPV'!U71</f>
        <v>316.00314399999996</v>
      </c>
      <c r="CA18" s="197"/>
      <c r="CB18" s="197">
        <f t="shared" si="39"/>
        <v>316.00314399999996</v>
      </c>
      <c r="CC18" s="197">
        <f t="shared" si="6"/>
        <v>121.49685600000004</v>
      </c>
      <c r="CD18" s="197">
        <f t="shared" si="7"/>
        <v>451.49685600000004</v>
      </c>
      <c r="CE18" s="196">
        <f t="shared" si="40"/>
        <v>308.42023644235837</v>
      </c>
      <c r="CF18" s="197">
        <f t="shared" si="41"/>
        <v>232.63697834509318</v>
      </c>
      <c r="CG18" s="197">
        <f t="shared" si="42"/>
        <v>222.76974717487681</v>
      </c>
      <c r="CH18" s="197">
        <f t="shared" si="43"/>
        <v>85.650489267481547</v>
      </c>
      <c r="CI18" s="199">
        <f t="shared" si="44"/>
        <v>318.28746761257474</v>
      </c>
      <c r="CJ18" s="196">
        <f t="shared" si="68"/>
        <v>2086.35498558573</v>
      </c>
      <c r="CK18" s="197">
        <f t="shared" si="45"/>
        <v>1952.7170275817787</v>
      </c>
      <c r="CL18" s="197">
        <f t="shared" si="46"/>
        <v>7744.1974188888726</v>
      </c>
      <c r="CM18" s="197">
        <f t="shared" si="47"/>
        <v>-5657.8424333031417</v>
      </c>
      <c r="CN18" s="199">
        <f t="shared" si="48"/>
        <v>-3705.1254057213637</v>
      </c>
      <c r="CP18" s="204">
        <f t="shared" si="69"/>
        <v>7</v>
      </c>
      <c r="CQ18" s="225">
        <f>'Energy NPV'!$D71</f>
        <v>10</v>
      </c>
      <c r="CR18" s="197">
        <f>'Energy margins'!$S$12</f>
        <v>43.75</v>
      </c>
      <c r="CS18" s="197">
        <f t="shared" si="49"/>
        <v>437.5</v>
      </c>
      <c r="CT18" s="197">
        <f>'Margins summary'!$U$14</f>
        <v>330</v>
      </c>
      <c r="CU18" s="197">
        <f t="shared" si="50"/>
        <v>767.5</v>
      </c>
      <c r="CV18" s="197"/>
      <c r="CW18" s="918">
        <f>'Energy NPV'!U71</f>
        <v>316.00314399999996</v>
      </c>
      <c r="CX18" s="197"/>
      <c r="CY18" s="197">
        <f t="shared" si="51"/>
        <v>316.00314399999996</v>
      </c>
      <c r="CZ18" s="197">
        <f t="shared" si="8"/>
        <v>121.49685600000004</v>
      </c>
      <c r="DA18" s="197">
        <f t="shared" si="9"/>
        <v>451.49685600000004</v>
      </c>
      <c r="DB18" s="196">
        <f t="shared" si="52"/>
        <v>437.5</v>
      </c>
      <c r="DC18" s="197">
        <f t="shared" si="53"/>
        <v>330</v>
      </c>
      <c r="DD18" s="197">
        <f t="shared" si="54"/>
        <v>316.00314399999996</v>
      </c>
      <c r="DE18" s="197">
        <f t="shared" si="55"/>
        <v>121.49685600000004</v>
      </c>
      <c r="DF18" s="199">
        <f t="shared" si="56"/>
        <v>451.49685600000004</v>
      </c>
      <c r="DG18" s="196">
        <f t="shared" si="70"/>
        <v>2550.0308455998393</v>
      </c>
      <c r="DH18" s="197">
        <f t="shared" si="57"/>
        <v>2310</v>
      </c>
      <c r="DI18" s="197">
        <f t="shared" si="58"/>
        <v>8116.6372080000001</v>
      </c>
      <c r="DJ18" s="197">
        <f t="shared" si="59"/>
        <v>-5566.6063624001608</v>
      </c>
      <c r="DK18" s="199">
        <f t="shared" si="60"/>
        <v>-3256.6063624001599</v>
      </c>
    </row>
    <row r="19" spans="2:115" x14ac:dyDescent="0.3">
      <c r="B19" s="204">
        <f t="shared" si="61"/>
        <v>8</v>
      </c>
      <c r="C19" s="225">
        <f>'Energy NPV'!$D72</f>
        <v>10</v>
      </c>
      <c r="D19" s="197">
        <f>'Energy margins'!$S$12</f>
        <v>43.75</v>
      </c>
      <c r="E19" s="197">
        <f t="shared" si="10"/>
        <v>437.5</v>
      </c>
      <c r="F19" s="197">
        <f>'Margins summary'!$U$14</f>
        <v>330</v>
      </c>
      <c r="G19" s="197">
        <f t="shared" si="11"/>
        <v>767.5</v>
      </c>
      <c r="H19" s="197"/>
      <c r="I19" s="918">
        <f>'Energy NPV'!U72</f>
        <v>316.00314399999996</v>
      </c>
      <c r="J19" s="197"/>
      <c r="K19" s="197">
        <f t="shared" si="12"/>
        <v>316.00314399999996</v>
      </c>
      <c r="L19" s="197">
        <f t="shared" si="0"/>
        <v>121.49685600000004</v>
      </c>
      <c r="M19" s="197">
        <f t="shared" si="1"/>
        <v>451.49685600000004</v>
      </c>
      <c r="N19" s="196">
        <f t="shared" si="13"/>
        <v>355.72753621271727</v>
      </c>
      <c r="O19" s="197">
        <f t="shared" si="14"/>
        <v>268.32019874330672</v>
      </c>
      <c r="P19" s="197">
        <f t="shared" si="15"/>
        <v>256.93947394421144</v>
      </c>
      <c r="Q19" s="197">
        <f t="shared" si="16"/>
        <v>98.788062268505854</v>
      </c>
      <c r="R19" s="199">
        <f t="shared" si="17"/>
        <v>367.1082610118126</v>
      </c>
      <c r="S19" s="196">
        <f t="shared" si="62"/>
        <v>2655.9433735528155</v>
      </c>
      <c r="T19" s="197">
        <f t="shared" si="18"/>
        <v>2385.9933752231091</v>
      </c>
      <c r="U19" s="197">
        <f t="shared" si="18"/>
        <v>8173.6648875694873</v>
      </c>
      <c r="V19" s="197">
        <f t="shared" si="18"/>
        <v>-5517.7215140166718</v>
      </c>
      <c r="W19" s="199">
        <f t="shared" si="18"/>
        <v>-3131.7281387935618</v>
      </c>
      <c r="Y19" s="204">
        <f t="shared" si="63"/>
        <v>8</v>
      </c>
      <c r="Z19" s="225">
        <f>'Energy NPV'!$D72</f>
        <v>10</v>
      </c>
      <c r="AA19" s="197">
        <f>'Energy margins'!$S$12</f>
        <v>43.75</v>
      </c>
      <c r="AB19" s="197">
        <f t="shared" si="19"/>
        <v>437.5</v>
      </c>
      <c r="AC19" s="197">
        <f>'Margins summary'!$U$14</f>
        <v>330</v>
      </c>
      <c r="AD19" s="197">
        <f t="shared" si="20"/>
        <v>767.5</v>
      </c>
      <c r="AE19" s="197"/>
      <c r="AF19" s="918">
        <f>'Energy NPV'!U72</f>
        <v>316.00314399999996</v>
      </c>
      <c r="AG19" s="197"/>
      <c r="AH19" s="197">
        <f t="shared" si="21"/>
        <v>316.00314399999996</v>
      </c>
      <c r="AI19" s="197">
        <f t="shared" si="2"/>
        <v>121.49685600000004</v>
      </c>
      <c r="AJ19" s="197">
        <f t="shared" si="3"/>
        <v>451.49685600000004</v>
      </c>
      <c r="AK19" s="196">
        <f t="shared" si="22"/>
        <v>321.48745023607461</v>
      </c>
      <c r="AL19" s="197">
        <f t="shared" si="23"/>
        <v>242.49339103521055</v>
      </c>
      <c r="AM19" s="197">
        <f t="shared" si="24"/>
        <v>232.20810292832709</v>
      </c>
      <c r="AN19" s="197">
        <f t="shared" si="25"/>
        <v>89.2793473077475</v>
      </c>
      <c r="AO19" s="199">
        <f t="shared" si="26"/>
        <v>331.77273834295806</v>
      </c>
      <c r="AP19" s="196">
        <f t="shared" si="64"/>
        <v>2510.706326809604</v>
      </c>
      <c r="AQ19" s="197">
        <f t="shared" si="27"/>
        <v>2274.5913103286584</v>
      </c>
      <c r="AR19" s="197">
        <f t="shared" si="27"/>
        <v>8059.5648116234779</v>
      </c>
      <c r="AS19" s="197">
        <f t="shared" si="27"/>
        <v>-5548.8584848138735</v>
      </c>
      <c r="AT19" s="199">
        <f t="shared" si="27"/>
        <v>-3274.2671744852141</v>
      </c>
      <c r="AV19" s="204">
        <f t="shared" si="65"/>
        <v>8</v>
      </c>
      <c r="AW19" s="225">
        <f>'Energy NPV'!$D72</f>
        <v>10</v>
      </c>
      <c r="AX19" s="197">
        <f>'Energy margins'!$S$12</f>
        <v>43.75</v>
      </c>
      <c r="AY19" s="197">
        <f t="shared" si="28"/>
        <v>437.5</v>
      </c>
      <c r="AZ19" s="197">
        <f>'Margins summary'!$U$14</f>
        <v>330</v>
      </c>
      <c r="BA19" s="197">
        <f t="shared" si="29"/>
        <v>767.5</v>
      </c>
      <c r="BB19" s="197"/>
      <c r="BC19" s="918">
        <f>'Energy NPV'!U72</f>
        <v>316.00314399999996</v>
      </c>
      <c r="BD19" s="197"/>
      <c r="BE19" s="197">
        <f t="shared" si="30"/>
        <v>316.00314399999996</v>
      </c>
      <c r="BF19" s="197">
        <f t="shared" si="4"/>
        <v>121.49685600000004</v>
      </c>
      <c r="BG19" s="197">
        <f t="shared" si="5"/>
        <v>451.49685600000004</v>
      </c>
      <c r="BH19" s="196">
        <f t="shared" si="31"/>
        <v>394.19922091287594</v>
      </c>
      <c r="BI19" s="197">
        <f t="shared" si="32"/>
        <v>297.33884091714071</v>
      </c>
      <c r="BJ19" s="197">
        <f t="shared" si="33"/>
        <v>284.72729867615851</v>
      </c>
      <c r="BK19" s="197">
        <f t="shared" si="34"/>
        <v>109.47192223671748</v>
      </c>
      <c r="BL19" s="199">
        <f t="shared" si="35"/>
        <v>406.8107631538582</v>
      </c>
      <c r="BM19" s="196">
        <f t="shared" si="66"/>
        <v>2814.3749872030094</v>
      </c>
      <c r="BN19" s="197">
        <f t="shared" si="36"/>
        <v>2507.4106055239731</v>
      </c>
      <c r="BO19" s="197">
        <f t="shared" si="36"/>
        <v>8297.6485701645051</v>
      </c>
      <c r="BP19" s="197">
        <f t="shared" si="36"/>
        <v>-5483.273582961494</v>
      </c>
      <c r="BQ19" s="199">
        <f t="shared" si="36"/>
        <v>-2975.8629774375213</v>
      </c>
      <c r="BS19" s="204">
        <f t="shared" si="67"/>
        <v>8</v>
      </c>
      <c r="BT19" s="225">
        <f>'Energy NPV'!$D72</f>
        <v>10</v>
      </c>
      <c r="BU19" s="197">
        <f>'Energy margins'!$S$12</f>
        <v>43.75</v>
      </c>
      <c r="BV19" s="197">
        <f t="shared" si="37"/>
        <v>437.5</v>
      </c>
      <c r="BW19" s="197">
        <f>'Margins summary'!$U$14</f>
        <v>330</v>
      </c>
      <c r="BX19" s="197">
        <f t="shared" si="38"/>
        <v>767.5</v>
      </c>
      <c r="BY19" s="197"/>
      <c r="BZ19" s="918">
        <f>'Energy NPV'!U72</f>
        <v>316.00314399999996</v>
      </c>
      <c r="CA19" s="197"/>
      <c r="CB19" s="197">
        <f t="shared" si="39"/>
        <v>316.00314399999996</v>
      </c>
      <c r="CC19" s="197">
        <f t="shared" si="6"/>
        <v>121.49685600000004</v>
      </c>
      <c r="CD19" s="197">
        <f t="shared" si="7"/>
        <v>451.49685600000004</v>
      </c>
      <c r="CE19" s="196">
        <f t="shared" si="40"/>
        <v>290.96248720977201</v>
      </c>
      <c r="CF19" s="197">
        <f t="shared" si="41"/>
        <v>219.46884749537088</v>
      </c>
      <c r="CG19" s="197">
        <f t="shared" si="42"/>
        <v>210.16013884422338</v>
      </c>
      <c r="CH19" s="197">
        <f t="shared" si="43"/>
        <v>80.802348365548625</v>
      </c>
      <c r="CI19" s="199">
        <f t="shared" si="44"/>
        <v>300.27119586091953</v>
      </c>
      <c r="CJ19" s="196">
        <f t="shared" si="68"/>
        <v>2377.317472795502</v>
      </c>
      <c r="CK19" s="197">
        <f t="shared" si="45"/>
        <v>2172.1858750771494</v>
      </c>
      <c r="CL19" s="197">
        <f t="shared" si="46"/>
        <v>7954.3575577330957</v>
      </c>
      <c r="CM19" s="197">
        <f t="shared" si="47"/>
        <v>-5577.0400849375928</v>
      </c>
      <c r="CN19" s="199">
        <f t="shared" si="48"/>
        <v>-3404.8542098604439</v>
      </c>
      <c r="CP19" s="204">
        <f t="shared" si="69"/>
        <v>8</v>
      </c>
      <c r="CQ19" s="225">
        <f>'Energy NPV'!$D72</f>
        <v>10</v>
      </c>
      <c r="CR19" s="197">
        <f>'Energy margins'!$S$12</f>
        <v>43.75</v>
      </c>
      <c r="CS19" s="197">
        <f t="shared" si="49"/>
        <v>437.5</v>
      </c>
      <c r="CT19" s="197">
        <f>'Margins summary'!$U$14</f>
        <v>330</v>
      </c>
      <c r="CU19" s="197">
        <f t="shared" si="50"/>
        <v>767.5</v>
      </c>
      <c r="CV19" s="197"/>
      <c r="CW19" s="918">
        <f>'Energy NPV'!U72</f>
        <v>316.00314399999996</v>
      </c>
      <c r="CX19" s="197"/>
      <c r="CY19" s="197">
        <f t="shared" si="51"/>
        <v>316.00314399999996</v>
      </c>
      <c r="CZ19" s="197">
        <f t="shared" si="8"/>
        <v>121.49685600000004</v>
      </c>
      <c r="DA19" s="197">
        <f t="shared" si="9"/>
        <v>451.49685600000004</v>
      </c>
      <c r="DB19" s="196">
        <f t="shared" si="52"/>
        <v>437.5</v>
      </c>
      <c r="DC19" s="197">
        <f t="shared" si="53"/>
        <v>330</v>
      </c>
      <c r="DD19" s="197">
        <f t="shared" si="54"/>
        <v>316.00314399999996</v>
      </c>
      <c r="DE19" s="197">
        <f t="shared" si="55"/>
        <v>121.49685600000004</v>
      </c>
      <c r="DF19" s="199">
        <f t="shared" si="56"/>
        <v>451.49685600000004</v>
      </c>
      <c r="DG19" s="196">
        <f t="shared" si="70"/>
        <v>2987.5308455998393</v>
      </c>
      <c r="DH19" s="197">
        <f t="shared" si="57"/>
        <v>2640</v>
      </c>
      <c r="DI19" s="197">
        <f t="shared" si="58"/>
        <v>8432.6403520000003</v>
      </c>
      <c r="DJ19" s="197">
        <f t="shared" si="59"/>
        <v>-5445.1095064001611</v>
      </c>
      <c r="DK19" s="199">
        <f t="shared" si="60"/>
        <v>-2805.1095064001597</v>
      </c>
    </row>
    <row r="20" spans="2:115" x14ac:dyDescent="0.3">
      <c r="B20" s="204">
        <f t="shared" si="61"/>
        <v>9</v>
      </c>
      <c r="C20" s="225">
        <f>'Energy NPV'!$D73</f>
        <v>10</v>
      </c>
      <c r="D20" s="197">
        <f>'Energy margins'!$S$12</f>
        <v>43.75</v>
      </c>
      <c r="E20" s="197">
        <f t="shared" si="10"/>
        <v>437.5</v>
      </c>
      <c r="F20" s="197">
        <f>'Margins summary'!$U$14</f>
        <v>330</v>
      </c>
      <c r="G20" s="197">
        <f t="shared" si="11"/>
        <v>767.5</v>
      </c>
      <c r="H20" s="197"/>
      <c r="I20" s="918">
        <f>'Energy NPV'!U73</f>
        <v>316.00314399999996</v>
      </c>
      <c r="J20" s="197"/>
      <c r="K20" s="197">
        <f t="shared" si="12"/>
        <v>316.00314399999996</v>
      </c>
      <c r="L20" s="197">
        <f t="shared" si="0"/>
        <v>121.49685600000004</v>
      </c>
      <c r="M20" s="197">
        <f t="shared" si="1"/>
        <v>451.49685600000004</v>
      </c>
      <c r="N20" s="196">
        <f t="shared" si="13"/>
        <v>345.36654001234689</v>
      </c>
      <c r="O20" s="197">
        <f t="shared" si="14"/>
        <v>260.50504732359883</v>
      </c>
      <c r="P20" s="197">
        <f t="shared" si="15"/>
        <v>249.45579994583636</v>
      </c>
      <c r="Q20" s="197">
        <f t="shared" si="16"/>
        <v>95.910740066510542</v>
      </c>
      <c r="R20" s="199">
        <f t="shared" si="17"/>
        <v>356.41578739010936</v>
      </c>
      <c r="S20" s="196">
        <f t="shared" si="62"/>
        <v>3001.3099135651623</v>
      </c>
      <c r="T20" s="197">
        <f t="shared" si="18"/>
        <v>2646.4984225467078</v>
      </c>
      <c r="U20" s="197">
        <f t="shared" si="18"/>
        <v>8423.1206875153239</v>
      </c>
      <c r="V20" s="197">
        <f t="shared" si="18"/>
        <v>-5421.8107739501611</v>
      </c>
      <c r="W20" s="199">
        <f t="shared" si="18"/>
        <v>-2775.3123514034523</v>
      </c>
      <c r="Y20" s="204">
        <f t="shared" si="63"/>
        <v>9</v>
      </c>
      <c r="Z20" s="225">
        <f>'Energy NPV'!$D73</f>
        <v>10</v>
      </c>
      <c r="AA20" s="197">
        <f>'Energy margins'!$S$12</f>
        <v>43.75</v>
      </c>
      <c r="AB20" s="197">
        <f t="shared" si="19"/>
        <v>437.5</v>
      </c>
      <c r="AC20" s="197">
        <f>'Margins summary'!$U$14</f>
        <v>330</v>
      </c>
      <c r="AD20" s="197">
        <f t="shared" si="20"/>
        <v>767.5</v>
      </c>
      <c r="AE20" s="197"/>
      <c r="AF20" s="918">
        <f>'Energy NPV'!U73</f>
        <v>316.00314399999996</v>
      </c>
      <c r="AG20" s="197"/>
      <c r="AH20" s="197">
        <f t="shared" si="21"/>
        <v>316.00314399999996</v>
      </c>
      <c r="AI20" s="197">
        <f t="shared" si="2"/>
        <v>121.49685600000004</v>
      </c>
      <c r="AJ20" s="197">
        <f t="shared" si="3"/>
        <v>451.49685600000004</v>
      </c>
      <c r="AK20" s="196">
        <f t="shared" si="22"/>
        <v>307.64349304887531</v>
      </c>
      <c r="AL20" s="197">
        <f t="shared" si="23"/>
        <v>232.05109189972308</v>
      </c>
      <c r="AM20" s="197">
        <f t="shared" si="24"/>
        <v>222.20871093619823</v>
      </c>
      <c r="AN20" s="197">
        <f t="shared" si="25"/>
        <v>85.43478211267707</v>
      </c>
      <c r="AO20" s="199">
        <f t="shared" si="26"/>
        <v>317.48587401240013</v>
      </c>
      <c r="AP20" s="196">
        <f t="shared" si="64"/>
        <v>2818.3498198584793</v>
      </c>
      <c r="AQ20" s="197">
        <f t="shared" si="27"/>
        <v>2506.6424022283813</v>
      </c>
      <c r="AR20" s="197">
        <f t="shared" si="27"/>
        <v>8281.7735225596753</v>
      </c>
      <c r="AS20" s="197">
        <f t="shared" si="27"/>
        <v>-5463.4237027011968</v>
      </c>
      <c r="AT20" s="199">
        <f t="shared" si="27"/>
        <v>-2956.7813004728141</v>
      </c>
      <c r="AV20" s="204">
        <f t="shared" si="65"/>
        <v>9</v>
      </c>
      <c r="AW20" s="225">
        <f>'Energy NPV'!$D73</f>
        <v>10</v>
      </c>
      <c r="AX20" s="197">
        <f>'Energy margins'!$S$12</f>
        <v>43.75</v>
      </c>
      <c r="AY20" s="197">
        <f t="shared" si="28"/>
        <v>437.5</v>
      </c>
      <c r="AZ20" s="197">
        <f>'Margins summary'!$U$14</f>
        <v>330</v>
      </c>
      <c r="BA20" s="197">
        <f t="shared" si="29"/>
        <v>767.5</v>
      </c>
      <c r="BB20" s="197"/>
      <c r="BC20" s="918">
        <f>'Energy NPV'!U73</f>
        <v>316.00314399999996</v>
      </c>
      <c r="BD20" s="197"/>
      <c r="BE20" s="197">
        <f t="shared" si="30"/>
        <v>316.00314399999996</v>
      </c>
      <c r="BF20" s="197">
        <f t="shared" si="4"/>
        <v>121.49685600000004</v>
      </c>
      <c r="BG20" s="197">
        <f t="shared" si="5"/>
        <v>451.49685600000004</v>
      </c>
      <c r="BH20" s="196">
        <f t="shared" si="31"/>
        <v>388.37361666293202</v>
      </c>
      <c r="BI20" s="197">
        <f t="shared" si="32"/>
        <v>292.94467085432586</v>
      </c>
      <c r="BJ20" s="197">
        <f t="shared" si="33"/>
        <v>280.51950608488522</v>
      </c>
      <c r="BK20" s="197">
        <f t="shared" si="34"/>
        <v>107.85411057804677</v>
      </c>
      <c r="BL20" s="199">
        <f t="shared" si="35"/>
        <v>400.79878143237261</v>
      </c>
      <c r="BM20" s="196">
        <f t="shared" si="66"/>
        <v>3202.7486038659413</v>
      </c>
      <c r="BN20" s="197">
        <f t="shared" si="36"/>
        <v>2800.3552763782991</v>
      </c>
      <c r="BO20" s="197">
        <f t="shared" si="36"/>
        <v>8578.1680762493907</v>
      </c>
      <c r="BP20" s="197">
        <f t="shared" si="36"/>
        <v>-5375.4194723834471</v>
      </c>
      <c r="BQ20" s="199">
        <f t="shared" si="36"/>
        <v>-2575.0641960051489</v>
      </c>
      <c r="BS20" s="204">
        <f t="shared" si="67"/>
        <v>9</v>
      </c>
      <c r="BT20" s="225">
        <f>'Energy NPV'!$D73</f>
        <v>10</v>
      </c>
      <c r="BU20" s="197">
        <f>'Energy margins'!$S$12</f>
        <v>43.75</v>
      </c>
      <c r="BV20" s="197">
        <f t="shared" si="37"/>
        <v>437.5</v>
      </c>
      <c r="BW20" s="197">
        <f>'Margins summary'!$U$14</f>
        <v>330</v>
      </c>
      <c r="BX20" s="197">
        <f t="shared" si="38"/>
        <v>767.5</v>
      </c>
      <c r="BY20" s="197"/>
      <c r="BZ20" s="918">
        <f>'Energy NPV'!U73</f>
        <v>316.00314399999996</v>
      </c>
      <c r="CA20" s="197"/>
      <c r="CB20" s="197">
        <f t="shared" si="39"/>
        <v>316.00314399999996</v>
      </c>
      <c r="CC20" s="197">
        <f t="shared" si="6"/>
        <v>121.49685600000004</v>
      </c>
      <c r="CD20" s="197">
        <f t="shared" si="7"/>
        <v>451.49685600000004</v>
      </c>
      <c r="CE20" s="196">
        <f t="shared" si="40"/>
        <v>274.49291246204911</v>
      </c>
      <c r="CF20" s="197">
        <f t="shared" si="41"/>
        <v>207.04608254280274</v>
      </c>
      <c r="CG20" s="197">
        <f t="shared" si="42"/>
        <v>198.26428192851264</v>
      </c>
      <c r="CH20" s="197">
        <f t="shared" si="43"/>
        <v>76.228630533536446</v>
      </c>
      <c r="CI20" s="199">
        <f t="shared" si="44"/>
        <v>283.2747130763392</v>
      </c>
      <c r="CJ20" s="196">
        <f t="shared" si="68"/>
        <v>2651.8103852575509</v>
      </c>
      <c r="CK20" s="197">
        <f t="shared" si="45"/>
        <v>2379.231957619952</v>
      </c>
      <c r="CL20" s="197">
        <f t="shared" si="46"/>
        <v>8152.6218396616086</v>
      </c>
      <c r="CM20" s="197">
        <f t="shared" si="47"/>
        <v>-5500.8114544040563</v>
      </c>
      <c r="CN20" s="199">
        <f t="shared" si="48"/>
        <v>-3121.5794967841048</v>
      </c>
      <c r="CP20" s="204">
        <f t="shared" si="69"/>
        <v>9</v>
      </c>
      <c r="CQ20" s="225">
        <f>'Energy NPV'!$D73</f>
        <v>10</v>
      </c>
      <c r="CR20" s="197">
        <f>'Energy margins'!$S$12</f>
        <v>43.75</v>
      </c>
      <c r="CS20" s="197">
        <f t="shared" si="49"/>
        <v>437.5</v>
      </c>
      <c r="CT20" s="197">
        <f>'Margins summary'!$U$14</f>
        <v>330</v>
      </c>
      <c r="CU20" s="197">
        <f t="shared" si="50"/>
        <v>767.5</v>
      </c>
      <c r="CV20" s="197"/>
      <c r="CW20" s="918">
        <f>'Energy NPV'!U73</f>
        <v>316.00314399999996</v>
      </c>
      <c r="CX20" s="197"/>
      <c r="CY20" s="197">
        <f t="shared" si="51"/>
        <v>316.00314399999996</v>
      </c>
      <c r="CZ20" s="197">
        <f t="shared" si="8"/>
        <v>121.49685600000004</v>
      </c>
      <c r="DA20" s="197">
        <f t="shared" si="9"/>
        <v>451.49685600000004</v>
      </c>
      <c r="DB20" s="196">
        <f t="shared" si="52"/>
        <v>437.5</v>
      </c>
      <c r="DC20" s="197">
        <f t="shared" si="53"/>
        <v>330</v>
      </c>
      <c r="DD20" s="197">
        <f t="shared" si="54"/>
        <v>316.00314399999996</v>
      </c>
      <c r="DE20" s="197">
        <f t="shared" si="55"/>
        <v>121.49685600000004</v>
      </c>
      <c r="DF20" s="199">
        <f t="shared" si="56"/>
        <v>451.49685600000004</v>
      </c>
      <c r="DG20" s="196">
        <f t="shared" si="70"/>
        <v>3425.0308455998393</v>
      </c>
      <c r="DH20" s="197">
        <f t="shared" si="57"/>
        <v>2970</v>
      </c>
      <c r="DI20" s="197">
        <f t="shared" si="58"/>
        <v>8748.6434960000006</v>
      </c>
      <c r="DJ20" s="197">
        <f t="shared" si="59"/>
        <v>-5323.6126504001613</v>
      </c>
      <c r="DK20" s="199">
        <f t="shared" si="60"/>
        <v>-2353.6126504001595</v>
      </c>
    </row>
    <row r="21" spans="2:115" x14ac:dyDescent="0.3">
      <c r="B21" s="204">
        <f t="shared" si="61"/>
        <v>10</v>
      </c>
      <c r="C21" s="225">
        <f>'Energy NPV'!$D74</f>
        <v>10</v>
      </c>
      <c r="D21" s="197">
        <f>'Energy margins'!$S$12</f>
        <v>43.75</v>
      </c>
      <c r="E21" s="197">
        <f t="shared" si="10"/>
        <v>437.5</v>
      </c>
      <c r="F21" s="197">
        <f>'Margins summary'!$U$14</f>
        <v>330</v>
      </c>
      <c r="G21" s="197">
        <f t="shared" si="11"/>
        <v>767.5</v>
      </c>
      <c r="H21" s="197"/>
      <c r="I21" s="918">
        <f>'Energy NPV'!U74</f>
        <v>316.00314399999996</v>
      </c>
      <c r="J21" s="197"/>
      <c r="K21" s="197">
        <f t="shared" si="12"/>
        <v>316.00314399999996</v>
      </c>
      <c r="L21" s="197">
        <f t="shared" si="0"/>
        <v>121.49685600000004</v>
      </c>
      <c r="M21" s="197">
        <f t="shared" si="1"/>
        <v>451.49685600000004</v>
      </c>
      <c r="N21" s="196">
        <f t="shared" si="13"/>
        <v>335.30732040033678</v>
      </c>
      <c r="O21" s="197">
        <f t="shared" si="14"/>
        <v>252.91752167339689</v>
      </c>
      <c r="P21" s="197">
        <f t="shared" si="15"/>
        <v>242.19009703479259</v>
      </c>
      <c r="Q21" s="197">
        <f t="shared" si="16"/>
        <v>93.11722336554422</v>
      </c>
      <c r="R21" s="199">
        <f t="shared" si="17"/>
        <v>346.03474503894108</v>
      </c>
      <c r="S21" s="196">
        <f t="shared" si="62"/>
        <v>3336.6172339654991</v>
      </c>
      <c r="T21" s="197">
        <f t="shared" si="18"/>
        <v>2899.4159442201048</v>
      </c>
      <c r="U21" s="197">
        <f t="shared" si="18"/>
        <v>8665.3107845501163</v>
      </c>
      <c r="V21" s="197">
        <f t="shared" si="18"/>
        <v>-5328.6935505846168</v>
      </c>
      <c r="W21" s="199">
        <f t="shared" si="18"/>
        <v>-2429.2776063645115</v>
      </c>
      <c r="Y21" s="204">
        <f t="shared" si="63"/>
        <v>10</v>
      </c>
      <c r="Z21" s="225">
        <f>'Energy NPV'!$D74</f>
        <v>10</v>
      </c>
      <c r="AA21" s="197">
        <f>'Energy margins'!$S$12</f>
        <v>43.75</v>
      </c>
      <c r="AB21" s="197">
        <f t="shared" si="19"/>
        <v>437.5</v>
      </c>
      <c r="AC21" s="197">
        <f>'Margins summary'!$U$14</f>
        <v>330</v>
      </c>
      <c r="AD21" s="197">
        <f t="shared" si="20"/>
        <v>767.5</v>
      </c>
      <c r="AE21" s="197"/>
      <c r="AF21" s="918">
        <f>'Energy NPV'!U74</f>
        <v>316.00314399999996</v>
      </c>
      <c r="AG21" s="197"/>
      <c r="AH21" s="197">
        <f t="shared" si="21"/>
        <v>316.00314399999996</v>
      </c>
      <c r="AI21" s="197">
        <f t="shared" si="2"/>
        <v>121.49685600000004</v>
      </c>
      <c r="AJ21" s="197">
        <f t="shared" si="3"/>
        <v>451.49685600000004</v>
      </c>
      <c r="AK21" s="196">
        <f t="shared" si="22"/>
        <v>294.39568712811035</v>
      </c>
      <c r="AL21" s="197">
        <f t="shared" si="23"/>
        <v>222.05846114806039</v>
      </c>
      <c r="AM21" s="197">
        <f t="shared" si="24"/>
        <v>212.63991477148159</v>
      </c>
      <c r="AN21" s="197">
        <f t="shared" si="25"/>
        <v>81.755772356628768</v>
      </c>
      <c r="AO21" s="199">
        <f t="shared" si="26"/>
        <v>303.81423350468918</v>
      </c>
      <c r="AP21" s="196">
        <f t="shared" si="64"/>
        <v>3112.7455069865896</v>
      </c>
      <c r="AQ21" s="197">
        <f t="shared" si="27"/>
        <v>2728.7008633764417</v>
      </c>
      <c r="AR21" s="197">
        <f t="shared" si="27"/>
        <v>8494.4134373311572</v>
      </c>
      <c r="AS21" s="197">
        <f t="shared" si="27"/>
        <v>-5381.667930344568</v>
      </c>
      <c r="AT21" s="199">
        <f t="shared" si="27"/>
        <v>-2652.967066968125</v>
      </c>
      <c r="AV21" s="204">
        <f t="shared" si="65"/>
        <v>10</v>
      </c>
      <c r="AW21" s="225">
        <f>'Energy NPV'!$D74</f>
        <v>10</v>
      </c>
      <c r="AX21" s="197">
        <f>'Energy margins'!$S$12</f>
        <v>43.75</v>
      </c>
      <c r="AY21" s="197">
        <f t="shared" si="28"/>
        <v>437.5</v>
      </c>
      <c r="AZ21" s="197">
        <f>'Margins summary'!$U$14</f>
        <v>330</v>
      </c>
      <c r="BA21" s="197">
        <f t="shared" si="29"/>
        <v>767.5</v>
      </c>
      <c r="BB21" s="197"/>
      <c r="BC21" s="918">
        <f>'Energy NPV'!U74</f>
        <v>316.00314399999996</v>
      </c>
      <c r="BD21" s="197"/>
      <c r="BE21" s="197">
        <f t="shared" si="30"/>
        <v>316.00314399999996</v>
      </c>
      <c r="BF21" s="197">
        <f t="shared" si="4"/>
        <v>121.49685600000004</v>
      </c>
      <c r="BG21" s="197">
        <f t="shared" si="5"/>
        <v>451.49685600000004</v>
      </c>
      <c r="BH21" s="196">
        <f t="shared" si="31"/>
        <v>382.63410508663259</v>
      </c>
      <c r="BI21" s="197">
        <f t="shared" si="32"/>
        <v>288.61543926534569</v>
      </c>
      <c r="BJ21" s="197">
        <f t="shared" si="33"/>
        <v>276.3738976205766</v>
      </c>
      <c r="BK21" s="197">
        <f t="shared" si="34"/>
        <v>106.26020746605595</v>
      </c>
      <c r="BL21" s="199">
        <f t="shared" si="35"/>
        <v>394.87564673140167</v>
      </c>
      <c r="BM21" s="196">
        <f t="shared" si="66"/>
        <v>3585.3827089525739</v>
      </c>
      <c r="BN21" s="197">
        <f t="shared" si="36"/>
        <v>3088.9707156436448</v>
      </c>
      <c r="BO21" s="197">
        <f t="shared" si="36"/>
        <v>8854.5419738699675</v>
      </c>
      <c r="BP21" s="197">
        <f t="shared" si="36"/>
        <v>-5269.1592649173908</v>
      </c>
      <c r="BQ21" s="199">
        <f t="shared" si="36"/>
        <v>-2180.1885492737474</v>
      </c>
      <c r="BS21" s="204">
        <f t="shared" si="67"/>
        <v>10</v>
      </c>
      <c r="BT21" s="225">
        <f>'Energy NPV'!$D74</f>
        <v>10</v>
      </c>
      <c r="BU21" s="197">
        <f>'Energy margins'!$S$12</f>
        <v>43.75</v>
      </c>
      <c r="BV21" s="197">
        <f t="shared" si="37"/>
        <v>437.5</v>
      </c>
      <c r="BW21" s="197">
        <f>'Margins summary'!$U$14</f>
        <v>330</v>
      </c>
      <c r="BX21" s="197">
        <f t="shared" si="38"/>
        <v>767.5</v>
      </c>
      <c r="BY21" s="197"/>
      <c r="BZ21" s="918">
        <f>'Energy NPV'!U74</f>
        <v>316.00314399999996</v>
      </c>
      <c r="CA21" s="197"/>
      <c r="CB21" s="197">
        <f t="shared" si="39"/>
        <v>316.00314399999996</v>
      </c>
      <c r="CC21" s="197">
        <f t="shared" si="6"/>
        <v>121.49685600000004</v>
      </c>
      <c r="CD21" s="197">
        <f t="shared" si="7"/>
        <v>451.49685600000004</v>
      </c>
      <c r="CE21" s="196">
        <f t="shared" si="40"/>
        <v>258.95557779438593</v>
      </c>
      <c r="CF21" s="197">
        <f t="shared" si="41"/>
        <v>195.32649296490825</v>
      </c>
      <c r="CG21" s="197">
        <f t="shared" si="42"/>
        <v>187.04177540425721</v>
      </c>
      <c r="CH21" s="197">
        <f t="shared" si="43"/>
        <v>71.913802390128723</v>
      </c>
      <c r="CI21" s="199">
        <f t="shared" si="44"/>
        <v>267.24029535503695</v>
      </c>
      <c r="CJ21" s="196">
        <f t="shared" si="68"/>
        <v>2910.765963051937</v>
      </c>
      <c r="CK21" s="197">
        <f t="shared" si="45"/>
        <v>2574.5584505848601</v>
      </c>
      <c r="CL21" s="197">
        <f t="shared" si="46"/>
        <v>8339.6636150658651</v>
      </c>
      <c r="CM21" s="197">
        <f t="shared" si="47"/>
        <v>-5428.8976520139277</v>
      </c>
      <c r="CN21" s="199">
        <f t="shared" si="48"/>
        <v>-2854.339201429068</v>
      </c>
      <c r="CP21" s="204">
        <f t="shared" si="69"/>
        <v>10</v>
      </c>
      <c r="CQ21" s="225">
        <f>'Energy NPV'!$D74</f>
        <v>10</v>
      </c>
      <c r="CR21" s="197">
        <f>'Energy margins'!$S$12</f>
        <v>43.75</v>
      </c>
      <c r="CS21" s="197">
        <f t="shared" si="49"/>
        <v>437.5</v>
      </c>
      <c r="CT21" s="197">
        <f>'Margins summary'!$U$14</f>
        <v>330</v>
      </c>
      <c r="CU21" s="197">
        <f t="shared" si="50"/>
        <v>767.5</v>
      </c>
      <c r="CV21" s="197"/>
      <c r="CW21" s="918">
        <f>'Energy NPV'!U74</f>
        <v>316.00314399999996</v>
      </c>
      <c r="CX21" s="197"/>
      <c r="CY21" s="197">
        <f t="shared" si="51"/>
        <v>316.00314399999996</v>
      </c>
      <c r="CZ21" s="197">
        <f t="shared" si="8"/>
        <v>121.49685600000004</v>
      </c>
      <c r="DA21" s="197">
        <f t="shared" si="9"/>
        <v>451.49685600000004</v>
      </c>
      <c r="DB21" s="196">
        <f t="shared" si="52"/>
        <v>437.5</v>
      </c>
      <c r="DC21" s="197">
        <f t="shared" si="53"/>
        <v>330</v>
      </c>
      <c r="DD21" s="197">
        <f t="shared" si="54"/>
        <v>316.00314399999996</v>
      </c>
      <c r="DE21" s="197">
        <f t="shared" si="55"/>
        <v>121.49685600000004</v>
      </c>
      <c r="DF21" s="199">
        <f t="shared" si="56"/>
        <v>451.49685600000004</v>
      </c>
      <c r="DG21" s="196">
        <f t="shared" si="70"/>
        <v>3862.5308455998393</v>
      </c>
      <c r="DH21" s="197">
        <f t="shared" si="57"/>
        <v>3300</v>
      </c>
      <c r="DI21" s="197">
        <f t="shared" si="58"/>
        <v>9064.6466400000008</v>
      </c>
      <c r="DJ21" s="197">
        <f t="shared" si="59"/>
        <v>-5202.1157944001616</v>
      </c>
      <c r="DK21" s="199">
        <f t="shared" si="60"/>
        <v>-1902.1157944001595</v>
      </c>
    </row>
    <row r="22" spans="2:115" x14ac:dyDescent="0.3">
      <c r="B22" s="204">
        <f t="shared" si="61"/>
        <v>11</v>
      </c>
      <c r="C22" s="225">
        <f>'Energy NPV'!$D75</f>
        <v>10</v>
      </c>
      <c r="D22" s="197">
        <f>'Energy margins'!$S$12</f>
        <v>43.75</v>
      </c>
      <c r="E22" s="197">
        <f t="shared" si="10"/>
        <v>437.5</v>
      </c>
      <c r="F22" s="197">
        <f>'Margins summary'!$U$14</f>
        <v>330</v>
      </c>
      <c r="G22" s="197">
        <f t="shared" si="11"/>
        <v>767.5</v>
      </c>
      <c r="H22" s="197"/>
      <c r="I22" s="918">
        <f>'Energy NPV'!U75</f>
        <v>316.00314399999996</v>
      </c>
      <c r="J22" s="197"/>
      <c r="K22" s="197">
        <f t="shared" si="12"/>
        <v>316.00314399999996</v>
      </c>
      <c r="L22" s="197">
        <f t="shared" si="0"/>
        <v>121.49685600000004</v>
      </c>
      <c r="M22" s="197">
        <f t="shared" si="1"/>
        <v>451.49685600000004</v>
      </c>
      <c r="N22" s="196">
        <f t="shared" si="13"/>
        <v>325.54108776731726</v>
      </c>
      <c r="O22" s="197">
        <f t="shared" si="14"/>
        <v>245.55099191591933</v>
      </c>
      <c r="P22" s="197">
        <f t="shared" si="15"/>
        <v>235.13601653863356</v>
      </c>
      <c r="Q22" s="197">
        <f t="shared" si="16"/>
        <v>90.405071228683695</v>
      </c>
      <c r="R22" s="199">
        <f t="shared" si="17"/>
        <v>335.95606314460304</v>
      </c>
      <c r="S22" s="196">
        <f t="shared" si="62"/>
        <v>3662.1583217328161</v>
      </c>
      <c r="T22" s="197">
        <f t="shared" si="18"/>
        <v>3144.9669361360243</v>
      </c>
      <c r="U22" s="197">
        <f t="shared" si="18"/>
        <v>8900.4468010887504</v>
      </c>
      <c r="V22" s="197">
        <f t="shared" si="18"/>
        <v>-5238.2884793559333</v>
      </c>
      <c r="W22" s="199">
        <f t="shared" si="18"/>
        <v>-2093.3215432199086</v>
      </c>
      <c r="Y22" s="204">
        <f t="shared" si="63"/>
        <v>11</v>
      </c>
      <c r="Z22" s="225">
        <f>'Energy NPV'!$D75</f>
        <v>10</v>
      </c>
      <c r="AA22" s="197">
        <f>'Energy margins'!$S$12</f>
        <v>43.75</v>
      </c>
      <c r="AB22" s="197">
        <f t="shared" si="19"/>
        <v>437.5</v>
      </c>
      <c r="AC22" s="197">
        <f>'Margins summary'!$U$14</f>
        <v>330</v>
      </c>
      <c r="AD22" s="197">
        <f t="shared" si="20"/>
        <v>767.5</v>
      </c>
      <c r="AE22" s="197"/>
      <c r="AF22" s="918">
        <f>'Energy NPV'!U75</f>
        <v>316.00314399999996</v>
      </c>
      <c r="AG22" s="197"/>
      <c r="AH22" s="197">
        <f t="shared" si="21"/>
        <v>316.00314399999996</v>
      </c>
      <c r="AI22" s="197">
        <f t="shared" si="2"/>
        <v>121.49685600000004</v>
      </c>
      <c r="AJ22" s="197">
        <f t="shared" si="3"/>
        <v>451.49685600000004</v>
      </c>
      <c r="AK22" s="196">
        <f t="shared" si="22"/>
        <v>281.71836088814393</v>
      </c>
      <c r="AL22" s="197">
        <f t="shared" si="23"/>
        <v>212.49613506991429</v>
      </c>
      <c r="AM22" s="197">
        <f t="shared" si="24"/>
        <v>203.48317203012596</v>
      </c>
      <c r="AN22" s="197">
        <f t="shared" si="25"/>
        <v>78.235188858017978</v>
      </c>
      <c r="AO22" s="199">
        <f t="shared" si="26"/>
        <v>290.73132392793224</v>
      </c>
      <c r="AP22" s="196">
        <f t="shared" si="64"/>
        <v>3394.4638678747333</v>
      </c>
      <c r="AQ22" s="197">
        <f t="shared" si="27"/>
        <v>2941.1969984463558</v>
      </c>
      <c r="AR22" s="197">
        <f t="shared" si="27"/>
        <v>8697.8966093612835</v>
      </c>
      <c r="AS22" s="197">
        <f t="shared" si="27"/>
        <v>-5303.4327414865502</v>
      </c>
      <c r="AT22" s="199">
        <f t="shared" si="27"/>
        <v>-2362.2357430401926</v>
      </c>
      <c r="AV22" s="204">
        <f t="shared" si="65"/>
        <v>11</v>
      </c>
      <c r="AW22" s="225">
        <f>'Energy NPV'!$D75</f>
        <v>10</v>
      </c>
      <c r="AX22" s="197">
        <f>'Energy margins'!$S$12</f>
        <v>43.75</v>
      </c>
      <c r="AY22" s="197">
        <f t="shared" si="28"/>
        <v>437.5</v>
      </c>
      <c r="AZ22" s="197">
        <f>'Margins summary'!$U$14</f>
        <v>330</v>
      </c>
      <c r="BA22" s="197">
        <f t="shared" si="29"/>
        <v>767.5</v>
      </c>
      <c r="BB22" s="197"/>
      <c r="BC22" s="918">
        <f>'Energy NPV'!U75</f>
        <v>316.00314399999996</v>
      </c>
      <c r="BD22" s="197"/>
      <c r="BE22" s="197">
        <f t="shared" si="30"/>
        <v>316.00314399999996</v>
      </c>
      <c r="BF22" s="197">
        <f t="shared" si="4"/>
        <v>121.49685600000004</v>
      </c>
      <c r="BG22" s="197">
        <f t="shared" si="5"/>
        <v>451.49685600000004</v>
      </c>
      <c r="BH22" s="196">
        <f t="shared" si="31"/>
        <v>376.97941387845577</v>
      </c>
      <c r="BI22" s="197">
        <f t="shared" si="32"/>
        <v>284.35018646832094</v>
      </c>
      <c r="BJ22" s="197">
        <f t="shared" si="33"/>
        <v>272.28955430598683</v>
      </c>
      <c r="BK22" s="197">
        <f t="shared" si="34"/>
        <v>104.68985957246893</v>
      </c>
      <c r="BL22" s="199">
        <f t="shared" si="35"/>
        <v>389.04004604078983</v>
      </c>
      <c r="BM22" s="196">
        <f t="shared" si="66"/>
        <v>3962.3621228310299</v>
      </c>
      <c r="BN22" s="197">
        <f t="shared" si="36"/>
        <v>3373.3209021119656</v>
      </c>
      <c r="BO22" s="197">
        <f t="shared" si="36"/>
        <v>9126.8315281759551</v>
      </c>
      <c r="BP22" s="197">
        <f t="shared" si="36"/>
        <v>-5164.4694053449221</v>
      </c>
      <c r="BQ22" s="199">
        <f t="shared" si="36"/>
        <v>-1791.1485032329576</v>
      </c>
      <c r="BS22" s="204">
        <f t="shared" si="67"/>
        <v>11</v>
      </c>
      <c r="BT22" s="225">
        <f>'Energy NPV'!$D75</f>
        <v>10</v>
      </c>
      <c r="BU22" s="197">
        <f>'Energy margins'!$S$12</f>
        <v>43.75</v>
      </c>
      <c r="BV22" s="197">
        <f t="shared" si="37"/>
        <v>437.5</v>
      </c>
      <c r="BW22" s="197">
        <f>'Margins summary'!$U$14</f>
        <v>330</v>
      </c>
      <c r="BX22" s="197">
        <f t="shared" si="38"/>
        <v>767.5</v>
      </c>
      <c r="BY22" s="197"/>
      <c r="BZ22" s="918">
        <f>'Energy NPV'!U75</f>
        <v>316.00314399999996</v>
      </c>
      <c r="CA22" s="197"/>
      <c r="CB22" s="197">
        <f t="shared" si="39"/>
        <v>316.00314399999996</v>
      </c>
      <c r="CC22" s="197">
        <f t="shared" si="6"/>
        <v>121.49685600000004</v>
      </c>
      <c r="CD22" s="197">
        <f t="shared" si="7"/>
        <v>451.49685600000004</v>
      </c>
      <c r="CE22" s="196">
        <f t="shared" si="40"/>
        <v>244.29771490036407</v>
      </c>
      <c r="CF22" s="197">
        <f t="shared" si="41"/>
        <v>184.27027638198891</v>
      </c>
      <c r="CG22" s="197">
        <f t="shared" si="42"/>
        <v>176.45450509835584</v>
      </c>
      <c r="CH22" s="197">
        <f t="shared" si="43"/>
        <v>67.843209802008218</v>
      </c>
      <c r="CI22" s="199">
        <f t="shared" si="44"/>
        <v>252.11348618399711</v>
      </c>
      <c r="CJ22" s="196">
        <f t="shared" si="68"/>
        <v>3155.0636779523011</v>
      </c>
      <c r="CK22" s="197">
        <f t="shared" si="45"/>
        <v>2758.828726966849</v>
      </c>
      <c r="CL22" s="197">
        <f t="shared" si="46"/>
        <v>8516.1181201642212</v>
      </c>
      <c r="CM22" s="197">
        <f t="shared" si="47"/>
        <v>-5361.0544422119192</v>
      </c>
      <c r="CN22" s="199">
        <f t="shared" si="48"/>
        <v>-2602.2257152450711</v>
      </c>
      <c r="CP22" s="204">
        <f t="shared" si="69"/>
        <v>11</v>
      </c>
      <c r="CQ22" s="225">
        <f>'Energy NPV'!$D75</f>
        <v>10</v>
      </c>
      <c r="CR22" s="197">
        <f>'Energy margins'!$S$12</f>
        <v>43.75</v>
      </c>
      <c r="CS22" s="197">
        <f t="shared" si="49"/>
        <v>437.5</v>
      </c>
      <c r="CT22" s="197">
        <f>'Margins summary'!$U$14</f>
        <v>330</v>
      </c>
      <c r="CU22" s="197">
        <f t="shared" si="50"/>
        <v>767.5</v>
      </c>
      <c r="CV22" s="197"/>
      <c r="CW22" s="918">
        <f>'Energy NPV'!U75</f>
        <v>316.00314399999996</v>
      </c>
      <c r="CX22" s="197"/>
      <c r="CY22" s="197">
        <f t="shared" si="51"/>
        <v>316.00314399999996</v>
      </c>
      <c r="CZ22" s="197">
        <f t="shared" si="8"/>
        <v>121.49685600000004</v>
      </c>
      <c r="DA22" s="197">
        <f t="shared" si="9"/>
        <v>451.49685600000004</v>
      </c>
      <c r="DB22" s="196">
        <f t="shared" si="52"/>
        <v>437.5</v>
      </c>
      <c r="DC22" s="197">
        <f t="shared" si="53"/>
        <v>330</v>
      </c>
      <c r="DD22" s="197">
        <f t="shared" si="54"/>
        <v>316.00314399999996</v>
      </c>
      <c r="DE22" s="197">
        <f t="shared" si="55"/>
        <v>121.49685600000004</v>
      </c>
      <c r="DF22" s="199">
        <f t="shared" si="56"/>
        <v>451.49685600000004</v>
      </c>
      <c r="DG22" s="196">
        <f t="shared" si="70"/>
        <v>4300.0308455998393</v>
      </c>
      <c r="DH22" s="197">
        <f t="shared" si="57"/>
        <v>3630</v>
      </c>
      <c r="DI22" s="197">
        <f t="shared" si="58"/>
        <v>9380.6497840000011</v>
      </c>
      <c r="DJ22" s="197">
        <f t="shared" si="59"/>
        <v>-5080.6189384001618</v>
      </c>
      <c r="DK22" s="199">
        <f t="shared" si="60"/>
        <v>-1450.6189384001595</v>
      </c>
    </row>
    <row r="23" spans="2:115" x14ac:dyDescent="0.3">
      <c r="B23" s="204">
        <f t="shared" si="61"/>
        <v>12</v>
      </c>
      <c r="C23" s="225">
        <f>'Energy NPV'!$D76</f>
        <v>10</v>
      </c>
      <c r="D23" s="197">
        <f>'Energy margins'!$S$12</f>
        <v>43.75</v>
      </c>
      <c r="E23" s="197">
        <f t="shared" si="10"/>
        <v>437.5</v>
      </c>
      <c r="F23" s="197">
        <f>'Margins summary'!$U$14</f>
        <v>330</v>
      </c>
      <c r="G23" s="197">
        <f t="shared" si="11"/>
        <v>767.5</v>
      </c>
      <c r="H23" s="197"/>
      <c r="I23" s="918">
        <f>'Energy NPV'!U76</f>
        <v>316.00314399999996</v>
      </c>
      <c r="J23" s="197"/>
      <c r="K23" s="197">
        <f t="shared" si="12"/>
        <v>316.00314399999996</v>
      </c>
      <c r="L23" s="197">
        <f t="shared" si="0"/>
        <v>121.49685600000004</v>
      </c>
      <c r="M23" s="197">
        <f t="shared" si="1"/>
        <v>451.49685600000004</v>
      </c>
      <c r="N23" s="196">
        <f t="shared" si="13"/>
        <v>316.05930851195848</v>
      </c>
      <c r="O23" s="197">
        <f t="shared" si="14"/>
        <v>238.39902127759154</v>
      </c>
      <c r="P23" s="197">
        <f t="shared" si="15"/>
        <v>228.2873946977025</v>
      </c>
      <c r="Q23" s="197">
        <f t="shared" si="16"/>
        <v>87.771913814256024</v>
      </c>
      <c r="R23" s="199">
        <f t="shared" si="17"/>
        <v>326.17093509184758</v>
      </c>
      <c r="S23" s="196">
        <f t="shared" si="62"/>
        <v>3978.2176302447747</v>
      </c>
      <c r="T23" s="197">
        <f t="shared" si="18"/>
        <v>3383.3659574136159</v>
      </c>
      <c r="U23" s="197">
        <f t="shared" si="18"/>
        <v>9128.7341957864537</v>
      </c>
      <c r="V23" s="197">
        <f t="shared" si="18"/>
        <v>-5150.5165655416777</v>
      </c>
      <c r="W23" s="199">
        <f t="shared" si="18"/>
        <v>-1767.1506081280609</v>
      </c>
      <c r="Y23" s="204">
        <f t="shared" si="63"/>
        <v>12</v>
      </c>
      <c r="Z23" s="225">
        <f>'Energy NPV'!$D76</f>
        <v>10</v>
      </c>
      <c r="AA23" s="197">
        <f>'Energy margins'!$S$12</f>
        <v>43.75</v>
      </c>
      <c r="AB23" s="197">
        <f t="shared" si="19"/>
        <v>437.5</v>
      </c>
      <c r="AC23" s="197">
        <f>'Margins summary'!$U$14</f>
        <v>330</v>
      </c>
      <c r="AD23" s="197">
        <f t="shared" si="20"/>
        <v>767.5</v>
      </c>
      <c r="AE23" s="197"/>
      <c r="AF23" s="918">
        <f>'Energy NPV'!U76</f>
        <v>316.00314399999996</v>
      </c>
      <c r="AG23" s="197"/>
      <c r="AH23" s="197">
        <f t="shared" si="21"/>
        <v>316.00314399999996</v>
      </c>
      <c r="AI23" s="197">
        <f t="shared" si="2"/>
        <v>121.49685600000004</v>
      </c>
      <c r="AJ23" s="197">
        <f t="shared" si="3"/>
        <v>451.49685600000004</v>
      </c>
      <c r="AK23" s="196">
        <f t="shared" si="22"/>
        <v>269.58694821831955</v>
      </c>
      <c r="AL23" s="197">
        <f t="shared" si="23"/>
        <v>203.34558379896103</v>
      </c>
      <c r="AM23" s="197">
        <f t="shared" si="24"/>
        <v>194.72073878480953</v>
      </c>
      <c r="AN23" s="197">
        <f t="shared" si="25"/>
        <v>74.866209433510022</v>
      </c>
      <c r="AO23" s="199">
        <f t="shared" si="26"/>
        <v>278.21179323247105</v>
      </c>
      <c r="AP23" s="196">
        <f t="shared" si="64"/>
        <v>3664.0508160930531</v>
      </c>
      <c r="AQ23" s="197">
        <f t="shared" si="27"/>
        <v>3144.5425822453167</v>
      </c>
      <c r="AR23" s="197">
        <f t="shared" si="27"/>
        <v>8892.6173481460937</v>
      </c>
      <c r="AS23" s="197">
        <f t="shared" si="27"/>
        <v>-5228.5665320530397</v>
      </c>
      <c r="AT23" s="199">
        <f t="shared" si="27"/>
        <v>-2084.0239498077217</v>
      </c>
      <c r="AV23" s="204">
        <f t="shared" si="65"/>
        <v>12</v>
      </c>
      <c r="AW23" s="225">
        <f>'Energy NPV'!$D76</f>
        <v>10</v>
      </c>
      <c r="AX23" s="197">
        <f>'Energy margins'!$S$12</f>
        <v>43.75</v>
      </c>
      <c r="AY23" s="197">
        <f t="shared" si="28"/>
        <v>437.5</v>
      </c>
      <c r="AZ23" s="197">
        <f>'Margins summary'!$U$14</f>
        <v>330</v>
      </c>
      <c r="BA23" s="197">
        <f t="shared" si="29"/>
        <v>767.5</v>
      </c>
      <c r="BB23" s="197"/>
      <c r="BC23" s="918">
        <f>'Energy NPV'!U76</f>
        <v>316.00314399999996</v>
      </c>
      <c r="BD23" s="197"/>
      <c r="BE23" s="197">
        <f t="shared" si="30"/>
        <v>316.00314399999996</v>
      </c>
      <c r="BF23" s="197">
        <f t="shared" si="4"/>
        <v>121.49685600000004</v>
      </c>
      <c r="BG23" s="197">
        <f t="shared" si="5"/>
        <v>451.49685600000004</v>
      </c>
      <c r="BH23" s="196">
        <f t="shared" si="31"/>
        <v>371.40828953542444</v>
      </c>
      <c r="BI23" s="197">
        <f t="shared" si="32"/>
        <v>280.14796696386304</v>
      </c>
      <c r="BJ23" s="197">
        <f t="shared" si="33"/>
        <v>268.26557074481468</v>
      </c>
      <c r="BK23" s="197">
        <f t="shared" si="34"/>
        <v>103.14271879060979</v>
      </c>
      <c r="BL23" s="199">
        <f t="shared" si="35"/>
        <v>383.2906857544728</v>
      </c>
      <c r="BM23" s="196">
        <f t="shared" si="66"/>
        <v>4333.7704123664544</v>
      </c>
      <c r="BN23" s="197">
        <f t="shared" si="36"/>
        <v>3653.4688690758285</v>
      </c>
      <c r="BO23" s="197">
        <f t="shared" si="36"/>
        <v>9395.097098920769</v>
      </c>
      <c r="BP23" s="197">
        <f t="shared" si="36"/>
        <v>-5061.3266865543119</v>
      </c>
      <c r="BQ23" s="199">
        <f t="shared" si="36"/>
        <v>-1407.8578174784848</v>
      </c>
      <c r="BS23" s="204">
        <f t="shared" si="67"/>
        <v>12</v>
      </c>
      <c r="BT23" s="225">
        <f>'Energy NPV'!$D76</f>
        <v>10</v>
      </c>
      <c r="BU23" s="197">
        <f>'Energy margins'!$S$12</f>
        <v>43.75</v>
      </c>
      <c r="BV23" s="197">
        <f t="shared" si="37"/>
        <v>437.5</v>
      </c>
      <c r="BW23" s="197">
        <f>'Margins summary'!$U$14</f>
        <v>330</v>
      </c>
      <c r="BX23" s="197">
        <f t="shared" si="38"/>
        <v>767.5</v>
      </c>
      <c r="BY23" s="197"/>
      <c r="BZ23" s="918">
        <f>'Energy NPV'!U76</f>
        <v>316.00314399999996</v>
      </c>
      <c r="CA23" s="197"/>
      <c r="CB23" s="197">
        <f t="shared" si="39"/>
        <v>316.00314399999996</v>
      </c>
      <c r="CC23" s="197">
        <f t="shared" si="6"/>
        <v>121.49685600000004</v>
      </c>
      <c r="CD23" s="197">
        <f t="shared" si="7"/>
        <v>451.49685600000004</v>
      </c>
      <c r="CE23" s="196">
        <f t="shared" si="40"/>
        <v>230.46954235883399</v>
      </c>
      <c r="CF23" s="197">
        <f t="shared" si="41"/>
        <v>173.83988337923478</v>
      </c>
      <c r="CG23" s="197">
        <f t="shared" si="42"/>
        <v>166.46651424373189</v>
      </c>
      <c r="CH23" s="197">
        <f t="shared" si="43"/>
        <v>64.003028115102083</v>
      </c>
      <c r="CI23" s="199">
        <f t="shared" si="44"/>
        <v>237.84291149433687</v>
      </c>
      <c r="CJ23" s="196">
        <f t="shared" si="68"/>
        <v>3385.5332203111352</v>
      </c>
      <c r="CK23" s="197">
        <f t="shared" si="45"/>
        <v>2932.6686103460838</v>
      </c>
      <c r="CL23" s="197">
        <f t="shared" si="46"/>
        <v>8682.5846344079528</v>
      </c>
      <c r="CM23" s="197">
        <f t="shared" si="47"/>
        <v>-5297.0514140968171</v>
      </c>
      <c r="CN23" s="199">
        <f t="shared" si="48"/>
        <v>-2364.3828037507342</v>
      </c>
      <c r="CP23" s="204">
        <f t="shared" si="69"/>
        <v>12</v>
      </c>
      <c r="CQ23" s="225">
        <f>'Energy NPV'!$D76</f>
        <v>10</v>
      </c>
      <c r="CR23" s="197">
        <f>'Energy margins'!$S$12</f>
        <v>43.75</v>
      </c>
      <c r="CS23" s="197">
        <f t="shared" si="49"/>
        <v>437.5</v>
      </c>
      <c r="CT23" s="197">
        <f>'Margins summary'!$U$14</f>
        <v>330</v>
      </c>
      <c r="CU23" s="197">
        <f t="shared" si="50"/>
        <v>767.5</v>
      </c>
      <c r="CV23" s="197"/>
      <c r="CW23" s="918">
        <f>'Energy NPV'!U76</f>
        <v>316.00314399999996</v>
      </c>
      <c r="CX23" s="197"/>
      <c r="CY23" s="197">
        <f t="shared" si="51"/>
        <v>316.00314399999996</v>
      </c>
      <c r="CZ23" s="197">
        <f t="shared" si="8"/>
        <v>121.49685600000004</v>
      </c>
      <c r="DA23" s="197">
        <f t="shared" si="9"/>
        <v>451.49685600000004</v>
      </c>
      <c r="DB23" s="196">
        <f t="shared" si="52"/>
        <v>437.5</v>
      </c>
      <c r="DC23" s="197">
        <f t="shared" si="53"/>
        <v>330</v>
      </c>
      <c r="DD23" s="197">
        <f t="shared" si="54"/>
        <v>316.00314399999996</v>
      </c>
      <c r="DE23" s="197">
        <f t="shared" si="55"/>
        <v>121.49685600000004</v>
      </c>
      <c r="DF23" s="199">
        <f t="shared" si="56"/>
        <v>451.49685600000004</v>
      </c>
      <c r="DG23" s="196">
        <f t="shared" si="70"/>
        <v>4737.5308455998393</v>
      </c>
      <c r="DH23" s="197">
        <f t="shared" si="57"/>
        <v>3960</v>
      </c>
      <c r="DI23" s="197">
        <f t="shared" si="58"/>
        <v>9696.6529280000013</v>
      </c>
      <c r="DJ23" s="197">
        <f t="shared" si="59"/>
        <v>-4959.1220824001621</v>
      </c>
      <c r="DK23" s="199">
        <f t="shared" si="60"/>
        <v>-999.12208240015957</v>
      </c>
    </row>
    <row r="24" spans="2:115" x14ac:dyDescent="0.3">
      <c r="B24" s="204">
        <f t="shared" si="61"/>
        <v>13</v>
      </c>
      <c r="C24" s="225">
        <f>'Energy NPV'!$D77</f>
        <v>10</v>
      </c>
      <c r="D24" s="197">
        <f>'Energy margins'!$S$12</f>
        <v>43.75</v>
      </c>
      <c r="E24" s="197">
        <f t="shared" si="10"/>
        <v>437.5</v>
      </c>
      <c r="F24" s="197">
        <f>'Margins summary'!$U$14</f>
        <v>330</v>
      </c>
      <c r="G24" s="197">
        <f t="shared" si="11"/>
        <v>767.5</v>
      </c>
      <c r="H24" s="197"/>
      <c r="I24" s="918">
        <f>'Energy NPV'!U77</f>
        <v>316.00314399999996</v>
      </c>
      <c r="J24" s="197"/>
      <c r="K24" s="197">
        <f t="shared" si="12"/>
        <v>316.00314399999996</v>
      </c>
      <c r="L24" s="197">
        <f t="shared" si="0"/>
        <v>121.49685600000004</v>
      </c>
      <c r="M24" s="197">
        <f t="shared" si="1"/>
        <v>451.49685600000004</v>
      </c>
      <c r="N24" s="196">
        <f t="shared" si="13"/>
        <v>306.85369758442579</v>
      </c>
      <c r="O24" s="197">
        <f t="shared" si="14"/>
        <v>231.45536046368116</v>
      </c>
      <c r="P24" s="197">
        <f t="shared" si="15"/>
        <v>221.63824727932283</v>
      </c>
      <c r="Q24" s="197">
        <f t="shared" si="16"/>
        <v>85.215450305102948</v>
      </c>
      <c r="R24" s="199">
        <f t="shared" si="17"/>
        <v>316.67081076878412</v>
      </c>
      <c r="S24" s="196">
        <f t="shared" si="62"/>
        <v>4285.0713278292005</v>
      </c>
      <c r="T24" s="197">
        <f t="shared" si="18"/>
        <v>3614.8213178772971</v>
      </c>
      <c r="U24" s="197">
        <f t="shared" si="18"/>
        <v>9350.3724430657767</v>
      </c>
      <c r="V24" s="197">
        <f t="shared" si="18"/>
        <v>-5065.3011152365743</v>
      </c>
      <c r="W24" s="199">
        <f t="shared" si="18"/>
        <v>-1450.4797973592767</v>
      </c>
      <c r="Y24" s="204">
        <f t="shared" si="63"/>
        <v>13</v>
      </c>
      <c r="Z24" s="225">
        <f>'Energy NPV'!$D77</f>
        <v>10</v>
      </c>
      <c r="AA24" s="197">
        <f>'Energy margins'!$S$12</f>
        <v>43.75</v>
      </c>
      <c r="AB24" s="197">
        <f t="shared" si="19"/>
        <v>437.5</v>
      </c>
      <c r="AC24" s="197">
        <f>'Margins summary'!$U$14</f>
        <v>330</v>
      </c>
      <c r="AD24" s="197">
        <f t="shared" si="20"/>
        <v>767.5</v>
      </c>
      <c r="AE24" s="197"/>
      <c r="AF24" s="918">
        <f>'Energy NPV'!U77</f>
        <v>316.00314399999996</v>
      </c>
      <c r="AG24" s="197"/>
      <c r="AH24" s="197">
        <f t="shared" si="21"/>
        <v>316.00314399999996</v>
      </c>
      <c r="AI24" s="197">
        <f t="shared" si="2"/>
        <v>121.49685600000004</v>
      </c>
      <c r="AJ24" s="197">
        <f t="shared" si="3"/>
        <v>451.49685600000004</v>
      </c>
      <c r="AK24" s="196">
        <f t="shared" si="22"/>
        <v>257.97794087877475</v>
      </c>
      <c r="AL24" s="197">
        <f t="shared" si="23"/>
        <v>194.58907540570439</v>
      </c>
      <c r="AM24" s="197">
        <f t="shared" si="24"/>
        <v>186.3356352007747</v>
      </c>
      <c r="AN24" s="197">
        <f t="shared" si="25"/>
        <v>71.642305678000042</v>
      </c>
      <c r="AO24" s="199">
        <f t="shared" si="26"/>
        <v>266.23138108370443</v>
      </c>
      <c r="AP24" s="196">
        <f t="shared" si="64"/>
        <v>3922.028756971828</v>
      </c>
      <c r="AQ24" s="197">
        <f t="shared" si="27"/>
        <v>3339.1316576510212</v>
      </c>
      <c r="AR24" s="197">
        <f t="shared" si="27"/>
        <v>9078.9529833468678</v>
      </c>
      <c r="AS24" s="197">
        <f t="shared" si="27"/>
        <v>-5156.9242263750393</v>
      </c>
      <c r="AT24" s="199">
        <f t="shared" si="27"/>
        <v>-1817.7925687240172</v>
      </c>
      <c r="AV24" s="204">
        <f t="shared" si="65"/>
        <v>13</v>
      </c>
      <c r="AW24" s="225">
        <f>'Energy NPV'!$D77</f>
        <v>10</v>
      </c>
      <c r="AX24" s="197">
        <f>'Energy margins'!$S$12</f>
        <v>43.75</v>
      </c>
      <c r="AY24" s="197">
        <f t="shared" si="28"/>
        <v>437.5</v>
      </c>
      <c r="AZ24" s="197">
        <f>'Margins summary'!$U$14</f>
        <v>330</v>
      </c>
      <c r="BA24" s="197">
        <f t="shared" si="29"/>
        <v>767.5</v>
      </c>
      <c r="BB24" s="197"/>
      <c r="BC24" s="918">
        <f>'Energy NPV'!U77</f>
        <v>316.00314399999996</v>
      </c>
      <c r="BD24" s="197"/>
      <c r="BE24" s="197">
        <f t="shared" si="30"/>
        <v>316.00314399999996</v>
      </c>
      <c r="BF24" s="197">
        <f t="shared" si="4"/>
        <v>121.49685600000004</v>
      </c>
      <c r="BG24" s="197">
        <f t="shared" si="5"/>
        <v>451.49685600000004</v>
      </c>
      <c r="BH24" s="196">
        <f t="shared" si="31"/>
        <v>365.91949707923601</v>
      </c>
      <c r="BI24" s="197">
        <f t="shared" si="32"/>
        <v>276.00784922548087</v>
      </c>
      <c r="BJ24" s="197">
        <f t="shared" si="33"/>
        <v>264.30105492099972</v>
      </c>
      <c r="BK24" s="197">
        <f t="shared" si="34"/>
        <v>101.61844215823628</v>
      </c>
      <c r="BL24" s="199">
        <f t="shared" si="35"/>
        <v>377.62629138371716</v>
      </c>
      <c r="BM24" s="196">
        <f t="shared" si="66"/>
        <v>4699.6899094456903</v>
      </c>
      <c r="BN24" s="197">
        <f t="shared" si="36"/>
        <v>3929.4767183013091</v>
      </c>
      <c r="BO24" s="197">
        <f t="shared" si="36"/>
        <v>9659.3981538417684</v>
      </c>
      <c r="BP24" s="197">
        <f t="shared" si="36"/>
        <v>-4959.7082443960753</v>
      </c>
      <c r="BQ24" s="199">
        <f t="shared" si="36"/>
        <v>-1030.2315260947676</v>
      </c>
      <c r="BS24" s="204">
        <f t="shared" si="67"/>
        <v>13</v>
      </c>
      <c r="BT24" s="225">
        <f>'Energy NPV'!$D77</f>
        <v>10</v>
      </c>
      <c r="BU24" s="197">
        <f>'Energy margins'!$S$12</f>
        <v>43.75</v>
      </c>
      <c r="BV24" s="197">
        <f t="shared" si="37"/>
        <v>437.5</v>
      </c>
      <c r="BW24" s="197">
        <f>'Margins summary'!$U$14</f>
        <v>330</v>
      </c>
      <c r="BX24" s="197">
        <f t="shared" si="38"/>
        <v>767.5</v>
      </c>
      <c r="BY24" s="197"/>
      <c r="BZ24" s="918">
        <f>'Energy NPV'!U77</f>
        <v>316.00314399999996</v>
      </c>
      <c r="CA24" s="197"/>
      <c r="CB24" s="197">
        <f t="shared" si="39"/>
        <v>316.00314399999996</v>
      </c>
      <c r="CC24" s="197">
        <f t="shared" si="6"/>
        <v>121.49685600000004</v>
      </c>
      <c r="CD24" s="197">
        <f t="shared" si="7"/>
        <v>451.49685600000004</v>
      </c>
      <c r="CE24" s="196">
        <f t="shared" si="40"/>
        <v>217.42409656493771</v>
      </c>
      <c r="CF24" s="197">
        <f t="shared" si="41"/>
        <v>163.99988998041016</v>
      </c>
      <c r="CG24" s="197">
        <f t="shared" si="42"/>
        <v>157.04388136201123</v>
      </c>
      <c r="CH24" s="197">
        <f t="shared" si="43"/>
        <v>60.380215202926493</v>
      </c>
      <c r="CI24" s="199">
        <f t="shared" si="44"/>
        <v>224.38010518333667</v>
      </c>
      <c r="CJ24" s="196">
        <f t="shared" si="68"/>
        <v>3602.957316876073</v>
      </c>
      <c r="CK24" s="197">
        <f t="shared" si="45"/>
        <v>3096.6685003264938</v>
      </c>
      <c r="CL24" s="197">
        <f t="shared" si="46"/>
        <v>8839.628515769964</v>
      </c>
      <c r="CM24" s="197">
        <f t="shared" si="47"/>
        <v>-5236.6711988938905</v>
      </c>
      <c r="CN24" s="199">
        <f t="shared" si="48"/>
        <v>-2140.0026985673976</v>
      </c>
      <c r="CP24" s="204">
        <f t="shared" si="69"/>
        <v>13</v>
      </c>
      <c r="CQ24" s="225">
        <f>'Energy NPV'!$D77</f>
        <v>10</v>
      </c>
      <c r="CR24" s="197">
        <f>'Energy margins'!$S$12</f>
        <v>43.75</v>
      </c>
      <c r="CS24" s="197">
        <f t="shared" si="49"/>
        <v>437.5</v>
      </c>
      <c r="CT24" s="197">
        <f>'Margins summary'!$U$14</f>
        <v>330</v>
      </c>
      <c r="CU24" s="197">
        <f t="shared" si="50"/>
        <v>767.5</v>
      </c>
      <c r="CV24" s="197"/>
      <c r="CW24" s="918">
        <f>'Energy NPV'!U77</f>
        <v>316.00314399999996</v>
      </c>
      <c r="CX24" s="197"/>
      <c r="CY24" s="197">
        <f t="shared" si="51"/>
        <v>316.00314399999996</v>
      </c>
      <c r="CZ24" s="197">
        <f t="shared" si="8"/>
        <v>121.49685600000004</v>
      </c>
      <c r="DA24" s="197">
        <f t="shared" si="9"/>
        <v>451.49685600000004</v>
      </c>
      <c r="DB24" s="196">
        <f t="shared" si="52"/>
        <v>437.5</v>
      </c>
      <c r="DC24" s="197">
        <f t="shared" si="53"/>
        <v>330</v>
      </c>
      <c r="DD24" s="197">
        <f t="shared" si="54"/>
        <v>316.00314399999996</v>
      </c>
      <c r="DE24" s="197">
        <f t="shared" si="55"/>
        <v>121.49685600000004</v>
      </c>
      <c r="DF24" s="199">
        <f t="shared" si="56"/>
        <v>451.49685600000004</v>
      </c>
      <c r="DG24" s="196">
        <f t="shared" si="70"/>
        <v>5175.0308455998393</v>
      </c>
      <c r="DH24" s="197">
        <f t="shared" si="57"/>
        <v>4290</v>
      </c>
      <c r="DI24" s="197">
        <f t="shared" si="58"/>
        <v>10012.656072000002</v>
      </c>
      <c r="DJ24" s="197">
        <f t="shared" si="59"/>
        <v>-4837.6252264001623</v>
      </c>
      <c r="DK24" s="199">
        <f t="shared" si="60"/>
        <v>-547.62522640015959</v>
      </c>
    </row>
    <row r="25" spans="2:115" x14ac:dyDescent="0.3">
      <c r="B25" s="204">
        <f t="shared" si="61"/>
        <v>14</v>
      </c>
      <c r="C25" s="225">
        <f>'Energy NPV'!$D78</f>
        <v>10</v>
      </c>
      <c r="D25" s="197">
        <f>'Energy margins'!$S$12</f>
        <v>43.75</v>
      </c>
      <c r="E25" s="197">
        <f t="shared" si="10"/>
        <v>437.5</v>
      </c>
      <c r="F25" s="197">
        <f>'Margins summary'!$U$14</f>
        <v>330</v>
      </c>
      <c r="G25" s="197">
        <f t="shared" si="11"/>
        <v>767.5</v>
      </c>
      <c r="H25" s="197"/>
      <c r="I25" s="918">
        <f>'Energy NPV'!U78</f>
        <v>316.00314399999996</v>
      </c>
      <c r="J25" s="197"/>
      <c r="K25" s="197">
        <f t="shared" si="12"/>
        <v>316.00314399999996</v>
      </c>
      <c r="L25" s="197">
        <f t="shared" si="0"/>
        <v>121.49685600000004</v>
      </c>
      <c r="M25" s="197">
        <f t="shared" si="1"/>
        <v>451.49685600000004</v>
      </c>
      <c r="N25" s="196">
        <f t="shared" si="13"/>
        <v>297.91621124701533</v>
      </c>
      <c r="O25" s="197">
        <f t="shared" si="14"/>
        <v>224.71394219774871</v>
      </c>
      <c r="P25" s="197">
        <f t="shared" si="15"/>
        <v>215.18276434885712</v>
      </c>
      <c r="Q25" s="197">
        <f t="shared" si="16"/>
        <v>82.733446898158206</v>
      </c>
      <c r="R25" s="199">
        <f t="shared" si="17"/>
        <v>307.44738909590689</v>
      </c>
      <c r="S25" s="196">
        <f t="shared" si="62"/>
        <v>4582.9875390762154</v>
      </c>
      <c r="T25" s="197">
        <f t="shared" si="18"/>
        <v>3839.5352600750457</v>
      </c>
      <c r="U25" s="197">
        <f t="shared" si="18"/>
        <v>9565.5552074146344</v>
      </c>
      <c r="V25" s="197">
        <f t="shared" si="18"/>
        <v>-4982.5676683384163</v>
      </c>
      <c r="W25" s="199">
        <f t="shared" si="18"/>
        <v>-1143.0324082633699</v>
      </c>
      <c r="Y25" s="204">
        <f t="shared" si="63"/>
        <v>14</v>
      </c>
      <c r="Z25" s="225">
        <f>'Energy NPV'!$D78</f>
        <v>10</v>
      </c>
      <c r="AA25" s="197">
        <f>'Energy margins'!$S$12</f>
        <v>43.75</v>
      </c>
      <c r="AB25" s="197">
        <f t="shared" si="19"/>
        <v>437.5</v>
      </c>
      <c r="AC25" s="197">
        <f>'Margins summary'!$U$14</f>
        <v>330</v>
      </c>
      <c r="AD25" s="197">
        <f t="shared" si="20"/>
        <v>767.5</v>
      </c>
      <c r="AE25" s="197"/>
      <c r="AF25" s="918">
        <f>'Energy NPV'!U78</f>
        <v>316.00314399999996</v>
      </c>
      <c r="AG25" s="197"/>
      <c r="AH25" s="197">
        <f t="shared" si="21"/>
        <v>316.00314399999996</v>
      </c>
      <c r="AI25" s="197">
        <f t="shared" si="2"/>
        <v>121.49685600000004</v>
      </c>
      <c r="AJ25" s="197">
        <f t="shared" si="3"/>
        <v>451.49685600000004</v>
      </c>
      <c r="AK25" s="196">
        <f t="shared" si="22"/>
        <v>246.86884294619591</v>
      </c>
      <c r="AL25" s="197">
        <f t="shared" si="23"/>
        <v>186.20964153655922</v>
      </c>
      <c r="AM25" s="197">
        <f t="shared" si="24"/>
        <v>178.31161263232028</v>
      </c>
      <c r="AN25" s="197">
        <f t="shared" si="25"/>
        <v>68.557230313875635</v>
      </c>
      <c r="AO25" s="199">
        <f t="shared" si="26"/>
        <v>254.76687185043485</v>
      </c>
      <c r="AP25" s="196">
        <f t="shared" si="64"/>
        <v>4168.8975999180238</v>
      </c>
      <c r="AQ25" s="197">
        <f t="shared" si="27"/>
        <v>3525.3412991875803</v>
      </c>
      <c r="AR25" s="197">
        <f t="shared" si="27"/>
        <v>9257.264595979188</v>
      </c>
      <c r="AS25" s="197">
        <f t="shared" si="27"/>
        <v>-5088.3669960611633</v>
      </c>
      <c r="AT25" s="199">
        <f t="shared" si="27"/>
        <v>-1563.0256968735823</v>
      </c>
      <c r="AV25" s="204">
        <f t="shared" si="65"/>
        <v>14</v>
      </c>
      <c r="AW25" s="225">
        <f>'Energy NPV'!$D78</f>
        <v>10</v>
      </c>
      <c r="AX25" s="197">
        <f>'Energy margins'!$S$12</f>
        <v>43.75</v>
      </c>
      <c r="AY25" s="197">
        <f t="shared" si="28"/>
        <v>437.5</v>
      </c>
      <c r="AZ25" s="197">
        <f>'Margins summary'!$U$14</f>
        <v>330</v>
      </c>
      <c r="BA25" s="197">
        <f t="shared" si="29"/>
        <v>767.5</v>
      </c>
      <c r="BB25" s="197"/>
      <c r="BC25" s="918">
        <f>'Energy NPV'!U78</f>
        <v>316.00314399999996</v>
      </c>
      <c r="BD25" s="197"/>
      <c r="BE25" s="197">
        <f t="shared" si="30"/>
        <v>316.00314399999996</v>
      </c>
      <c r="BF25" s="197">
        <f t="shared" si="4"/>
        <v>121.49685600000004</v>
      </c>
      <c r="BG25" s="197">
        <f t="shared" si="5"/>
        <v>451.49685600000004</v>
      </c>
      <c r="BH25" s="196">
        <f t="shared" si="31"/>
        <v>360.51181978249855</v>
      </c>
      <c r="BI25" s="197">
        <f t="shared" si="32"/>
        <v>271.92891549308462</v>
      </c>
      <c r="BJ25" s="197">
        <f t="shared" si="33"/>
        <v>260.39512800098498</v>
      </c>
      <c r="BK25" s="197">
        <f t="shared" si="34"/>
        <v>100.11669178151358</v>
      </c>
      <c r="BL25" s="199">
        <f t="shared" si="35"/>
        <v>372.04560727459818</v>
      </c>
      <c r="BM25" s="196">
        <f t="shared" si="66"/>
        <v>5060.2017292281889</v>
      </c>
      <c r="BN25" s="197">
        <f t="shared" si="36"/>
        <v>4201.4056337943939</v>
      </c>
      <c r="BO25" s="197">
        <f t="shared" si="36"/>
        <v>9919.7932818427525</v>
      </c>
      <c r="BP25" s="197">
        <f t="shared" si="36"/>
        <v>-4859.5915526145618</v>
      </c>
      <c r="BQ25" s="199">
        <f t="shared" si="36"/>
        <v>-658.18591882016938</v>
      </c>
      <c r="BS25" s="204">
        <f t="shared" si="67"/>
        <v>14</v>
      </c>
      <c r="BT25" s="225">
        <f>'Energy NPV'!$D78</f>
        <v>10</v>
      </c>
      <c r="BU25" s="197">
        <f>'Energy margins'!$S$12</f>
        <v>43.75</v>
      </c>
      <c r="BV25" s="197">
        <f t="shared" si="37"/>
        <v>437.5</v>
      </c>
      <c r="BW25" s="197">
        <f>'Margins summary'!$U$14</f>
        <v>330</v>
      </c>
      <c r="BX25" s="197">
        <f t="shared" si="38"/>
        <v>767.5</v>
      </c>
      <c r="BY25" s="197"/>
      <c r="BZ25" s="918">
        <f>'Energy NPV'!U78</f>
        <v>316.00314399999996</v>
      </c>
      <c r="CA25" s="197"/>
      <c r="CB25" s="197">
        <f t="shared" si="39"/>
        <v>316.00314399999996</v>
      </c>
      <c r="CC25" s="197">
        <f t="shared" si="6"/>
        <v>121.49685600000004</v>
      </c>
      <c r="CD25" s="197">
        <f t="shared" si="7"/>
        <v>451.49685600000004</v>
      </c>
      <c r="CE25" s="196">
        <f t="shared" si="40"/>
        <v>205.11707223107331</v>
      </c>
      <c r="CF25" s="197">
        <f t="shared" si="41"/>
        <v>154.71687734000957</v>
      </c>
      <c r="CG25" s="197">
        <f t="shared" si="42"/>
        <v>148.15460505850115</v>
      </c>
      <c r="CH25" s="197">
        <f t="shared" si="43"/>
        <v>56.962467172572154</v>
      </c>
      <c r="CI25" s="199">
        <f t="shared" si="44"/>
        <v>211.67934451258174</v>
      </c>
      <c r="CJ25" s="196">
        <f t="shared" si="68"/>
        <v>3808.0743891071465</v>
      </c>
      <c r="CK25" s="197">
        <f t="shared" si="45"/>
        <v>3251.3853776665032</v>
      </c>
      <c r="CL25" s="197">
        <f t="shared" si="46"/>
        <v>8987.7831208284661</v>
      </c>
      <c r="CM25" s="197">
        <f t="shared" si="47"/>
        <v>-5179.7087317213181</v>
      </c>
      <c r="CN25" s="199">
        <f t="shared" si="48"/>
        <v>-1928.3233540548158</v>
      </c>
      <c r="CP25" s="204">
        <f t="shared" si="69"/>
        <v>14</v>
      </c>
      <c r="CQ25" s="225">
        <f>'Energy NPV'!$D78</f>
        <v>10</v>
      </c>
      <c r="CR25" s="197">
        <f>'Energy margins'!$S$12</f>
        <v>43.75</v>
      </c>
      <c r="CS25" s="197">
        <f t="shared" si="49"/>
        <v>437.5</v>
      </c>
      <c r="CT25" s="197">
        <f>'Margins summary'!$U$14</f>
        <v>330</v>
      </c>
      <c r="CU25" s="197">
        <f t="shared" si="50"/>
        <v>767.5</v>
      </c>
      <c r="CV25" s="197"/>
      <c r="CW25" s="918">
        <f>'Energy NPV'!U78</f>
        <v>316.00314399999996</v>
      </c>
      <c r="CX25" s="197"/>
      <c r="CY25" s="197">
        <f t="shared" si="51"/>
        <v>316.00314399999996</v>
      </c>
      <c r="CZ25" s="197">
        <f t="shared" si="8"/>
        <v>121.49685600000004</v>
      </c>
      <c r="DA25" s="197">
        <f t="shared" si="9"/>
        <v>451.49685600000004</v>
      </c>
      <c r="DB25" s="196">
        <f t="shared" si="52"/>
        <v>437.5</v>
      </c>
      <c r="DC25" s="197">
        <f t="shared" si="53"/>
        <v>330</v>
      </c>
      <c r="DD25" s="197">
        <f t="shared" si="54"/>
        <v>316.00314399999996</v>
      </c>
      <c r="DE25" s="197">
        <f t="shared" si="55"/>
        <v>121.49685600000004</v>
      </c>
      <c r="DF25" s="199">
        <f t="shared" si="56"/>
        <v>451.49685600000004</v>
      </c>
      <c r="DG25" s="196">
        <f t="shared" si="70"/>
        <v>5612.5308455998393</v>
      </c>
      <c r="DH25" s="197">
        <f t="shared" si="57"/>
        <v>4620</v>
      </c>
      <c r="DI25" s="197">
        <f t="shared" si="58"/>
        <v>10328.659216000002</v>
      </c>
      <c r="DJ25" s="197">
        <f t="shared" si="59"/>
        <v>-4716.1283704001626</v>
      </c>
      <c r="DK25" s="199">
        <f t="shared" si="60"/>
        <v>-96.128370400159554</v>
      </c>
    </row>
    <row r="26" spans="2:115" x14ac:dyDescent="0.3">
      <c r="B26" s="204">
        <f t="shared" si="61"/>
        <v>15</v>
      </c>
      <c r="C26" s="225">
        <f>'Energy NPV'!$D79</f>
        <v>10</v>
      </c>
      <c r="D26" s="197">
        <f>'Energy margins'!$S$12</f>
        <v>43.75</v>
      </c>
      <c r="E26" s="197">
        <f t="shared" si="10"/>
        <v>437.5</v>
      </c>
      <c r="F26" s="197">
        <f>'Margins summary'!$U$14</f>
        <v>330</v>
      </c>
      <c r="G26" s="197">
        <f t="shared" si="11"/>
        <v>767.5</v>
      </c>
      <c r="H26" s="197"/>
      <c r="I26" s="918">
        <f>'Energy NPV'!U79</f>
        <v>316.00314399999996</v>
      </c>
      <c r="J26" s="197"/>
      <c r="K26" s="197">
        <f t="shared" si="12"/>
        <v>316.00314399999996</v>
      </c>
      <c r="L26" s="197">
        <f t="shared" si="0"/>
        <v>121.49685600000004</v>
      </c>
      <c r="M26" s="197">
        <f t="shared" si="1"/>
        <v>451.49685600000004</v>
      </c>
      <c r="N26" s="196">
        <f t="shared" si="13"/>
        <v>289.23904004564594</v>
      </c>
      <c r="O26" s="197">
        <f t="shared" si="14"/>
        <v>218.16887592014436</v>
      </c>
      <c r="P26" s="197">
        <f t="shared" si="15"/>
        <v>208.91530519306517</v>
      </c>
      <c r="Q26" s="197">
        <f t="shared" si="16"/>
        <v>80.32373485258077</v>
      </c>
      <c r="R26" s="199">
        <f t="shared" si="17"/>
        <v>298.49261077272513</v>
      </c>
      <c r="S26" s="196">
        <f t="shared" si="62"/>
        <v>4872.2265791218615</v>
      </c>
      <c r="T26" s="197">
        <f t="shared" si="18"/>
        <v>4057.70413599519</v>
      </c>
      <c r="U26" s="197">
        <f t="shared" si="18"/>
        <v>9774.4705126076988</v>
      </c>
      <c r="V26" s="197">
        <f t="shared" si="18"/>
        <v>-4902.2439334858354</v>
      </c>
      <c r="W26" s="199">
        <f t="shared" si="18"/>
        <v>-844.53979749064479</v>
      </c>
      <c r="Y26" s="204">
        <f t="shared" si="63"/>
        <v>15</v>
      </c>
      <c r="Z26" s="225">
        <f>'Energy NPV'!$D79</f>
        <v>10</v>
      </c>
      <c r="AA26" s="197">
        <f>'Energy margins'!$S$12</f>
        <v>43.75</v>
      </c>
      <c r="AB26" s="197">
        <f t="shared" si="19"/>
        <v>437.5</v>
      </c>
      <c r="AC26" s="197">
        <f>'Margins summary'!$U$14</f>
        <v>330</v>
      </c>
      <c r="AD26" s="197">
        <f t="shared" si="20"/>
        <v>767.5</v>
      </c>
      <c r="AE26" s="197"/>
      <c r="AF26" s="918">
        <f>'Energy NPV'!U79</f>
        <v>316.00314399999996</v>
      </c>
      <c r="AG26" s="197"/>
      <c r="AH26" s="197">
        <f t="shared" si="21"/>
        <v>316.00314399999996</v>
      </c>
      <c r="AI26" s="197">
        <f t="shared" si="2"/>
        <v>121.49685600000004</v>
      </c>
      <c r="AJ26" s="197">
        <f t="shared" si="3"/>
        <v>451.49685600000004</v>
      </c>
      <c r="AK26" s="196">
        <f t="shared" si="22"/>
        <v>236.23812722124018</v>
      </c>
      <c r="AL26" s="197">
        <f t="shared" si="23"/>
        <v>178.1910445325926</v>
      </c>
      <c r="AM26" s="197">
        <f t="shared" si="24"/>
        <v>170.6331221361917</v>
      </c>
      <c r="AN26" s="197">
        <f t="shared" si="25"/>
        <v>65.605005085048475</v>
      </c>
      <c r="AO26" s="199">
        <f t="shared" si="26"/>
        <v>243.79604961764105</v>
      </c>
      <c r="AP26" s="196">
        <f t="shared" si="64"/>
        <v>4405.1357271392644</v>
      </c>
      <c r="AQ26" s="197">
        <f t="shared" si="27"/>
        <v>3703.5323437201728</v>
      </c>
      <c r="AR26" s="197">
        <f t="shared" si="27"/>
        <v>9427.8977181153805</v>
      </c>
      <c r="AS26" s="197">
        <f t="shared" si="27"/>
        <v>-5022.7619909761152</v>
      </c>
      <c r="AT26" s="199">
        <f t="shared" si="27"/>
        <v>-1319.2296472559412</v>
      </c>
      <c r="AV26" s="204">
        <f t="shared" si="65"/>
        <v>15</v>
      </c>
      <c r="AW26" s="225">
        <f>'Energy NPV'!$D79</f>
        <v>10</v>
      </c>
      <c r="AX26" s="197">
        <f>'Energy margins'!$S$12</f>
        <v>43.75</v>
      </c>
      <c r="AY26" s="197">
        <f t="shared" si="28"/>
        <v>437.5</v>
      </c>
      <c r="AZ26" s="197">
        <f>'Margins summary'!$U$14</f>
        <v>330</v>
      </c>
      <c r="BA26" s="197">
        <f t="shared" si="29"/>
        <v>767.5</v>
      </c>
      <c r="BB26" s="197"/>
      <c r="BC26" s="918">
        <f>'Energy NPV'!U79</f>
        <v>316.00314399999996</v>
      </c>
      <c r="BD26" s="197"/>
      <c r="BE26" s="197">
        <f t="shared" si="30"/>
        <v>316.00314399999996</v>
      </c>
      <c r="BF26" s="197">
        <f t="shared" si="4"/>
        <v>121.49685600000004</v>
      </c>
      <c r="BG26" s="197">
        <f t="shared" si="5"/>
        <v>451.49685600000004</v>
      </c>
      <c r="BH26" s="196">
        <f t="shared" si="31"/>
        <v>355.18405889901345</v>
      </c>
      <c r="BI26" s="197">
        <f t="shared" si="32"/>
        <v>267.91026156954155</v>
      </c>
      <c r="BJ26" s="197">
        <f t="shared" si="33"/>
        <v>256.54692413890149</v>
      </c>
      <c r="BK26" s="197">
        <f t="shared" si="34"/>
        <v>98.63713476011192</v>
      </c>
      <c r="BL26" s="199">
        <f t="shared" si="35"/>
        <v>366.54739632965345</v>
      </c>
      <c r="BM26" s="196">
        <f t="shared" si="66"/>
        <v>5415.3857881272024</v>
      </c>
      <c r="BN26" s="197">
        <f t="shared" si="36"/>
        <v>4469.3158953639359</v>
      </c>
      <c r="BO26" s="197">
        <f t="shared" si="36"/>
        <v>10176.340205981654</v>
      </c>
      <c r="BP26" s="197">
        <f t="shared" si="36"/>
        <v>-4760.9544178544502</v>
      </c>
      <c r="BQ26" s="199">
        <f t="shared" si="36"/>
        <v>-291.63852249051592</v>
      </c>
      <c r="BS26" s="204">
        <f t="shared" si="67"/>
        <v>15</v>
      </c>
      <c r="BT26" s="225">
        <f>'Energy NPV'!$D79</f>
        <v>10</v>
      </c>
      <c r="BU26" s="197">
        <f>'Energy margins'!$S$12</f>
        <v>43.75</v>
      </c>
      <c r="BV26" s="197">
        <f t="shared" si="37"/>
        <v>437.5</v>
      </c>
      <c r="BW26" s="197">
        <f>'Margins summary'!$U$14</f>
        <v>330</v>
      </c>
      <c r="BX26" s="197">
        <f t="shared" si="38"/>
        <v>767.5</v>
      </c>
      <c r="BY26" s="197"/>
      <c r="BZ26" s="918">
        <f>'Energy NPV'!U79</f>
        <v>316.00314399999996</v>
      </c>
      <c r="CA26" s="197"/>
      <c r="CB26" s="197">
        <f t="shared" si="39"/>
        <v>316.00314399999996</v>
      </c>
      <c r="CC26" s="197">
        <f t="shared" si="6"/>
        <v>121.49685600000004</v>
      </c>
      <c r="CD26" s="197">
        <f t="shared" si="7"/>
        <v>451.49685600000004</v>
      </c>
      <c r="CE26" s="196">
        <f t="shared" si="40"/>
        <v>193.50667191610688</v>
      </c>
      <c r="CF26" s="197">
        <f t="shared" si="41"/>
        <v>145.95931824529205</v>
      </c>
      <c r="CG26" s="197">
        <f t="shared" si="42"/>
        <v>139.76849533820862</v>
      </c>
      <c r="CH26" s="197">
        <f t="shared" si="43"/>
        <v>53.738176577898265</v>
      </c>
      <c r="CI26" s="199">
        <f t="shared" si="44"/>
        <v>199.69749482319031</v>
      </c>
      <c r="CJ26" s="196">
        <f t="shared" si="68"/>
        <v>4001.5810610232534</v>
      </c>
      <c r="CK26" s="197">
        <f t="shared" si="45"/>
        <v>3397.3446959117955</v>
      </c>
      <c r="CL26" s="197">
        <f t="shared" si="46"/>
        <v>9127.5516161666746</v>
      </c>
      <c r="CM26" s="197">
        <f t="shared" si="47"/>
        <v>-5125.9705551434199</v>
      </c>
      <c r="CN26" s="199">
        <f t="shared" si="48"/>
        <v>-1728.6258592316256</v>
      </c>
      <c r="CP26" s="204">
        <f t="shared" si="69"/>
        <v>15</v>
      </c>
      <c r="CQ26" s="225">
        <f>'Energy NPV'!$D79</f>
        <v>10</v>
      </c>
      <c r="CR26" s="197">
        <f>'Energy margins'!$S$12</f>
        <v>43.75</v>
      </c>
      <c r="CS26" s="197">
        <f t="shared" si="49"/>
        <v>437.5</v>
      </c>
      <c r="CT26" s="197">
        <f>'Margins summary'!$U$14</f>
        <v>330</v>
      </c>
      <c r="CU26" s="197">
        <f t="shared" si="50"/>
        <v>767.5</v>
      </c>
      <c r="CV26" s="197"/>
      <c r="CW26" s="918">
        <f>'Energy NPV'!U79</f>
        <v>316.00314399999996</v>
      </c>
      <c r="CX26" s="197"/>
      <c r="CY26" s="197">
        <f t="shared" si="51"/>
        <v>316.00314399999996</v>
      </c>
      <c r="CZ26" s="197">
        <f t="shared" si="8"/>
        <v>121.49685600000004</v>
      </c>
      <c r="DA26" s="197">
        <f t="shared" si="9"/>
        <v>451.49685600000004</v>
      </c>
      <c r="DB26" s="196">
        <f t="shared" si="52"/>
        <v>437.5</v>
      </c>
      <c r="DC26" s="197">
        <f t="shared" si="53"/>
        <v>330</v>
      </c>
      <c r="DD26" s="197">
        <f t="shared" si="54"/>
        <v>316.00314399999996</v>
      </c>
      <c r="DE26" s="197">
        <f t="shared" si="55"/>
        <v>121.49685600000004</v>
      </c>
      <c r="DF26" s="199">
        <f t="shared" si="56"/>
        <v>451.49685600000004</v>
      </c>
      <c r="DG26" s="196">
        <f t="shared" si="70"/>
        <v>6050.0308455998393</v>
      </c>
      <c r="DH26" s="197">
        <f t="shared" si="57"/>
        <v>4950</v>
      </c>
      <c r="DI26" s="197">
        <f t="shared" si="58"/>
        <v>10644.662360000002</v>
      </c>
      <c r="DJ26" s="197">
        <f t="shared" si="59"/>
        <v>-4594.6315144001628</v>
      </c>
      <c r="DK26" s="199">
        <f t="shared" si="60"/>
        <v>355.36848559984048</v>
      </c>
    </row>
    <row r="27" spans="2:115" x14ac:dyDescent="0.3">
      <c r="B27" s="206">
        <f t="shared" si="61"/>
        <v>16</v>
      </c>
      <c r="C27" s="226">
        <f>'Energy NPV'!$D80</f>
        <v>10</v>
      </c>
      <c r="D27" s="207">
        <f>'Energy margins'!$S$12</f>
        <v>43.75</v>
      </c>
      <c r="E27" s="207">
        <f t="shared" si="10"/>
        <v>437.5</v>
      </c>
      <c r="F27" s="207">
        <f>'Margins summary'!$U$14</f>
        <v>330</v>
      </c>
      <c r="G27" s="207">
        <f t="shared" si="11"/>
        <v>767.5</v>
      </c>
      <c r="H27" s="207"/>
      <c r="I27" s="919">
        <f>'Energy NPV'!U80</f>
        <v>203.00314399999996</v>
      </c>
      <c r="J27" s="207">
        <f>'Energy margins'!$X$67</f>
        <v>192.1</v>
      </c>
      <c r="K27" s="207">
        <f t="shared" si="12"/>
        <v>395.10314399999993</v>
      </c>
      <c r="L27" s="207">
        <f t="shared" si="0"/>
        <v>42.396856000000071</v>
      </c>
      <c r="M27" s="207">
        <f t="shared" si="1"/>
        <v>372.39685600000007</v>
      </c>
      <c r="N27" s="208">
        <f t="shared" si="13"/>
        <v>280.81460198606396</v>
      </c>
      <c r="O27" s="207">
        <f t="shared" si="14"/>
        <v>211.81444264091684</v>
      </c>
      <c r="P27" s="207">
        <f t="shared" si="15"/>
        <v>253.60167343040573</v>
      </c>
      <c r="Q27" s="207">
        <f t="shared" si="16"/>
        <v>27.212928555658259</v>
      </c>
      <c r="R27" s="209">
        <f t="shared" si="17"/>
        <v>239.0273711965751</v>
      </c>
      <c r="S27" s="208">
        <f t="shared" si="62"/>
        <v>5153.0411811079257</v>
      </c>
      <c r="T27" s="207">
        <f t="shared" si="18"/>
        <v>4269.5185786361071</v>
      </c>
      <c r="U27" s="207">
        <f t="shared" si="18"/>
        <v>10028.072186038104</v>
      </c>
      <c r="V27" s="207">
        <f t="shared" si="18"/>
        <v>-4875.031004930177</v>
      </c>
      <c r="W27" s="209">
        <f t="shared" si="18"/>
        <v>-605.51242629406966</v>
      </c>
      <c r="Y27" s="206">
        <f t="shared" si="63"/>
        <v>16</v>
      </c>
      <c r="Z27" s="226">
        <f>'Energy NPV'!$D80</f>
        <v>10</v>
      </c>
      <c r="AA27" s="207">
        <f>'Energy margins'!$S$12</f>
        <v>43.75</v>
      </c>
      <c r="AB27" s="207">
        <f>Z27*AA27</f>
        <v>437.5</v>
      </c>
      <c r="AC27" s="207">
        <f>'Margins summary'!$U$14</f>
        <v>330</v>
      </c>
      <c r="AD27" s="207">
        <f t="shared" si="20"/>
        <v>767.5</v>
      </c>
      <c r="AE27" s="207"/>
      <c r="AF27" s="918">
        <f>'Energy NPV'!U80</f>
        <v>203.00314399999996</v>
      </c>
      <c r="AG27" s="207">
        <f>'Energy margins'!$X$67</f>
        <v>192.1</v>
      </c>
      <c r="AH27" s="207">
        <f t="shared" si="21"/>
        <v>395.10314399999993</v>
      </c>
      <c r="AI27" s="207">
        <f t="shared" si="2"/>
        <v>42.396856000000071</v>
      </c>
      <c r="AJ27" s="207">
        <f t="shared" si="3"/>
        <v>372.39685600000007</v>
      </c>
      <c r="AK27" s="208">
        <f t="shared" si="22"/>
        <v>226.06519351314847</v>
      </c>
      <c r="AL27" s="207">
        <f t="shared" si="23"/>
        <v>170.51774596420341</v>
      </c>
      <c r="AM27" s="207">
        <f t="shared" si="24"/>
        <v>204.15787132803052</v>
      </c>
      <c r="AN27" s="207">
        <f t="shared" si="25"/>
        <v>21.907322185117955</v>
      </c>
      <c r="AO27" s="209">
        <f t="shared" si="26"/>
        <v>192.42506814932136</v>
      </c>
      <c r="AP27" s="208">
        <f t="shared" si="64"/>
        <v>4631.2009206524126</v>
      </c>
      <c r="AQ27" s="207">
        <f t="shared" si="27"/>
        <v>3874.050089684376</v>
      </c>
      <c r="AR27" s="207">
        <f t="shared" si="27"/>
        <v>9632.055589443411</v>
      </c>
      <c r="AS27" s="207">
        <f t="shared" si="27"/>
        <v>-5000.8546687909975</v>
      </c>
      <c r="AT27" s="209">
        <f t="shared" si="27"/>
        <v>-1126.8045791066199</v>
      </c>
      <c r="AV27" s="206">
        <f t="shared" si="65"/>
        <v>16</v>
      </c>
      <c r="AW27" s="226">
        <f>'Energy NPV'!$D80</f>
        <v>10</v>
      </c>
      <c r="AX27" s="207">
        <f>'Energy margins'!$S$12</f>
        <v>43.75</v>
      </c>
      <c r="AY27" s="207">
        <f t="shared" si="28"/>
        <v>437.5</v>
      </c>
      <c r="AZ27" s="207">
        <f>'Margins summary'!$U$14</f>
        <v>330</v>
      </c>
      <c r="BA27" s="207">
        <f t="shared" si="29"/>
        <v>767.5</v>
      </c>
      <c r="BB27" s="207"/>
      <c r="BC27" s="919">
        <f>'Energy NPV'!U80</f>
        <v>203.00314399999996</v>
      </c>
      <c r="BD27" s="207">
        <f>'Energy margins'!$X$67</f>
        <v>192.1</v>
      </c>
      <c r="BE27" s="207">
        <f t="shared" si="30"/>
        <v>395.10314399999993</v>
      </c>
      <c r="BF27" s="207">
        <f t="shared" si="4"/>
        <v>42.396856000000071</v>
      </c>
      <c r="BG27" s="207">
        <f t="shared" si="5"/>
        <v>372.39685600000007</v>
      </c>
      <c r="BH27" s="208">
        <f t="shared" si="31"/>
        <v>349.93503339804283</v>
      </c>
      <c r="BI27" s="207">
        <f t="shared" si="32"/>
        <v>263.95099662023802</v>
      </c>
      <c r="BJ27" s="207">
        <f t="shared" si="33"/>
        <v>316.02384432299817</v>
      </c>
      <c r="BK27" s="207">
        <f t="shared" si="34"/>
        <v>33.911189075044653</v>
      </c>
      <c r="BL27" s="209">
        <f t="shared" si="35"/>
        <v>297.86218569528268</v>
      </c>
      <c r="BM27" s="208">
        <f t="shared" si="66"/>
        <v>5765.3208215252453</v>
      </c>
      <c r="BN27" s="207">
        <f t="shared" si="36"/>
        <v>4733.2668919841735</v>
      </c>
      <c r="BO27" s="207">
        <f>BO26+BJ27</f>
        <v>10492.364050304652</v>
      </c>
      <c r="BP27" s="207">
        <f t="shared" si="36"/>
        <v>-4727.0432287794056</v>
      </c>
      <c r="BQ27" s="209">
        <f t="shared" si="36"/>
        <v>6.2236632047667513</v>
      </c>
      <c r="BS27" s="206">
        <f t="shared" si="67"/>
        <v>16</v>
      </c>
      <c r="BT27" s="226">
        <f>'Energy NPV'!$D80</f>
        <v>10</v>
      </c>
      <c r="BU27" s="207">
        <f>'Energy margins'!$S$12</f>
        <v>43.75</v>
      </c>
      <c r="BV27" s="207">
        <f t="shared" si="37"/>
        <v>437.5</v>
      </c>
      <c r="BW27" s="207">
        <f>'Margins summary'!$U$14</f>
        <v>330</v>
      </c>
      <c r="BX27" s="207">
        <f t="shared" si="38"/>
        <v>767.5</v>
      </c>
      <c r="BY27" s="207"/>
      <c r="BZ27" s="918">
        <f>'Energy NPV'!U80</f>
        <v>203.00314399999996</v>
      </c>
      <c r="CA27" s="207">
        <f>'Energy margins'!$X$67</f>
        <v>192.1</v>
      </c>
      <c r="CB27" s="207">
        <f t="shared" si="39"/>
        <v>395.10314399999993</v>
      </c>
      <c r="CC27" s="207">
        <f t="shared" si="6"/>
        <v>42.396856000000071</v>
      </c>
      <c r="CD27" s="207">
        <f t="shared" si="7"/>
        <v>372.39685600000007</v>
      </c>
      <c r="CE27" s="208">
        <f t="shared" si="40"/>
        <v>182.55346407179891</v>
      </c>
      <c r="CF27" s="207">
        <f t="shared" si="41"/>
        <v>137.69747004272833</v>
      </c>
      <c r="CG27" s="207">
        <f t="shared" si="42"/>
        <v>164.86273737796293</v>
      </c>
      <c r="CH27" s="207">
        <f t="shared" si="43"/>
        <v>17.690726693835988</v>
      </c>
      <c r="CI27" s="209">
        <f t="shared" si="44"/>
        <v>155.38819673656431</v>
      </c>
      <c r="CJ27" s="208">
        <f t="shared" si="68"/>
        <v>4184.1345250950526</v>
      </c>
      <c r="CK27" s="207">
        <f t="shared" si="45"/>
        <v>3535.0421659545236</v>
      </c>
      <c r="CL27" s="207">
        <f t="shared" si="46"/>
        <v>9292.4143535446383</v>
      </c>
      <c r="CM27" s="207">
        <f t="shared" si="47"/>
        <v>-5108.2798284495839</v>
      </c>
      <c r="CN27" s="209">
        <f t="shared" si="48"/>
        <v>-1573.2376624950612</v>
      </c>
      <c r="CP27" s="206">
        <f t="shared" si="69"/>
        <v>16</v>
      </c>
      <c r="CQ27" s="226">
        <f>'Energy NPV'!$D80</f>
        <v>10</v>
      </c>
      <c r="CR27" s="207">
        <f>'Energy margins'!$S$12</f>
        <v>43.75</v>
      </c>
      <c r="CS27" s="207">
        <f t="shared" si="49"/>
        <v>437.5</v>
      </c>
      <c r="CT27" s="207">
        <f>'Margins summary'!$U$14</f>
        <v>330</v>
      </c>
      <c r="CU27" s="207">
        <f t="shared" si="50"/>
        <v>767.5</v>
      </c>
      <c r="CV27" s="207"/>
      <c r="CW27" s="918">
        <f>'Energy NPV'!U80</f>
        <v>203.00314399999996</v>
      </c>
      <c r="CX27" s="207">
        <f>'Energy margins'!$X$67</f>
        <v>192.1</v>
      </c>
      <c r="CY27" s="207">
        <f t="shared" si="51"/>
        <v>395.10314399999993</v>
      </c>
      <c r="CZ27" s="207">
        <f t="shared" si="8"/>
        <v>42.396856000000071</v>
      </c>
      <c r="DA27" s="207">
        <f t="shared" si="9"/>
        <v>372.39685600000007</v>
      </c>
      <c r="DB27" s="208">
        <f t="shared" si="52"/>
        <v>437.5</v>
      </c>
      <c r="DC27" s="207">
        <f t="shared" si="53"/>
        <v>330</v>
      </c>
      <c r="DD27" s="207">
        <f t="shared" si="54"/>
        <v>395.10314399999993</v>
      </c>
      <c r="DE27" s="207">
        <f t="shared" si="55"/>
        <v>42.396856000000071</v>
      </c>
      <c r="DF27" s="209">
        <f t="shared" si="56"/>
        <v>372.39685600000007</v>
      </c>
      <c r="DG27" s="208">
        <f t="shared" si="70"/>
        <v>6487.5308455998393</v>
      </c>
      <c r="DH27" s="207">
        <f t="shared" si="57"/>
        <v>5280</v>
      </c>
      <c r="DI27" s="207">
        <f t="shared" si="58"/>
        <v>11039.765504000003</v>
      </c>
      <c r="DJ27" s="207">
        <f t="shared" si="59"/>
        <v>-4552.2346584001625</v>
      </c>
      <c r="DK27" s="209">
        <f t="shared" si="60"/>
        <v>727.76534159984055</v>
      </c>
    </row>
    <row r="34" spans="2:115" x14ac:dyDescent="0.3">
      <c r="B34" s="228" t="s">
        <v>94</v>
      </c>
      <c r="C34" s="763" t="s">
        <v>410</v>
      </c>
      <c r="D34" s="269" t="s">
        <v>395</v>
      </c>
      <c r="E34" s="194"/>
      <c r="F34" s="193"/>
      <c r="G34" s="102"/>
      <c r="H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Y34" s="228" t="s">
        <v>94</v>
      </c>
      <c r="Z34" s="1116" t="s">
        <v>396</v>
      </c>
      <c r="AA34" s="1117"/>
      <c r="AB34" s="194"/>
      <c r="AC34" s="193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V34" s="228" t="s">
        <v>94</v>
      </c>
      <c r="AW34" s="1116" t="s">
        <v>397</v>
      </c>
      <c r="AX34" s="1117"/>
      <c r="AY34" s="194"/>
      <c r="AZ34" s="193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S34" s="228" t="s">
        <v>94</v>
      </c>
      <c r="BT34" s="1116" t="s">
        <v>398</v>
      </c>
      <c r="BU34" s="1117"/>
      <c r="BV34" s="194"/>
      <c r="BW34" s="193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  <c r="CM34" s="102"/>
      <c r="CN34" s="102"/>
      <c r="CP34" s="228" t="s">
        <v>94</v>
      </c>
      <c r="CQ34" s="1116" t="s">
        <v>399</v>
      </c>
      <c r="CR34" s="1117"/>
      <c r="CS34" s="194"/>
      <c r="CT34" s="193"/>
      <c r="CU34" s="102"/>
      <c r="CV34" s="102"/>
      <c r="CW34" s="102"/>
      <c r="CX34" s="102"/>
      <c r="CY34" s="102"/>
      <c r="CZ34" s="102"/>
      <c r="DA34" s="102"/>
      <c r="DB34" s="102"/>
      <c r="DC34" s="102"/>
      <c r="DD34" s="102"/>
      <c r="DE34" s="102"/>
      <c r="DF34" s="102"/>
      <c r="DG34" s="102"/>
      <c r="DH34" s="102"/>
      <c r="DI34" s="102"/>
      <c r="DJ34" s="102"/>
      <c r="DK34" s="102"/>
    </row>
    <row r="35" spans="2:115" x14ac:dyDescent="0.3">
      <c r="B35" s="203"/>
      <c r="C35" s="148"/>
      <c r="D35" s="148"/>
      <c r="E35" s="1108"/>
      <c r="F35" s="1108"/>
      <c r="G35" s="1108"/>
      <c r="H35" s="148"/>
      <c r="I35" s="931"/>
      <c r="J35" s="1108"/>
      <c r="K35" s="1108"/>
      <c r="L35" s="148"/>
      <c r="M35" s="148"/>
      <c r="N35" s="1109" t="s">
        <v>270</v>
      </c>
      <c r="O35" s="1110"/>
      <c r="P35" s="1110"/>
      <c r="Q35" s="1110"/>
      <c r="R35" s="1111"/>
      <c r="S35" s="1109" t="s">
        <v>271</v>
      </c>
      <c r="T35" s="1110"/>
      <c r="U35" s="1110"/>
      <c r="V35" s="1110"/>
      <c r="W35" s="1111"/>
      <c r="Y35" s="203"/>
      <c r="Z35" s="148"/>
      <c r="AA35" s="148"/>
      <c r="AB35" s="1108"/>
      <c r="AC35" s="1108"/>
      <c r="AD35" s="1108"/>
      <c r="AE35" s="148"/>
      <c r="AF35" s="931"/>
      <c r="AG35" s="1108"/>
      <c r="AH35" s="1108"/>
      <c r="AI35" s="148"/>
      <c r="AJ35" s="148"/>
      <c r="AK35" s="1109" t="s">
        <v>270</v>
      </c>
      <c r="AL35" s="1110"/>
      <c r="AM35" s="1110"/>
      <c r="AN35" s="1110"/>
      <c r="AO35" s="1111"/>
      <c r="AP35" s="1109" t="s">
        <v>271</v>
      </c>
      <c r="AQ35" s="1110"/>
      <c r="AR35" s="1110"/>
      <c r="AS35" s="1110"/>
      <c r="AT35" s="1111"/>
      <c r="AV35" s="203"/>
      <c r="AW35" s="148"/>
      <c r="AX35" s="148"/>
      <c r="AY35" s="1108"/>
      <c r="AZ35" s="1108"/>
      <c r="BA35" s="1108"/>
      <c r="BB35" s="148"/>
      <c r="BC35" s="931"/>
      <c r="BD35" s="1108"/>
      <c r="BE35" s="1108"/>
      <c r="BF35" s="148"/>
      <c r="BG35" s="148"/>
      <c r="BH35" s="1109" t="s">
        <v>270</v>
      </c>
      <c r="BI35" s="1110"/>
      <c r="BJ35" s="1110"/>
      <c r="BK35" s="1110"/>
      <c r="BL35" s="1111"/>
      <c r="BM35" s="1109" t="s">
        <v>271</v>
      </c>
      <c r="BN35" s="1110"/>
      <c r="BO35" s="1110"/>
      <c r="BP35" s="1110"/>
      <c r="BQ35" s="1111"/>
      <c r="BS35" s="203"/>
      <c r="BT35" s="148"/>
      <c r="BU35" s="148"/>
      <c r="BV35" s="1108"/>
      <c r="BW35" s="1108"/>
      <c r="BX35" s="1108"/>
      <c r="BY35" s="148"/>
      <c r="BZ35" s="931"/>
      <c r="CA35" s="1108"/>
      <c r="CB35" s="1108"/>
      <c r="CC35" s="148"/>
      <c r="CD35" s="148"/>
      <c r="CE35" s="1109" t="s">
        <v>270</v>
      </c>
      <c r="CF35" s="1110"/>
      <c r="CG35" s="1110"/>
      <c r="CH35" s="1110"/>
      <c r="CI35" s="1111"/>
      <c r="CJ35" s="1109" t="s">
        <v>271</v>
      </c>
      <c r="CK35" s="1110"/>
      <c r="CL35" s="1110"/>
      <c r="CM35" s="1110"/>
      <c r="CN35" s="1111"/>
      <c r="CP35" s="203"/>
      <c r="CQ35" s="148"/>
      <c r="CR35" s="148"/>
      <c r="CS35" s="1108"/>
      <c r="CT35" s="1108"/>
      <c r="CU35" s="1108"/>
      <c r="CV35" s="148"/>
      <c r="CW35" s="931"/>
      <c r="CX35" s="1108"/>
      <c r="CY35" s="1108"/>
      <c r="CZ35" s="148"/>
      <c r="DA35" s="148"/>
      <c r="DB35" s="1109" t="s">
        <v>270</v>
      </c>
      <c r="DC35" s="1110"/>
      <c r="DD35" s="1110"/>
      <c r="DE35" s="1110"/>
      <c r="DF35" s="1111"/>
      <c r="DG35" s="1109" t="s">
        <v>271</v>
      </c>
      <c r="DH35" s="1110"/>
      <c r="DI35" s="1110"/>
      <c r="DJ35" s="1110"/>
      <c r="DK35" s="1111"/>
    </row>
    <row r="36" spans="2:115" ht="51" x14ac:dyDescent="0.3">
      <c r="B36" s="204" t="s">
        <v>272</v>
      </c>
      <c r="C36" s="205" t="s">
        <v>289</v>
      </c>
      <c r="D36" s="205" t="s">
        <v>290</v>
      </c>
      <c r="E36" s="171" t="s">
        <v>676</v>
      </c>
      <c r="F36" s="171" t="s">
        <v>672</v>
      </c>
      <c r="G36" s="171" t="s">
        <v>677</v>
      </c>
      <c r="H36" s="205" t="s">
        <v>287</v>
      </c>
      <c r="I36" s="935" t="s">
        <v>288</v>
      </c>
      <c r="J36" s="205" t="s">
        <v>291</v>
      </c>
      <c r="K36" s="171" t="s">
        <v>276</v>
      </c>
      <c r="L36" s="171" t="s">
        <v>678</v>
      </c>
      <c r="M36" s="171" t="s">
        <v>679</v>
      </c>
      <c r="N36" s="195" t="s">
        <v>277</v>
      </c>
      <c r="O36" s="171" t="s">
        <v>680</v>
      </c>
      <c r="P36" s="171" t="s">
        <v>278</v>
      </c>
      <c r="Q36" s="171" t="s">
        <v>681</v>
      </c>
      <c r="R36" s="198" t="s">
        <v>279</v>
      </c>
      <c r="S36" s="195" t="s">
        <v>280</v>
      </c>
      <c r="T36" s="171" t="s">
        <v>682</v>
      </c>
      <c r="U36" s="171" t="s">
        <v>281</v>
      </c>
      <c r="V36" s="171" t="s">
        <v>683</v>
      </c>
      <c r="W36" s="198" t="s">
        <v>282</v>
      </c>
      <c r="Y36" s="204" t="s">
        <v>272</v>
      </c>
      <c r="Z36" s="205" t="s">
        <v>289</v>
      </c>
      <c r="AA36" s="205" t="s">
        <v>290</v>
      </c>
      <c r="AB36" s="171" t="s">
        <v>676</v>
      </c>
      <c r="AC36" s="171" t="s">
        <v>672</v>
      </c>
      <c r="AD36" s="171" t="s">
        <v>677</v>
      </c>
      <c r="AE36" s="205" t="s">
        <v>287</v>
      </c>
      <c r="AF36" s="935" t="s">
        <v>288</v>
      </c>
      <c r="AG36" s="205" t="s">
        <v>291</v>
      </c>
      <c r="AH36" s="171" t="s">
        <v>276</v>
      </c>
      <c r="AI36" s="171" t="s">
        <v>678</v>
      </c>
      <c r="AJ36" s="171" t="s">
        <v>679</v>
      </c>
      <c r="AK36" s="195" t="s">
        <v>277</v>
      </c>
      <c r="AL36" s="171" t="s">
        <v>680</v>
      </c>
      <c r="AM36" s="171" t="s">
        <v>278</v>
      </c>
      <c r="AN36" s="171" t="s">
        <v>681</v>
      </c>
      <c r="AO36" s="198" t="s">
        <v>279</v>
      </c>
      <c r="AP36" s="195" t="s">
        <v>280</v>
      </c>
      <c r="AQ36" s="171" t="s">
        <v>682</v>
      </c>
      <c r="AR36" s="171" t="s">
        <v>281</v>
      </c>
      <c r="AS36" s="171" t="s">
        <v>683</v>
      </c>
      <c r="AT36" s="198" t="s">
        <v>282</v>
      </c>
      <c r="AV36" s="204" t="s">
        <v>272</v>
      </c>
      <c r="AW36" s="205" t="s">
        <v>289</v>
      </c>
      <c r="AX36" s="205" t="s">
        <v>290</v>
      </c>
      <c r="AY36" s="171" t="s">
        <v>676</v>
      </c>
      <c r="AZ36" s="171" t="s">
        <v>672</v>
      </c>
      <c r="BA36" s="171" t="s">
        <v>677</v>
      </c>
      <c r="BB36" s="205" t="s">
        <v>287</v>
      </c>
      <c r="BC36" s="935" t="s">
        <v>288</v>
      </c>
      <c r="BD36" s="205" t="s">
        <v>291</v>
      </c>
      <c r="BE36" s="171" t="s">
        <v>276</v>
      </c>
      <c r="BF36" s="171" t="s">
        <v>678</v>
      </c>
      <c r="BG36" s="171" t="s">
        <v>679</v>
      </c>
      <c r="BH36" s="195" t="s">
        <v>277</v>
      </c>
      <c r="BI36" s="171" t="s">
        <v>680</v>
      </c>
      <c r="BJ36" s="171" t="s">
        <v>278</v>
      </c>
      <c r="BK36" s="171" t="s">
        <v>681</v>
      </c>
      <c r="BL36" s="198" t="s">
        <v>279</v>
      </c>
      <c r="BM36" s="195" t="s">
        <v>280</v>
      </c>
      <c r="BN36" s="171" t="s">
        <v>682</v>
      </c>
      <c r="BO36" s="171" t="s">
        <v>281</v>
      </c>
      <c r="BP36" s="171" t="s">
        <v>683</v>
      </c>
      <c r="BQ36" s="198" t="s">
        <v>282</v>
      </c>
      <c r="BS36" s="204" t="s">
        <v>272</v>
      </c>
      <c r="BT36" s="205" t="s">
        <v>289</v>
      </c>
      <c r="BU36" s="205" t="s">
        <v>290</v>
      </c>
      <c r="BV36" s="171" t="s">
        <v>676</v>
      </c>
      <c r="BW36" s="171" t="s">
        <v>672</v>
      </c>
      <c r="BX36" s="171" t="s">
        <v>677</v>
      </c>
      <c r="BY36" s="205" t="s">
        <v>287</v>
      </c>
      <c r="BZ36" s="935" t="s">
        <v>288</v>
      </c>
      <c r="CA36" s="205" t="s">
        <v>291</v>
      </c>
      <c r="CB36" s="171" t="s">
        <v>276</v>
      </c>
      <c r="CC36" s="171" t="s">
        <v>678</v>
      </c>
      <c r="CD36" s="171" t="s">
        <v>679</v>
      </c>
      <c r="CE36" s="195" t="s">
        <v>277</v>
      </c>
      <c r="CF36" s="171" t="s">
        <v>680</v>
      </c>
      <c r="CG36" s="171" t="s">
        <v>278</v>
      </c>
      <c r="CH36" s="171" t="s">
        <v>681</v>
      </c>
      <c r="CI36" s="198" t="s">
        <v>279</v>
      </c>
      <c r="CJ36" s="195" t="s">
        <v>280</v>
      </c>
      <c r="CK36" s="171" t="s">
        <v>682</v>
      </c>
      <c r="CL36" s="171" t="s">
        <v>281</v>
      </c>
      <c r="CM36" s="171" t="s">
        <v>683</v>
      </c>
      <c r="CN36" s="198" t="s">
        <v>282</v>
      </c>
      <c r="CP36" s="204" t="s">
        <v>272</v>
      </c>
      <c r="CQ36" s="205" t="s">
        <v>289</v>
      </c>
      <c r="CR36" s="205" t="s">
        <v>290</v>
      </c>
      <c r="CS36" s="171" t="s">
        <v>676</v>
      </c>
      <c r="CT36" s="171" t="s">
        <v>672</v>
      </c>
      <c r="CU36" s="171" t="s">
        <v>677</v>
      </c>
      <c r="CV36" s="205" t="s">
        <v>287</v>
      </c>
      <c r="CW36" s="935" t="s">
        <v>288</v>
      </c>
      <c r="CX36" s="205" t="s">
        <v>291</v>
      </c>
      <c r="CY36" s="171" t="s">
        <v>276</v>
      </c>
      <c r="CZ36" s="171" t="s">
        <v>678</v>
      </c>
      <c r="DA36" s="171" t="s">
        <v>679</v>
      </c>
      <c r="DB36" s="195" t="s">
        <v>277</v>
      </c>
      <c r="DC36" s="171" t="s">
        <v>680</v>
      </c>
      <c r="DD36" s="171" t="s">
        <v>278</v>
      </c>
      <c r="DE36" s="171" t="s">
        <v>681</v>
      </c>
      <c r="DF36" s="198" t="s">
        <v>279</v>
      </c>
      <c r="DG36" s="195" t="s">
        <v>280</v>
      </c>
      <c r="DH36" s="171" t="s">
        <v>682</v>
      </c>
      <c r="DI36" s="171" t="s">
        <v>281</v>
      </c>
      <c r="DJ36" s="171" t="s">
        <v>683</v>
      </c>
      <c r="DK36" s="198" t="s">
        <v>282</v>
      </c>
    </row>
    <row r="37" spans="2:115" x14ac:dyDescent="0.3">
      <c r="B37" s="173"/>
      <c r="C37" s="226" t="s">
        <v>332</v>
      </c>
      <c r="D37" s="226" t="s">
        <v>569</v>
      </c>
      <c r="E37" s="201" t="s">
        <v>567</v>
      </c>
      <c r="F37" s="201" t="s">
        <v>567</v>
      </c>
      <c r="G37" s="201" t="s">
        <v>567</v>
      </c>
      <c r="H37" s="201" t="s">
        <v>567</v>
      </c>
      <c r="I37" s="969" t="s">
        <v>567</v>
      </c>
      <c r="J37" s="201" t="s">
        <v>567</v>
      </c>
      <c r="K37" s="201" t="s">
        <v>567</v>
      </c>
      <c r="L37" s="201" t="s">
        <v>567</v>
      </c>
      <c r="M37" s="202" t="s">
        <v>567</v>
      </c>
      <c r="N37" s="201" t="s">
        <v>567</v>
      </c>
      <c r="O37" s="201" t="s">
        <v>567</v>
      </c>
      <c r="P37" s="201" t="s">
        <v>567</v>
      </c>
      <c r="Q37" s="201" t="s">
        <v>567</v>
      </c>
      <c r="R37" s="202" t="s">
        <v>567</v>
      </c>
      <c r="S37" s="201" t="s">
        <v>567</v>
      </c>
      <c r="T37" s="201" t="s">
        <v>567</v>
      </c>
      <c r="U37" s="201" t="s">
        <v>567</v>
      </c>
      <c r="V37" s="201" t="s">
        <v>567</v>
      </c>
      <c r="W37" s="202" t="s">
        <v>567</v>
      </c>
      <c r="Y37" s="173"/>
      <c r="Z37" s="226" t="s">
        <v>332</v>
      </c>
      <c r="AA37" s="226" t="s">
        <v>569</v>
      </c>
      <c r="AB37" s="201" t="s">
        <v>567</v>
      </c>
      <c r="AC37" s="201" t="s">
        <v>567</v>
      </c>
      <c r="AD37" s="201" t="s">
        <v>567</v>
      </c>
      <c r="AE37" s="201" t="s">
        <v>567</v>
      </c>
      <c r="AF37" s="969" t="s">
        <v>567</v>
      </c>
      <c r="AG37" s="201" t="s">
        <v>567</v>
      </c>
      <c r="AH37" s="201" t="s">
        <v>567</v>
      </c>
      <c r="AI37" s="201" t="s">
        <v>567</v>
      </c>
      <c r="AJ37" s="202" t="s">
        <v>567</v>
      </c>
      <c r="AK37" s="201" t="s">
        <v>567</v>
      </c>
      <c r="AL37" s="201" t="s">
        <v>567</v>
      </c>
      <c r="AM37" s="201" t="s">
        <v>567</v>
      </c>
      <c r="AN37" s="201" t="s">
        <v>567</v>
      </c>
      <c r="AO37" s="202" t="s">
        <v>567</v>
      </c>
      <c r="AP37" s="201" t="s">
        <v>567</v>
      </c>
      <c r="AQ37" s="201" t="s">
        <v>567</v>
      </c>
      <c r="AR37" s="201" t="s">
        <v>567</v>
      </c>
      <c r="AS37" s="201" t="s">
        <v>567</v>
      </c>
      <c r="AT37" s="202" t="s">
        <v>567</v>
      </c>
      <c r="AV37" s="173"/>
      <c r="AW37" s="226" t="s">
        <v>332</v>
      </c>
      <c r="AX37" s="226" t="s">
        <v>569</v>
      </c>
      <c r="AY37" s="201" t="s">
        <v>567</v>
      </c>
      <c r="AZ37" s="201" t="s">
        <v>567</v>
      </c>
      <c r="BA37" s="201" t="s">
        <v>567</v>
      </c>
      <c r="BB37" s="201" t="s">
        <v>567</v>
      </c>
      <c r="BC37" s="969" t="s">
        <v>567</v>
      </c>
      <c r="BD37" s="201" t="s">
        <v>567</v>
      </c>
      <c r="BE37" s="201" t="s">
        <v>567</v>
      </c>
      <c r="BF37" s="201" t="s">
        <v>567</v>
      </c>
      <c r="BG37" s="202" t="s">
        <v>567</v>
      </c>
      <c r="BH37" s="201" t="s">
        <v>567</v>
      </c>
      <c r="BI37" s="201" t="s">
        <v>567</v>
      </c>
      <c r="BJ37" s="201" t="s">
        <v>567</v>
      </c>
      <c r="BK37" s="201" t="s">
        <v>567</v>
      </c>
      <c r="BL37" s="202" t="s">
        <v>567</v>
      </c>
      <c r="BM37" s="201" t="s">
        <v>567</v>
      </c>
      <c r="BN37" s="201" t="s">
        <v>567</v>
      </c>
      <c r="BO37" s="201" t="s">
        <v>567</v>
      </c>
      <c r="BP37" s="201" t="s">
        <v>567</v>
      </c>
      <c r="BQ37" s="202" t="s">
        <v>567</v>
      </c>
      <c r="BS37" s="173"/>
      <c r="BT37" s="226" t="s">
        <v>332</v>
      </c>
      <c r="BU37" s="226" t="s">
        <v>569</v>
      </c>
      <c r="BV37" s="201" t="s">
        <v>567</v>
      </c>
      <c r="BW37" s="201" t="s">
        <v>567</v>
      </c>
      <c r="BX37" s="201" t="s">
        <v>567</v>
      </c>
      <c r="BY37" s="201" t="s">
        <v>567</v>
      </c>
      <c r="BZ37" s="969" t="s">
        <v>567</v>
      </c>
      <c r="CA37" s="201" t="s">
        <v>567</v>
      </c>
      <c r="CB37" s="201" t="s">
        <v>567</v>
      </c>
      <c r="CC37" s="201" t="s">
        <v>567</v>
      </c>
      <c r="CD37" s="202" t="s">
        <v>567</v>
      </c>
      <c r="CE37" s="201" t="s">
        <v>567</v>
      </c>
      <c r="CF37" s="201" t="s">
        <v>567</v>
      </c>
      <c r="CG37" s="201" t="s">
        <v>567</v>
      </c>
      <c r="CH37" s="201" t="s">
        <v>567</v>
      </c>
      <c r="CI37" s="202" t="s">
        <v>567</v>
      </c>
      <c r="CJ37" s="201" t="s">
        <v>567</v>
      </c>
      <c r="CK37" s="201" t="s">
        <v>567</v>
      </c>
      <c r="CL37" s="201" t="s">
        <v>567</v>
      </c>
      <c r="CM37" s="201" t="s">
        <v>567</v>
      </c>
      <c r="CN37" s="202" t="s">
        <v>567</v>
      </c>
      <c r="CP37" s="173"/>
      <c r="CQ37" s="226" t="s">
        <v>332</v>
      </c>
      <c r="CR37" s="226" t="s">
        <v>569</v>
      </c>
      <c r="CS37" s="201" t="s">
        <v>567</v>
      </c>
      <c r="CT37" s="201" t="s">
        <v>567</v>
      </c>
      <c r="CU37" s="201" t="s">
        <v>567</v>
      </c>
      <c r="CV37" s="201" t="s">
        <v>567</v>
      </c>
      <c r="CW37" s="969" t="s">
        <v>567</v>
      </c>
      <c r="CX37" s="201" t="s">
        <v>567</v>
      </c>
      <c r="CY37" s="201" t="s">
        <v>567</v>
      </c>
      <c r="CZ37" s="201" t="s">
        <v>567</v>
      </c>
      <c r="DA37" s="202" t="s">
        <v>567</v>
      </c>
      <c r="DB37" s="201" t="s">
        <v>567</v>
      </c>
      <c r="DC37" s="201" t="s">
        <v>567</v>
      </c>
      <c r="DD37" s="201" t="s">
        <v>567</v>
      </c>
      <c r="DE37" s="201" t="s">
        <v>567</v>
      </c>
      <c r="DF37" s="202" t="s">
        <v>567</v>
      </c>
      <c r="DG37" s="201" t="s">
        <v>567</v>
      </c>
      <c r="DH37" s="201" t="s">
        <v>567</v>
      </c>
      <c r="DI37" s="201" t="s">
        <v>567</v>
      </c>
      <c r="DJ37" s="201" t="s">
        <v>567</v>
      </c>
      <c r="DK37" s="202" t="s">
        <v>567</v>
      </c>
    </row>
    <row r="38" spans="2:115" x14ac:dyDescent="0.3">
      <c r="B38" s="204">
        <v>1</v>
      </c>
      <c r="C38" s="197">
        <f>'Energy NPV'!$D91</f>
        <v>0</v>
      </c>
      <c r="D38" s="197">
        <f>'Energy margins'!$Z$12</f>
        <v>43.75</v>
      </c>
      <c r="E38" s="197">
        <f>C38*D38</f>
        <v>0</v>
      </c>
      <c r="F38" s="197">
        <f>'Margins summary'!$W$14</f>
        <v>330</v>
      </c>
      <c r="G38" s="197">
        <f>E38+F38</f>
        <v>330</v>
      </c>
      <c r="H38" s="197">
        <f>'Margins summary'!$V$20</f>
        <v>2769.6868439999998</v>
      </c>
      <c r="I38" s="918">
        <f>'Energy NPV'!U91</f>
        <v>0</v>
      </c>
      <c r="J38" s="197"/>
      <c r="K38" s="197">
        <f>H38+I38+J38</f>
        <v>2769.6868439999998</v>
      </c>
      <c r="L38" s="197">
        <f t="shared" ref="L38:L53" si="71">E38-K38</f>
        <v>-2769.6868439999998</v>
      </c>
      <c r="M38" s="197">
        <f t="shared" ref="M38:M53" si="72">G38-K38</f>
        <v>-2439.6868439999998</v>
      </c>
      <c r="N38" s="1033">
        <f>E38/(1+$B$4)^(B38-1)</f>
        <v>0</v>
      </c>
      <c r="O38" s="213">
        <f>F38/(1+$B$4)^(B38-1)</f>
        <v>330</v>
      </c>
      <c r="P38" s="213">
        <f>K38/(1+$B$4)^(B38-1)</f>
        <v>2769.6868439999998</v>
      </c>
      <c r="Q38" s="213">
        <f>L38/(1+$B$4)^(B38-1)</f>
        <v>-2769.6868439999998</v>
      </c>
      <c r="R38" s="929">
        <f>M38/(1+$B$4)^(B38-1)</f>
        <v>-2439.6868439999998</v>
      </c>
      <c r="S38" s="196">
        <f>N38</f>
        <v>0</v>
      </c>
      <c r="T38" s="197">
        <f>O38</f>
        <v>330</v>
      </c>
      <c r="U38" s="197">
        <f>P38</f>
        <v>2769.6868439999998</v>
      </c>
      <c r="V38" s="197">
        <f>Q38</f>
        <v>-2769.6868439999998</v>
      </c>
      <c r="W38" s="199">
        <f>R38</f>
        <v>-2439.6868439999998</v>
      </c>
      <c r="Y38" s="204">
        <v>1</v>
      </c>
      <c r="Z38" s="197">
        <f>'Energy NPV'!$D91</f>
        <v>0</v>
      </c>
      <c r="AA38" s="197">
        <f>'Energy margins'!$Z$12</f>
        <v>43.75</v>
      </c>
      <c r="AB38" s="197">
        <f>Z38*AA38</f>
        <v>0</v>
      </c>
      <c r="AC38" s="197">
        <f>'Margins summary'!$W$14</f>
        <v>330</v>
      </c>
      <c r="AD38" s="197">
        <f>AB38+AC38</f>
        <v>330</v>
      </c>
      <c r="AE38" s="197">
        <f>'Margins summary'!$V$20</f>
        <v>2769.6868439999998</v>
      </c>
      <c r="AF38" s="918">
        <f>'Energy NPV'!U91</f>
        <v>0</v>
      </c>
      <c r="AG38" s="197"/>
      <c r="AH38" s="197">
        <f>AE38+AF38+AG38</f>
        <v>2769.6868439999998</v>
      </c>
      <c r="AI38" s="197">
        <f t="shared" ref="AI38:AI53" si="73">AB38-AH38</f>
        <v>-2769.6868439999998</v>
      </c>
      <c r="AJ38" s="197">
        <f t="shared" ref="AJ38:AJ53" si="74">AD38-AH38</f>
        <v>-2439.6868439999998</v>
      </c>
      <c r="AK38" s="1033">
        <f>AB38/(1+$C$4)^(Y38-1)</f>
        <v>0</v>
      </c>
      <c r="AL38" s="213">
        <f>AC38/(1+$C$4)^(Y38-1)</f>
        <v>330</v>
      </c>
      <c r="AM38" s="213">
        <f>AH38/(1+$C$4)^(Y38-1)</f>
        <v>2769.6868439999998</v>
      </c>
      <c r="AN38" s="213">
        <f>AI38/(1+$C$4)^(Y38-1)</f>
        <v>-2769.6868439999998</v>
      </c>
      <c r="AO38" s="929">
        <f>AJ38/(1+$C$4)^(Y38-1)</f>
        <v>-2439.6868439999998</v>
      </c>
      <c r="AP38" s="196">
        <f>AK38</f>
        <v>0</v>
      </c>
      <c r="AQ38" s="197">
        <f>AL38</f>
        <v>330</v>
      </c>
      <c r="AR38" s="197">
        <f>AM38</f>
        <v>2769.6868439999998</v>
      </c>
      <c r="AS38" s="197">
        <f>AN38</f>
        <v>-2769.6868439999998</v>
      </c>
      <c r="AT38" s="199">
        <f>AO38</f>
        <v>-2439.6868439999998</v>
      </c>
      <c r="AV38" s="204">
        <v>1</v>
      </c>
      <c r="AW38" s="197">
        <f>'Energy NPV'!$D91</f>
        <v>0</v>
      </c>
      <c r="AX38" s="197">
        <f>'Energy margins'!$Z$12</f>
        <v>43.75</v>
      </c>
      <c r="AY38" s="197">
        <f>AW38*AX38</f>
        <v>0</v>
      </c>
      <c r="AZ38" s="197">
        <f>'Margins summary'!$W$14</f>
        <v>330</v>
      </c>
      <c r="BA38" s="197">
        <f>AY38+AZ38</f>
        <v>330</v>
      </c>
      <c r="BB38" s="197">
        <f>'Margins summary'!$V$20</f>
        <v>2769.6868439999998</v>
      </c>
      <c r="BC38" s="918">
        <f>'Energy NPV'!U91</f>
        <v>0</v>
      </c>
      <c r="BD38" s="197"/>
      <c r="BE38" s="197">
        <f>BB38+BC38+BD38</f>
        <v>2769.6868439999998</v>
      </c>
      <c r="BF38" s="197">
        <f t="shared" ref="BF38:BF53" si="75">AY38-BE38</f>
        <v>-2769.6868439999998</v>
      </c>
      <c r="BG38" s="197">
        <f t="shared" ref="BG38:BG53" si="76">BA38-BE38</f>
        <v>-2439.6868439999998</v>
      </c>
      <c r="BH38" s="1033">
        <f>AY38/(1+$D$4)^(AV38-1)</f>
        <v>0</v>
      </c>
      <c r="BI38" s="213">
        <f>AZ38/(1+$D$4)^(AV38-1)</f>
        <v>330</v>
      </c>
      <c r="BJ38" s="213">
        <f>BE38/(1+$D$4)^(AV38-1)</f>
        <v>2769.6868439999998</v>
      </c>
      <c r="BK38" s="213">
        <f>BF38/(1+$D$4)^(AV38-1)</f>
        <v>-2769.6868439999998</v>
      </c>
      <c r="BL38" s="929">
        <f>BG38/(1+$D$4)^(AV38-1)</f>
        <v>-2439.6868439999998</v>
      </c>
      <c r="BM38" s="196">
        <f>BH38</f>
        <v>0</v>
      </c>
      <c r="BN38" s="197">
        <f>BI38</f>
        <v>330</v>
      </c>
      <c r="BO38" s="197">
        <f>BJ38</f>
        <v>2769.6868439999998</v>
      </c>
      <c r="BP38" s="197">
        <f>BK38</f>
        <v>-2769.6868439999998</v>
      </c>
      <c r="BQ38" s="199">
        <f>BL38</f>
        <v>-2439.6868439999998</v>
      </c>
      <c r="BS38" s="204">
        <v>1</v>
      </c>
      <c r="BT38" s="197">
        <f>'Energy NPV'!$D91</f>
        <v>0</v>
      </c>
      <c r="BU38" s="197">
        <f>'Energy margins'!$Z$12</f>
        <v>43.75</v>
      </c>
      <c r="BV38" s="197">
        <f>BT38*BU38</f>
        <v>0</v>
      </c>
      <c r="BW38" s="197">
        <f>'Margins summary'!$W$14</f>
        <v>330</v>
      </c>
      <c r="BX38" s="197">
        <f>BV38+BW38</f>
        <v>330</v>
      </c>
      <c r="BY38" s="197">
        <f>'Margins summary'!$V$20</f>
        <v>2769.6868439999998</v>
      </c>
      <c r="BZ38" s="918">
        <f>'Energy NPV'!U91</f>
        <v>0</v>
      </c>
      <c r="CA38" s="197"/>
      <c r="CB38" s="197">
        <f>BY38+BZ38+CA38</f>
        <v>2769.6868439999998</v>
      </c>
      <c r="CC38" s="197">
        <f t="shared" ref="CC38:CC53" si="77">BV38-CB38</f>
        <v>-2769.6868439999998</v>
      </c>
      <c r="CD38" s="197">
        <f t="shared" ref="CD38:CD53" si="78">BX38-CB38</f>
        <v>-2439.6868439999998</v>
      </c>
      <c r="CE38" s="1033">
        <f>BV38/(1+$E$4)^(BS38-1)</f>
        <v>0</v>
      </c>
      <c r="CF38" s="213">
        <f>BW38/(1+$E$4)^(BS38-1)</f>
        <v>330</v>
      </c>
      <c r="CG38" s="213">
        <f>CB38/(1+$E$4)^(BS38-1)</f>
        <v>2769.6868439999998</v>
      </c>
      <c r="CH38" s="213">
        <f>CC38/(1+$E$4)^(BS38-1)</f>
        <v>-2769.6868439999998</v>
      </c>
      <c r="CI38" s="929">
        <f>CD38/(1+$E$4)^(BS38-1)</f>
        <v>-2439.6868439999998</v>
      </c>
      <c r="CJ38" s="196">
        <f>CE38</f>
        <v>0</v>
      </c>
      <c r="CK38" s="197">
        <f>CF38</f>
        <v>330</v>
      </c>
      <c r="CL38" s="197">
        <f>CG38</f>
        <v>2769.6868439999998</v>
      </c>
      <c r="CM38" s="197">
        <f>CH38</f>
        <v>-2769.6868439999998</v>
      </c>
      <c r="CN38" s="199">
        <f>CI38</f>
        <v>-2439.6868439999998</v>
      </c>
      <c r="CP38" s="204">
        <v>1</v>
      </c>
      <c r="CQ38" s="197">
        <f>'Energy NPV'!$D91</f>
        <v>0</v>
      </c>
      <c r="CR38" s="197">
        <f>'Energy margins'!$Z$12</f>
        <v>43.75</v>
      </c>
      <c r="CS38" s="197">
        <f>CQ38*CR38</f>
        <v>0</v>
      </c>
      <c r="CT38" s="197">
        <f>'Margins summary'!$W$14</f>
        <v>330</v>
      </c>
      <c r="CU38" s="197">
        <f>CS38+CT38</f>
        <v>330</v>
      </c>
      <c r="CV38" s="197">
        <f>'Margins summary'!$V$20</f>
        <v>2769.6868439999998</v>
      </c>
      <c r="CW38" s="918">
        <f>'Energy NPV'!U91</f>
        <v>0</v>
      </c>
      <c r="CX38" s="197"/>
      <c r="CY38" s="197">
        <f>CV38+CW38+CX38</f>
        <v>2769.6868439999998</v>
      </c>
      <c r="CZ38" s="197">
        <f t="shared" ref="CZ38:CZ53" si="79">CS38-CY38</f>
        <v>-2769.6868439999998</v>
      </c>
      <c r="DA38" s="197">
        <f t="shared" ref="DA38:DA53" si="80">CU38-CY38</f>
        <v>-2439.6868439999998</v>
      </c>
      <c r="DB38" s="1033">
        <f>CS38/(1+$F$4)^(CP38-1)</f>
        <v>0</v>
      </c>
      <c r="DC38" s="213">
        <f>CT38/(1+$F$4)^(CP38-1)</f>
        <v>330</v>
      </c>
      <c r="DD38" s="213">
        <f>CY38/(1+$F$4)^(CP38-1)</f>
        <v>2769.6868439999998</v>
      </c>
      <c r="DE38" s="213">
        <f>CZ38/(1+$F$4)^(CP38-1)</f>
        <v>-2769.6868439999998</v>
      </c>
      <c r="DF38" s="929">
        <f>DA38/(1+$F$4)^(CP38-1)</f>
        <v>-2439.6868439999998</v>
      </c>
      <c r="DG38" s="196">
        <f>DB38</f>
        <v>0</v>
      </c>
      <c r="DH38" s="197">
        <f>DC38</f>
        <v>330</v>
      </c>
      <c r="DI38" s="197">
        <f>DD38</f>
        <v>2769.6868439999998</v>
      </c>
      <c r="DJ38" s="197">
        <f>DE38</f>
        <v>-2769.6868439999998</v>
      </c>
      <c r="DK38" s="199">
        <f>DF38</f>
        <v>-2439.6868439999998</v>
      </c>
    </row>
    <row r="39" spans="2:115" x14ac:dyDescent="0.3">
      <c r="B39" s="204">
        <v>2</v>
      </c>
      <c r="C39" s="197">
        <f>'Energy NPV'!$D92</f>
        <v>9.1411042944785272</v>
      </c>
      <c r="D39" s="197">
        <f>'Energy margins'!$Z$12</f>
        <v>43.75</v>
      </c>
      <c r="E39" s="197">
        <f>C39*D39</f>
        <v>399.92331288343559</v>
      </c>
      <c r="F39" s="197">
        <f>'Margins summary'!$W$14</f>
        <v>330</v>
      </c>
      <c r="G39" s="197">
        <f t="shared" ref="G39:G53" si="81">E39+F39</f>
        <v>729.92331288343553</v>
      </c>
      <c r="H39" s="197"/>
      <c r="I39" s="918">
        <f>'Energy NPV'!U92</f>
        <v>600.46934399999986</v>
      </c>
      <c r="J39" s="197"/>
      <c r="K39" s="197">
        <f t="shared" ref="K39:K53" si="82">H39+I39+J39</f>
        <v>600.46934399999986</v>
      </c>
      <c r="L39" s="197">
        <f t="shared" si="71"/>
        <v>-200.54603111656428</v>
      </c>
      <c r="M39" s="197">
        <f t="shared" si="72"/>
        <v>129.45396888343566</v>
      </c>
      <c r="N39" s="196">
        <f t="shared" ref="N39:N52" si="83">E39/(1+$B$4)^(B39-1)</f>
        <v>388.27506105187922</v>
      </c>
      <c r="O39" s="197">
        <f t="shared" ref="O39:O52" si="84">F39/(1+$B$4)^(B39-1)</f>
        <v>320.38834951456312</v>
      </c>
      <c r="P39" s="197">
        <f t="shared" ref="P39:P52" si="85">K39/(1+$B$4)^(B39-1)</f>
        <v>582.97994563106784</v>
      </c>
      <c r="Q39" s="197">
        <f t="shared" ref="Q39:Q52" si="86">L39/(1+$B$4)^(B39-1)</f>
        <v>-194.70488457918862</v>
      </c>
      <c r="R39" s="199">
        <f t="shared" ref="R39:R52" si="87">M39/(1+$B$4)^(B39-1)</f>
        <v>125.68346493537443</v>
      </c>
      <c r="S39" s="196">
        <f>S38+N39</f>
        <v>388.27506105187922</v>
      </c>
      <c r="T39" s="197">
        <f t="shared" ref="T39:W53" si="88">T38+O39</f>
        <v>650.38834951456306</v>
      </c>
      <c r="U39" s="197">
        <f t="shared" si="88"/>
        <v>3352.6667896310678</v>
      </c>
      <c r="V39" s="197">
        <f t="shared" si="88"/>
        <v>-2964.3917285791886</v>
      </c>
      <c r="W39" s="199">
        <f t="shared" si="88"/>
        <v>-2314.0033790646253</v>
      </c>
      <c r="Y39" s="204">
        <v>2</v>
      </c>
      <c r="Z39" s="197">
        <f>'Energy NPV'!$D92</f>
        <v>9.1411042944785272</v>
      </c>
      <c r="AA39" s="197">
        <f>'Energy margins'!$Z$12</f>
        <v>43.75</v>
      </c>
      <c r="AB39" s="197">
        <f>Z39*AA39</f>
        <v>399.92331288343559</v>
      </c>
      <c r="AC39" s="197">
        <f>'Margins summary'!$W$14</f>
        <v>330</v>
      </c>
      <c r="AD39" s="197">
        <f t="shared" ref="AD39:AD53" si="89">AB39+AC39</f>
        <v>729.92331288343553</v>
      </c>
      <c r="AE39" s="197"/>
      <c r="AF39" s="918">
        <f>'Energy NPV'!U92</f>
        <v>600.46934399999986</v>
      </c>
      <c r="AG39" s="197"/>
      <c r="AH39" s="197">
        <f t="shared" ref="AH39:AH53" si="90">AE39+AF39+AG39</f>
        <v>600.46934399999986</v>
      </c>
      <c r="AI39" s="197">
        <f t="shared" si="73"/>
        <v>-200.54603111656428</v>
      </c>
      <c r="AJ39" s="197">
        <f t="shared" si="74"/>
        <v>129.45396888343566</v>
      </c>
      <c r="AK39" s="196">
        <f t="shared" ref="AK39:AK53" si="91">AB39/(1+$C$4)^(Y39-1)</f>
        <v>382.70173481668479</v>
      </c>
      <c r="AL39" s="197">
        <f t="shared" ref="AL39:AL53" si="92">AC39/(1+$C$4)^(Y39-1)</f>
        <v>315.78947368421052</v>
      </c>
      <c r="AM39" s="197">
        <f t="shared" ref="AM39:AM53" si="93">AH39/(1+$C$4)^(Y39-1)</f>
        <v>574.61181244019133</v>
      </c>
      <c r="AN39" s="197">
        <f t="shared" ref="AN39:AN53" si="94">AI39/(1+$C$4)^(Y39-1)</f>
        <v>-191.91007762350651</v>
      </c>
      <c r="AO39" s="199">
        <f t="shared" ref="AO39:AO53" si="95">AJ39/(1+$C$4)^(Y39-1)</f>
        <v>123.879396060704</v>
      </c>
      <c r="AP39" s="196">
        <f>AP38+AK39</f>
        <v>382.70173481668479</v>
      </c>
      <c r="AQ39" s="197">
        <f t="shared" ref="AQ39:AT53" si="96">AQ38+AL39</f>
        <v>645.78947368421052</v>
      </c>
      <c r="AR39" s="197">
        <f t="shared" si="96"/>
        <v>3344.2986564401913</v>
      </c>
      <c r="AS39" s="197">
        <f t="shared" si="96"/>
        <v>-2961.5969216235062</v>
      </c>
      <c r="AT39" s="199">
        <f t="shared" si="96"/>
        <v>-2315.8074479392958</v>
      </c>
      <c r="AV39" s="204">
        <v>2</v>
      </c>
      <c r="AW39" s="197">
        <f>'Energy NPV'!$D92</f>
        <v>9.1411042944785272</v>
      </c>
      <c r="AX39" s="197">
        <f>'Energy margins'!$Z$12</f>
        <v>43.75</v>
      </c>
      <c r="AY39" s="197">
        <f>AW39*AX39</f>
        <v>399.92331288343559</v>
      </c>
      <c r="AZ39" s="197">
        <f>'Margins summary'!$W$14</f>
        <v>330</v>
      </c>
      <c r="BA39" s="197">
        <f t="shared" ref="BA39:BA53" si="97">AY39+AZ39</f>
        <v>729.92331288343553</v>
      </c>
      <c r="BB39" s="197"/>
      <c r="BC39" s="918">
        <f>'Energy NPV'!U92</f>
        <v>600.46934399999986</v>
      </c>
      <c r="BD39" s="197"/>
      <c r="BE39" s="197">
        <f t="shared" ref="BE39:BE53" si="98">BB39+BC39+BD39</f>
        <v>600.46934399999986</v>
      </c>
      <c r="BF39" s="197">
        <f t="shared" si="75"/>
        <v>-200.54603111656428</v>
      </c>
      <c r="BG39" s="197">
        <f t="shared" si="76"/>
        <v>129.45396888343566</v>
      </c>
      <c r="BH39" s="196">
        <f t="shared" ref="BH39:BH53" si="99">AY39/(1+$D$4)^(AV39-1)</f>
        <v>394.01311614131589</v>
      </c>
      <c r="BI39" s="197">
        <f t="shared" ref="BI39:BI53" si="100">AZ39/(1+$D$4)^(AV39-1)</f>
        <v>325.12315270935966</v>
      </c>
      <c r="BJ39" s="197">
        <f t="shared" ref="BJ39:BJ53" si="101">BE39/(1+$D$4)^(AV39-1)</f>
        <v>591.59541280788164</v>
      </c>
      <c r="BK39" s="197">
        <f t="shared" ref="BK39:BK53" si="102">BF39/(1+$D$4)^(AV39-1)</f>
        <v>-197.58229666656581</v>
      </c>
      <c r="BL39" s="199">
        <f t="shared" ref="BL39:BL53" si="103">BG39/(1+$D$4)^(AV39-1)</f>
        <v>127.54085604279376</v>
      </c>
      <c r="BM39" s="196">
        <f>BM38+BH39</f>
        <v>394.01311614131589</v>
      </c>
      <c r="BN39" s="197">
        <f t="shared" ref="BN39:BN53" si="104">BN38+BI39</f>
        <v>655.1231527093596</v>
      </c>
      <c r="BO39" s="197">
        <f t="shared" ref="BO39:BO53" si="105">BO38+BJ39</f>
        <v>3361.2822568078814</v>
      </c>
      <c r="BP39" s="197">
        <f t="shared" ref="BP39:BP53" si="106">BP38+BK39</f>
        <v>-2967.2691406665658</v>
      </c>
      <c r="BQ39" s="199">
        <f t="shared" ref="BQ39:BQ53" si="107">BQ38+BL39</f>
        <v>-2312.1459879572062</v>
      </c>
      <c r="BS39" s="204">
        <v>2</v>
      </c>
      <c r="BT39" s="197">
        <f>'Energy NPV'!$D92</f>
        <v>9.1411042944785272</v>
      </c>
      <c r="BU39" s="197">
        <f>'Energy margins'!$Z$12</f>
        <v>43.75</v>
      </c>
      <c r="BV39" s="197">
        <f>BT39*BU39</f>
        <v>399.92331288343559</v>
      </c>
      <c r="BW39" s="197">
        <f>'Margins summary'!$W$14</f>
        <v>330</v>
      </c>
      <c r="BX39" s="197">
        <f t="shared" ref="BX39:BX53" si="108">BV39+BW39</f>
        <v>729.92331288343553</v>
      </c>
      <c r="BY39" s="197"/>
      <c r="BZ39" s="918">
        <f>'Energy NPV'!U92</f>
        <v>600.46934399999986</v>
      </c>
      <c r="CA39" s="197"/>
      <c r="CB39" s="197">
        <f t="shared" ref="CB39:CB53" si="109">BY39+BZ39+CA39</f>
        <v>600.46934399999986</v>
      </c>
      <c r="CC39" s="197">
        <f t="shared" si="77"/>
        <v>-200.54603111656428</v>
      </c>
      <c r="CD39" s="197">
        <f t="shared" si="78"/>
        <v>129.45396888343566</v>
      </c>
      <c r="CE39" s="196">
        <f t="shared" ref="CE39:CE53" si="110">BV39/(1+$E$4)^(BS39-1)</f>
        <v>377.2861442296562</v>
      </c>
      <c r="CF39" s="197">
        <f t="shared" ref="CF39:CF53" si="111">BW39/(1+$E$4)^(BS39-1)</f>
        <v>311.32075471698113</v>
      </c>
      <c r="CG39" s="197">
        <f t="shared" ref="CG39:CG53" si="112">CB39/(1+$E$4)^(BS39-1)</f>
        <v>566.48051320754701</v>
      </c>
      <c r="CH39" s="197">
        <f t="shared" ref="CH39:CH53" si="113">CC39/(1+$E$4)^(BS39-1)</f>
        <v>-189.19436897789083</v>
      </c>
      <c r="CI39" s="199">
        <f t="shared" ref="CI39:CI53" si="114">CD39/(1+$E$4)^(BS39-1)</f>
        <v>122.12638573909024</v>
      </c>
      <c r="CJ39" s="196">
        <f>CJ38+CE39</f>
        <v>377.2861442296562</v>
      </c>
      <c r="CK39" s="197">
        <f t="shared" ref="CK39:CK53" si="115">CK38+CF39</f>
        <v>641.32075471698113</v>
      </c>
      <c r="CL39" s="197">
        <f t="shared" ref="CL39:CL53" si="116">CL38+CG39</f>
        <v>3336.167357207547</v>
      </c>
      <c r="CM39" s="197">
        <f t="shared" ref="CM39:CM53" si="117">CM38+CH39</f>
        <v>-2958.8812129778908</v>
      </c>
      <c r="CN39" s="199">
        <f t="shared" ref="CN39:CN53" si="118">CN38+CI39</f>
        <v>-2317.5604582609094</v>
      </c>
      <c r="CP39" s="204">
        <f>CP38+1</f>
        <v>2</v>
      </c>
      <c r="CQ39" s="197">
        <f>'Energy NPV'!$D92</f>
        <v>9.1411042944785272</v>
      </c>
      <c r="CR39" s="197">
        <f>'Energy margins'!$Z$12</f>
        <v>43.75</v>
      </c>
      <c r="CS39" s="197">
        <f>CQ39*CR39</f>
        <v>399.92331288343559</v>
      </c>
      <c r="CT39" s="197">
        <f>'Margins summary'!$W$14</f>
        <v>330</v>
      </c>
      <c r="CU39" s="197">
        <f t="shared" ref="CU39:CU53" si="119">CS39+CT39</f>
        <v>729.92331288343553</v>
      </c>
      <c r="CV39" s="197"/>
      <c r="CW39" s="918">
        <f>'Energy NPV'!U92</f>
        <v>600.46934399999986</v>
      </c>
      <c r="CX39" s="197"/>
      <c r="CY39" s="197">
        <f t="shared" ref="CY39:CY53" si="120">CV39+CW39+CX39</f>
        <v>600.46934399999986</v>
      </c>
      <c r="CZ39" s="197">
        <f t="shared" si="79"/>
        <v>-200.54603111656428</v>
      </c>
      <c r="DA39" s="197">
        <f t="shared" si="80"/>
        <v>129.45396888343566</v>
      </c>
      <c r="DB39" s="196">
        <f t="shared" ref="DB39:DB53" si="121">CS39/(1+$F$4)^(CP39-1)</f>
        <v>399.92331288343559</v>
      </c>
      <c r="DC39" s="197">
        <f t="shared" ref="DC39:DC53" si="122">CT39/(1+$F$4)^(CP39-1)</f>
        <v>330</v>
      </c>
      <c r="DD39" s="197">
        <f t="shared" ref="DD39:DD53" si="123">CY39/(1+$F$4)^(CP39-1)</f>
        <v>600.46934399999986</v>
      </c>
      <c r="DE39" s="197">
        <f t="shared" ref="DE39:DE53" si="124">CZ39/(1+$F$4)^(CP39-1)</f>
        <v>-200.54603111656428</v>
      </c>
      <c r="DF39" s="199">
        <f t="shared" ref="DF39:DF53" si="125">DA39/(1+$F$4)^(CP39-1)</f>
        <v>129.45396888343566</v>
      </c>
      <c r="DG39" s="196">
        <f>DG38+DB39</f>
        <v>399.92331288343559</v>
      </c>
      <c r="DH39" s="197">
        <f t="shared" ref="DH39:DH53" si="126">DH38+DC39</f>
        <v>660</v>
      </c>
      <c r="DI39" s="197">
        <f t="shared" ref="DI39:DI53" si="127">DI38+DD39</f>
        <v>3370.1561879999999</v>
      </c>
      <c r="DJ39" s="197">
        <f t="shared" ref="DJ39:DJ53" si="128">DJ38+DE39</f>
        <v>-2970.2328751165642</v>
      </c>
      <c r="DK39" s="199">
        <f t="shared" ref="DK39:DK53" si="129">DK38+DF39</f>
        <v>-2310.2328751165642</v>
      </c>
    </row>
    <row r="40" spans="2:115" x14ac:dyDescent="0.3">
      <c r="B40" s="204">
        <f t="shared" ref="B40:B53" si="130">B39+1</f>
        <v>3</v>
      </c>
      <c r="C40" s="197">
        <f>'Energy NPV'!$D93</f>
        <v>13.52760736196319</v>
      </c>
      <c r="D40" s="197">
        <f>'Energy margins'!$Z$12</f>
        <v>43.75</v>
      </c>
      <c r="E40" s="197">
        <f t="shared" ref="E40:E53" si="131">C40*D40</f>
        <v>591.83282208588957</v>
      </c>
      <c r="F40" s="197">
        <f>'Margins summary'!$W$14</f>
        <v>330</v>
      </c>
      <c r="G40" s="197">
        <f t="shared" si="81"/>
        <v>921.83282208588957</v>
      </c>
      <c r="H40" s="197"/>
      <c r="I40" s="918">
        <f>'Energy NPV'!U93</f>
        <v>600.46934399999986</v>
      </c>
      <c r="J40" s="197"/>
      <c r="K40" s="197">
        <f t="shared" si="82"/>
        <v>600.46934399999986</v>
      </c>
      <c r="L40" s="197">
        <f t="shared" si="71"/>
        <v>-8.6365219141102898</v>
      </c>
      <c r="M40" s="197">
        <f t="shared" si="72"/>
        <v>321.36347808588971</v>
      </c>
      <c r="N40" s="196">
        <f t="shared" si="83"/>
        <v>557.85919698924465</v>
      </c>
      <c r="O40" s="197">
        <f t="shared" si="84"/>
        <v>311.05665001413894</v>
      </c>
      <c r="P40" s="197">
        <f t="shared" si="85"/>
        <v>565.99994721462895</v>
      </c>
      <c r="Q40" s="197">
        <f t="shared" si="86"/>
        <v>-8.140750225384382</v>
      </c>
      <c r="R40" s="199">
        <f t="shared" si="87"/>
        <v>302.91589978875459</v>
      </c>
      <c r="S40" s="196">
        <f t="shared" ref="S40:S53" si="132">S39+N40</f>
        <v>946.13425804112387</v>
      </c>
      <c r="T40" s="197">
        <f t="shared" si="88"/>
        <v>961.44499952870206</v>
      </c>
      <c r="U40" s="197">
        <f t="shared" si="88"/>
        <v>3918.6667368456965</v>
      </c>
      <c r="V40" s="197">
        <f t="shared" si="88"/>
        <v>-2972.5324788045727</v>
      </c>
      <c r="W40" s="199">
        <f t="shared" si="88"/>
        <v>-2011.0874792758707</v>
      </c>
      <c r="Y40" s="204">
        <f t="shared" ref="Y40:Y53" si="133">Y39+1</f>
        <v>3</v>
      </c>
      <c r="Z40" s="197">
        <f>'Energy NPV'!$D93</f>
        <v>13.52760736196319</v>
      </c>
      <c r="AA40" s="197">
        <f>'Energy margins'!$Z$12</f>
        <v>43.75</v>
      </c>
      <c r="AB40" s="197">
        <f t="shared" ref="AB40:AB53" si="134">Z40*AA40</f>
        <v>591.83282208588957</v>
      </c>
      <c r="AC40" s="197">
        <f>'Margins summary'!$W$14</f>
        <v>330</v>
      </c>
      <c r="AD40" s="197">
        <f t="shared" si="89"/>
        <v>921.83282208588957</v>
      </c>
      <c r="AE40" s="197"/>
      <c r="AF40" s="918">
        <f>'Energy NPV'!U93</f>
        <v>600.46934399999986</v>
      </c>
      <c r="AG40" s="197"/>
      <c r="AH40" s="197">
        <f t="shared" si="90"/>
        <v>600.46934399999986</v>
      </c>
      <c r="AI40" s="197">
        <f t="shared" si="73"/>
        <v>-8.6365219141102898</v>
      </c>
      <c r="AJ40" s="197">
        <f t="shared" si="74"/>
        <v>321.36347808588971</v>
      </c>
      <c r="AK40" s="196">
        <f t="shared" si="91"/>
        <v>541.95904130939277</v>
      </c>
      <c r="AL40" s="197">
        <f t="shared" si="92"/>
        <v>302.19088390833548</v>
      </c>
      <c r="AM40" s="197">
        <f t="shared" si="93"/>
        <v>549.86776310066159</v>
      </c>
      <c r="AN40" s="197">
        <f t="shared" si="94"/>
        <v>-7.9087217912687819</v>
      </c>
      <c r="AO40" s="199">
        <f t="shared" si="95"/>
        <v>294.28216211706672</v>
      </c>
      <c r="AP40" s="196">
        <f t="shared" ref="AP40:AP53" si="135">AP39+AK40</f>
        <v>924.66077612607751</v>
      </c>
      <c r="AQ40" s="197">
        <f t="shared" si="96"/>
        <v>947.98035759254594</v>
      </c>
      <c r="AR40" s="197">
        <f t="shared" si="96"/>
        <v>3894.166419540853</v>
      </c>
      <c r="AS40" s="197">
        <f t="shared" si="96"/>
        <v>-2969.505643414775</v>
      </c>
      <c r="AT40" s="199">
        <f t="shared" si="96"/>
        <v>-2021.5252858222291</v>
      </c>
      <c r="AV40" s="204">
        <f t="shared" ref="AV40:AV53" si="136">AV39+1</f>
        <v>3</v>
      </c>
      <c r="AW40" s="197">
        <f>'Energy NPV'!$D93</f>
        <v>13.52760736196319</v>
      </c>
      <c r="AX40" s="197">
        <f>'Energy margins'!$Z$12</f>
        <v>43.75</v>
      </c>
      <c r="AY40" s="197">
        <f t="shared" ref="AY40:AY53" si="137">AW40*AX40</f>
        <v>591.83282208588957</v>
      </c>
      <c r="AZ40" s="197">
        <f>'Margins summary'!$W$14</f>
        <v>330</v>
      </c>
      <c r="BA40" s="197">
        <f t="shared" si="97"/>
        <v>921.83282208588957</v>
      </c>
      <c r="BB40" s="197"/>
      <c r="BC40" s="918">
        <f>'Energy NPV'!U93</f>
        <v>600.46934399999986</v>
      </c>
      <c r="BD40" s="197"/>
      <c r="BE40" s="197">
        <f t="shared" si="98"/>
        <v>600.46934399999986</v>
      </c>
      <c r="BF40" s="197">
        <f t="shared" si="75"/>
        <v>-8.6365219141102898</v>
      </c>
      <c r="BG40" s="197">
        <f t="shared" si="76"/>
        <v>321.36347808588971</v>
      </c>
      <c r="BH40" s="196">
        <f t="shared" si="99"/>
        <v>574.46948199266149</v>
      </c>
      <c r="BI40" s="197">
        <f t="shared" si="100"/>
        <v>320.31837705355633</v>
      </c>
      <c r="BJ40" s="197">
        <f t="shared" si="101"/>
        <v>582.85262345604121</v>
      </c>
      <c r="BK40" s="197">
        <f t="shared" si="102"/>
        <v>-8.3831414633796424</v>
      </c>
      <c r="BL40" s="199">
        <f t="shared" si="103"/>
        <v>311.93523559017672</v>
      </c>
      <c r="BM40" s="196">
        <f t="shared" ref="BM40:BM53" si="138">BM39+BH40</f>
        <v>968.48259813397738</v>
      </c>
      <c r="BN40" s="197">
        <f t="shared" si="104"/>
        <v>975.44152976291593</v>
      </c>
      <c r="BO40" s="197">
        <f t="shared" si="105"/>
        <v>3944.1348802639227</v>
      </c>
      <c r="BP40" s="197">
        <f t="shared" si="106"/>
        <v>-2975.6522821299454</v>
      </c>
      <c r="BQ40" s="199">
        <f t="shared" si="107"/>
        <v>-2000.2107523670295</v>
      </c>
      <c r="BS40" s="204">
        <f t="shared" ref="BS40:BS53" si="139">BS39+1</f>
        <v>3</v>
      </c>
      <c r="BT40" s="197">
        <f>'Energy NPV'!$D93</f>
        <v>13.52760736196319</v>
      </c>
      <c r="BU40" s="197">
        <f>'Energy margins'!$Z$12</f>
        <v>43.75</v>
      </c>
      <c r="BV40" s="197">
        <f t="shared" ref="BV40:BV53" si="140">BT40*BU40</f>
        <v>591.83282208588957</v>
      </c>
      <c r="BW40" s="197">
        <f>'Margins summary'!$W$14</f>
        <v>330</v>
      </c>
      <c r="BX40" s="197">
        <f t="shared" si="108"/>
        <v>921.83282208588957</v>
      </c>
      <c r="BY40" s="197"/>
      <c r="BZ40" s="918">
        <f>'Energy NPV'!U93</f>
        <v>600.46934399999986</v>
      </c>
      <c r="CA40" s="197"/>
      <c r="CB40" s="197">
        <f t="shared" si="109"/>
        <v>600.46934399999986</v>
      </c>
      <c r="CC40" s="197">
        <f t="shared" si="77"/>
        <v>-8.6365219141102898</v>
      </c>
      <c r="CD40" s="197">
        <f t="shared" si="78"/>
        <v>321.36347808588971</v>
      </c>
      <c r="CE40" s="196">
        <f t="shared" si="110"/>
        <v>526.72910474002265</v>
      </c>
      <c r="CF40" s="197">
        <f t="shared" si="111"/>
        <v>293.69882520469912</v>
      </c>
      <c r="CG40" s="197">
        <f t="shared" si="112"/>
        <v>534.41557849768583</v>
      </c>
      <c r="CH40" s="197">
        <f t="shared" si="113"/>
        <v>-7.6864737576631263</v>
      </c>
      <c r="CI40" s="199">
        <f t="shared" si="114"/>
        <v>286.012351447036</v>
      </c>
      <c r="CJ40" s="196">
        <f t="shared" ref="CJ40:CJ53" si="141">CJ39+CE40</f>
        <v>904.01524896967885</v>
      </c>
      <c r="CK40" s="197">
        <f t="shared" si="115"/>
        <v>935.01957992168025</v>
      </c>
      <c r="CL40" s="197">
        <f t="shared" si="116"/>
        <v>3870.5829357052326</v>
      </c>
      <c r="CM40" s="197">
        <f t="shared" si="117"/>
        <v>-2966.5676867355537</v>
      </c>
      <c r="CN40" s="199">
        <f t="shared" si="118"/>
        <v>-2031.5481068138733</v>
      </c>
      <c r="CP40" s="204">
        <f t="shared" ref="CP40:CP53" si="142">CP39+1</f>
        <v>3</v>
      </c>
      <c r="CQ40" s="197">
        <f>'Energy NPV'!$D93</f>
        <v>13.52760736196319</v>
      </c>
      <c r="CR40" s="197">
        <f>'Energy margins'!$Z$12</f>
        <v>43.75</v>
      </c>
      <c r="CS40" s="197">
        <f t="shared" ref="CS40:CS53" si="143">CQ40*CR40</f>
        <v>591.83282208588957</v>
      </c>
      <c r="CT40" s="197">
        <f>'Margins summary'!$W$14</f>
        <v>330</v>
      </c>
      <c r="CU40" s="197">
        <f t="shared" si="119"/>
        <v>921.83282208588957</v>
      </c>
      <c r="CV40" s="197"/>
      <c r="CW40" s="918">
        <f>'Energy NPV'!U93</f>
        <v>600.46934399999986</v>
      </c>
      <c r="CX40" s="197"/>
      <c r="CY40" s="197">
        <f t="shared" si="120"/>
        <v>600.46934399999986</v>
      </c>
      <c r="CZ40" s="197">
        <f t="shared" si="79"/>
        <v>-8.6365219141102898</v>
      </c>
      <c r="DA40" s="197">
        <f t="shared" si="80"/>
        <v>321.36347808588971</v>
      </c>
      <c r="DB40" s="196">
        <f t="shared" si="121"/>
        <v>591.83282208588957</v>
      </c>
      <c r="DC40" s="197">
        <f t="shared" si="122"/>
        <v>330</v>
      </c>
      <c r="DD40" s="197">
        <f t="shared" si="123"/>
        <v>600.46934399999986</v>
      </c>
      <c r="DE40" s="197">
        <f t="shared" si="124"/>
        <v>-8.6365219141102898</v>
      </c>
      <c r="DF40" s="199">
        <f t="shared" si="125"/>
        <v>321.36347808588971</v>
      </c>
      <c r="DG40" s="196">
        <f t="shared" ref="DG40:DG53" si="144">DG39+DB40</f>
        <v>991.7561349693251</v>
      </c>
      <c r="DH40" s="197">
        <f t="shared" si="126"/>
        <v>990</v>
      </c>
      <c r="DI40" s="197">
        <f t="shared" si="127"/>
        <v>3970.625532</v>
      </c>
      <c r="DJ40" s="197">
        <f t="shared" si="128"/>
        <v>-2978.8693970306745</v>
      </c>
      <c r="DK40" s="199">
        <f t="shared" si="129"/>
        <v>-1988.8693970306745</v>
      </c>
    </row>
    <row r="41" spans="2:115" x14ac:dyDescent="0.3">
      <c r="B41" s="204">
        <f t="shared" si="130"/>
        <v>4</v>
      </c>
      <c r="C41" s="197">
        <f>'Energy NPV'!$D94</f>
        <v>14.478527607361965</v>
      </c>
      <c r="D41" s="197">
        <f>'Energy margins'!$Z$12</f>
        <v>43.75</v>
      </c>
      <c r="E41" s="197">
        <f t="shared" si="131"/>
        <v>633.43558282208596</v>
      </c>
      <c r="F41" s="197">
        <f>'Margins summary'!$W$14</f>
        <v>330</v>
      </c>
      <c r="G41" s="197">
        <f t="shared" si="81"/>
        <v>963.43558282208596</v>
      </c>
      <c r="H41" s="197"/>
      <c r="I41" s="918">
        <f>'Energy NPV'!U94</f>
        <v>418.53934399999991</v>
      </c>
      <c r="J41" s="197"/>
      <c r="K41" s="197">
        <f t="shared" si="82"/>
        <v>418.53934399999991</v>
      </c>
      <c r="L41" s="197">
        <f t="shared" si="71"/>
        <v>214.89623882208605</v>
      </c>
      <c r="M41" s="197">
        <f t="shared" si="72"/>
        <v>544.89623882208605</v>
      </c>
      <c r="N41" s="196">
        <f t="shared" si="83"/>
        <v>579.68329035713953</v>
      </c>
      <c r="O41" s="197">
        <f t="shared" si="84"/>
        <v>301.99674758654265</v>
      </c>
      <c r="P41" s="197">
        <f t="shared" si="85"/>
        <v>383.02278977274278</v>
      </c>
      <c r="Q41" s="197">
        <f t="shared" si="86"/>
        <v>196.66050058439669</v>
      </c>
      <c r="R41" s="199">
        <f t="shared" si="87"/>
        <v>498.65724817093934</v>
      </c>
      <c r="S41" s="196">
        <f t="shared" si="132"/>
        <v>1525.8175483982634</v>
      </c>
      <c r="T41" s="197">
        <f t="shared" si="88"/>
        <v>1263.4417471152447</v>
      </c>
      <c r="U41" s="197">
        <f t="shared" si="88"/>
        <v>4301.6895266184392</v>
      </c>
      <c r="V41" s="197">
        <f t="shared" si="88"/>
        <v>-2775.8719782201761</v>
      </c>
      <c r="W41" s="199">
        <f t="shared" si="88"/>
        <v>-1512.4302311049314</v>
      </c>
      <c r="Y41" s="204">
        <f t="shared" si="133"/>
        <v>4</v>
      </c>
      <c r="Z41" s="197">
        <f>'Energy NPV'!$D94</f>
        <v>14.478527607361965</v>
      </c>
      <c r="AA41" s="197">
        <f>'Energy margins'!$Z$12</f>
        <v>43.75</v>
      </c>
      <c r="AB41" s="197">
        <f t="shared" si="134"/>
        <v>633.43558282208596</v>
      </c>
      <c r="AC41" s="197">
        <f>'Margins summary'!$W$14</f>
        <v>330</v>
      </c>
      <c r="AD41" s="197">
        <f t="shared" si="89"/>
        <v>963.43558282208596</v>
      </c>
      <c r="AE41" s="197"/>
      <c r="AF41" s="918">
        <f>'Energy NPV'!U94</f>
        <v>418.53934399999991</v>
      </c>
      <c r="AG41" s="197"/>
      <c r="AH41" s="197">
        <f t="shared" si="90"/>
        <v>418.53934399999991</v>
      </c>
      <c r="AI41" s="197">
        <f t="shared" si="73"/>
        <v>214.89623882208605</v>
      </c>
      <c r="AJ41" s="197">
        <f t="shared" si="74"/>
        <v>544.89623882208605</v>
      </c>
      <c r="AK41" s="196">
        <f t="shared" si="91"/>
        <v>555.07745011453619</v>
      </c>
      <c r="AL41" s="197">
        <f t="shared" si="92"/>
        <v>289.17787933812008</v>
      </c>
      <c r="AM41" s="197">
        <f t="shared" si="93"/>
        <v>366.76460581056944</v>
      </c>
      <c r="AN41" s="197">
        <f t="shared" si="94"/>
        <v>188.31284430396678</v>
      </c>
      <c r="AO41" s="199">
        <f t="shared" si="95"/>
        <v>477.49072364208683</v>
      </c>
      <c r="AP41" s="196">
        <f t="shared" si="135"/>
        <v>1479.7382262406136</v>
      </c>
      <c r="AQ41" s="197">
        <f t="shared" si="96"/>
        <v>1237.1582369306661</v>
      </c>
      <c r="AR41" s="197">
        <f t="shared" si="96"/>
        <v>4260.9310253514222</v>
      </c>
      <c r="AS41" s="197">
        <f t="shared" si="96"/>
        <v>-2781.1927991108082</v>
      </c>
      <c r="AT41" s="199">
        <f t="shared" si="96"/>
        <v>-1544.0345621801423</v>
      </c>
      <c r="AV41" s="204">
        <f t="shared" si="136"/>
        <v>4</v>
      </c>
      <c r="AW41" s="197">
        <f>'Energy NPV'!$D94</f>
        <v>14.478527607361965</v>
      </c>
      <c r="AX41" s="197">
        <f>'Energy margins'!$Z$12</f>
        <v>43.75</v>
      </c>
      <c r="AY41" s="197">
        <f t="shared" si="137"/>
        <v>633.43558282208596</v>
      </c>
      <c r="AZ41" s="197">
        <f>'Margins summary'!$W$14</f>
        <v>330</v>
      </c>
      <c r="BA41" s="197">
        <f t="shared" si="97"/>
        <v>963.43558282208596</v>
      </c>
      <c r="BB41" s="197"/>
      <c r="BC41" s="918">
        <f>'Energy NPV'!U94</f>
        <v>418.53934399999991</v>
      </c>
      <c r="BD41" s="197"/>
      <c r="BE41" s="197">
        <f t="shared" si="98"/>
        <v>418.53934399999991</v>
      </c>
      <c r="BF41" s="197">
        <f t="shared" si="75"/>
        <v>214.89623882208605</v>
      </c>
      <c r="BG41" s="197">
        <f t="shared" si="76"/>
        <v>544.89623882208605</v>
      </c>
      <c r="BH41" s="196">
        <f t="shared" si="99"/>
        <v>605.76521229301147</v>
      </c>
      <c r="BI41" s="197">
        <f t="shared" si="100"/>
        <v>315.58460793453833</v>
      </c>
      <c r="BJ41" s="197">
        <f t="shared" si="101"/>
        <v>400.25628721642067</v>
      </c>
      <c r="BK41" s="197">
        <f t="shared" si="102"/>
        <v>205.50892507659071</v>
      </c>
      <c r="BL41" s="199">
        <f t="shared" si="103"/>
        <v>521.09353301112901</v>
      </c>
      <c r="BM41" s="196">
        <f t="shared" si="138"/>
        <v>1574.247810426989</v>
      </c>
      <c r="BN41" s="197">
        <f t="shared" si="104"/>
        <v>1291.0261376974543</v>
      </c>
      <c r="BO41" s="197">
        <f t="shared" si="105"/>
        <v>4344.391167480343</v>
      </c>
      <c r="BP41" s="197">
        <f t="shared" si="106"/>
        <v>-2770.1433570533545</v>
      </c>
      <c r="BQ41" s="199">
        <f t="shared" si="107"/>
        <v>-1479.1172193559005</v>
      </c>
      <c r="BS41" s="204">
        <f t="shared" si="139"/>
        <v>4</v>
      </c>
      <c r="BT41" s="197">
        <f>'Energy NPV'!$D94</f>
        <v>14.478527607361965</v>
      </c>
      <c r="BU41" s="197">
        <f>'Energy margins'!$Z$12</f>
        <v>43.75</v>
      </c>
      <c r="BV41" s="197">
        <f t="shared" si="140"/>
        <v>633.43558282208596</v>
      </c>
      <c r="BW41" s="197">
        <f>'Margins summary'!$W$14</f>
        <v>330</v>
      </c>
      <c r="BX41" s="197">
        <f t="shared" si="108"/>
        <v>963.43558282208596</v>
      </c>
      <c r="BY41" s="197"/>
      <c r="BZ41" s="918">
        <f>'Energy NPV'!U94</f>
        <v>418.53934399999991</v>
      </c>
      <c r="CA41" s="197"/>
      <c r="CB41" s="197">
        <f t="shared" si="109"/>
        <v>418.53934399999991</v>
      </c>
      <c r="CC41" s="197">
        <f t="shared" si="77"/>
        <v>214.89623882208605</v>
      </c>
      <c r="CD41" s="197">
        <f t="shared" si="78"/>
        <v>544.89623882208605</v>
      </c>
      <c r="CE41" s="196">
        <f t="shared" si="110"/>
        <v>531.84472989622793</v>
      </c>
      <c r="CF41" s="197">
        <f t="shared" si="111"/>
        <v>277.07436340065954</v>
      </c>
      <c r="CG41" s="197">
        <f t="shared" si="112"/>
        <v>351.41370393008975</v>
      </c>
      <c r="CH41" s="197">
        <f t="shared" si="113"/>
        <v>180.43102596613815</v>
      </c>
      <c r="CI41" s="199">
        <f t="shared" si="114"/>
        <v>457.50538936679766</v>
      </c>
      <c r="CJ41" s="196">
        <f t="shared" si="141"/>
        <v>1435.8599788659067</v>
      </c>
      <c r="CK41" s="197">
        <f t="shared" si="115"/>
        <v>1212.0939433223398</v>
      </c>
      <c r="CL41" s="197">
        <f t="shared" si="116"/>
        <v>4221.996639635322</v>
      </c>
      <c r="CM41" s="197">
        <f t="shared" si="117"/>
        <v>-2786.1366607694154</v>
      </c>
      <c r="CN41" s="199">
        <f t="shared" si="118"/>
        <v>-1574.0427174470756</v>
      </c>
      <c r="CP41" s="204">
        <f t="shared" si="142"/>
        <v>4</v>
      </c>
      <c r="CQ41" s="197">
        <f>'Energy NPV'!$D94</f>
        <v>14.478527607361965</v>
      </c>
      <c r="CR41" s="197">
        <f>'Energy margins'!$Z$12</f>
        <v>43.75</v>
      </c>
      <c r="CS41" s="197">
        <f t="shared" si="143"/>
        <v>633.43558282208596</v>
      </c>
      <c r="CT41" s="197">
        <f>'Margins summary'!$W$14</f>
        <v>330</v>
      </c>
      <c r="CU41" s="197">
        <f t="shared" si="119"/>
        <v>963.43558282208596</v>
      </c>
      <c r="CV41" s="197"/>
      <c r="CW41" s="918">
        <f>'Energy NPV'!U94</f>
        <v>418.53934399999991</v>
      </c>
      <c r="CX41" s="197"/>
      <c r="CY41" s="197">
        <f t="shared" si="120"/>
        <v>418.53934399999991</v>
      </c>
      <c r="CZ41" s="197">
        <f t="shared" si="79"/>
        <v>214.89623882208605</v>
      </c>
      <c r="DA41" s="197">
        <f t="shared" si="80"/>
        <v>544.89623882208605</v>
      </c>
      <c r="DB41" s="196">
        <f t="shared" si="121"/>
        <v>633.43558282208596</v>
      </c>
      <c r="DC41" s="197">
        <f t="shared" si="122"/>
        <v>330</v>
      </c>
      <c r="DD41" s="197">
        <f t="shared" si="123"/>
        <v>418.53934399999991</v>
      </c>
      <c r="DE41" s="197">
        <f t="shared" si="124"/>
        <v>214.89623882208605</v>
      </c>
      <c r="DF41" s="199">
        <f t="shared" si="125"/>
        <v>544.89623882208605</v>
      </c>
      <c r="DG41" s="196">
        <f t="shared" si="144"/>
        <v>1625.1917177914111</v>
      </c>
      <c r="DH41" s="197">
        <f t="shared" si="126"/>
        <v>1320</v>
      </c>
      <c r="DI41" s="197">
        <f t="shared" si="127"/>
        <v>4389.1648759999998</v>
      </c>
      <c r="DJ41" s="197">
        <f t="shared" si="128"/>
        <v>-2763.9731582085883</v>
      </c>
      <c r="DK41" s="199">
        <f t="shared" si="129"/>
        <v>-1443.9731582085883</v>
      </c>
    </row>
    <row r="42" spans="2:115" x14ac:dyDescent="0.3">
      <c r="B42" s="204">
        <f t="shared" si="130"/>
        <v>5</v>
      </c>
      <c r="C42" s="197">
        <f>'Energy NPV'!$D95</f>
        <v>15</v>
      </c>
      <c r="D42" s="197">
        <f>'Energy margins'!$Z$12</f>
        <v>43.75</v>
      </c>
      <c r="E42" s="197">
        <f t="shared" si="131"/>
        <v>656.25</v>
      </c>
      <c r="F42" s="197">
        <f>'Margins summary'!$W$14</f>
        <v>330</v>
      </c>
      <c r="G42" s="197">
        <f t="shared" si="81"/>
        <v>986.25</v>
      </c>
      <c r="H42" s="197"/>
      <c r="I42" s="918">
        <f>'Energy NPV'!U95</f>
        <v>418.53934399999991</v>
      </c>
      <c r="J42" s="197"/>
      <c r="K42" s="197">
        <f t="shared" si="82"/>
        <v>418.53934399999991</v>
      </c>
      <c r="L42" s="197">
        <f t="shared" si="71"/>
        <v>237.71065600000009</v>
      </c>
      <c r="M42" s="197">
        <f t="shared" si="72"/>
        <v>567.71065600000009</v>
      </c>
      <c r="N42" s="196">
        <f t="shared" si="83"/>
        <v>583.06962519467083</v>
      </c>
      <c r="O42" s="197">
        <f t="shared" si="84"/>
        <v>293.20072581217738</v>
      </c>
      <c r="P42" s="197">
        <f t="shared" si="85"/>
        <v>371.86678618712898</v>
      </c>
      <c r="Q42" s="197">
        <f t="shared" si="86"/>
        <v>211.20283900754194</v>
      </c>
      <c r="R42" s="199">
        <f t="shared" si="87"/>
        <v>504.40356481971929</v>
      </c>
      <c r="S42" s="196">
        <f t="shared" si="132"/>
        <v>2108.8871735929342</v>
      </c>
      <c r="T42" s="197">
        <f t="shared" si="88"/>
        <v>1556.642472927422</v>
      </c>
      <c r="U42" s="197">
        <f t="shared" si="88"/>
        <v>4673.5563128055683</v>
      </c>
      <c r="V42" s="197">
        <f t="shared" si="88"/>
        <v>-2564.669139212634</v>
      </c>
      <c r="W42" s="199">
        <f t="shared" si="88"/>
        <v>-1008.0266662852121</v>
      </c>
      <c r="Y42" s="204">
        <f t="shared" si="133"/>
        <v>5</v>
      </c>
      <c r="Z42" s="197">
        <f>'Energy NPV'!$D95</f>
        <v>15</v>
      </c>
      <c r="AA42" s="197">
        <f>'Energy margins'!$Z$12</f>
        <v>43.75</v>
      </c>
      <c r="AB42" s="197">
        <f t="shared" si="134"/>
        <v>656.25</v>
      </c>
      <c r="AC42" s="197">
        <f>'Margins summary'!$W$14</f>
        <v>330</v>
      </c>
      <c r="AD42" s="197">
        <f t="shared" si="89"/>
        <v>986.25</v>
      </c>
      <c r="AE42" s="197"/>
      <c r="AF42" s="918">
        <f>'Energy NPV'!U95</f>
        <v>418.53934399999991</v>
      </c>
      <c r="AG42" s="197"/>
      <c r="AH42" s="197">
        <f t="shared" si="90"/>
        <v>418.53934399999991</v>
      </c>
      <c r="AI42" s="197">
        <f t="shared" si="73"/>
        <v>237.71065600000009</v>
      </c>
      <c r="AJ42" s="197">
        <f t="shared" si="74"/>
        <v>567.71065600000009</v>
      </c>
      <c r="AK42" s="196">
        <f t="shared" si="91"/>
        <v>550.30588173304727</v>
      </c>
      <c r="AL42" s="197">
        <f t="shared" si="92"/>
        <v>276.7252433857609</v>
      </c>
      <c r="AM42" s="197">
        <f t="shared" si="93"/>
        <v>350.97091465126272</v>
      </c>
      <c r="AN42" s="197">
        <f t="shared" si="94"/>
        <v>199.33496708178458</v>
      </c>
      <c r="AO42" s="199">
        <f t="shared" si="95"/>
        <v>476.06021046754552</v>
      </c>
      <c r="AP42" s="196">
        <f t="shared" si="135"/>
        <v>2030.0441079736609</v>
      </c>
      <c r="AQ42" s="197">
        <f t="shared" si="96"/>
        <v>1513.883480316427</v>
      </c>
      <c r="AR42" s="197">
        <f t="shared" si="96"/>
        <v>4611.9019400026846</v>
      </c>
      <c r="AS42" s="197">
        <f t="shared" si="96"/>
        <v>-2581.8578320290235</v>
      </c>
      <c r="AT42" s="199">
        <f t="shared" si="96"/>
        <v>-1067.9743517125967</v>
      </c>
      <c r="AV42" s="204">
        <f t="shared" si="136"/>
        <v>5</v>
      </c>
      <c r="AW42" s="197">
        <f>'Energy NPV'!$D95</f>
        <v>15</v>
      </c>
      <c r="AX42" s="197">
        <f>'Energy margins'!$Z$12</f>
        <v>43.75</v>
      </c>
      <c r="AY42" s="197">
        <f t="shared" si="137"/>
        <v>656.25</v>
      </c>
      <c r="AZ42" s="197">
        <f>'Margins summary'!$W$14</f>
        <v>330</v>
      </c>
      <c r="BA42" s="197">
        <f t="shared" si="97"/>
        <v>986.25</v>
      </c>
      <c r="BB42" s="197"/>
      <c r="BC42" s="918">
        <f>'Energy NPV'!U95</f>
        <v>418.53934399999991</v>
      </c>
      <c r="BD42" s="197"/>
      <c r="BE42" s="197">
        <f t="shared" si="98"/>
        <v>418.53934399999991</v>
      </c>
      <c r="BF42" s="197">
        <f t="shared" si="75"/>
        <v>237.71065600000009</v>
      </c>
      <c r="BG42" s="197">
        <f t="shared" si="76"/>
        <v>567.71065600000009</v>
      </c>
      <c r="BH42" s="196">
        <f t="shared" si="99"/>
        <v>618.30840112566295</v>
      </c>
      <c r="BI42" s="197">
        <f t="shared" si="100"/>
        <v>310.92079599461908</v>
      </c>
      <c r="BJ42" s="197">
        <f t="shared" si="101"/>
        <v>394.34116967135049</v>
      </c>
      <c r="BK42" s="197">
        <f t="shared" si="102"/>
        <v>223.96723145431241</v>
      </c>
      <c r="BL42" s="199">
        <f t="shared" si="103"/>
        <v>534.88802744893144</v>
      </c>
      <c r="BM42" s="196">
        <f t="shared" si="138"/>
        <v>2192.5562115526518</v>
      </c>
      <c r="BN42" s="197">
        <f t="shared" si="104"/>
        <v>1601.9469336920733</v>
      </c>
      <c r="BO42" s="197">
        <f t="shared" si="105"/>
        <v>4738.7323371516932</v>
      </c>
      <c r="BP42" s="197">
        <f t="shared" si="106"/>
        <v>-2546.1761255990423</v>
      </c>
      <c r="BQ42" s="199">
        <f t="shared" si="107"/>
        <v>-944.22919190696905</v>
      </c>
      <c r="BS42" s="204">
        <f t="shared" si="139"/>
        <v>5</v>
      </c>
      <c r="BT42" s="197">
        <f>'Energy NPV'!$D95</f>
        <v>15</v>
      </c>
      <c r="BU42" s="197">
        <f>'Energy margins'!$Z$12</f>
        <v>43.75</v>
      </c>
      <c r="BV42" s="197">
        <f t="shared" si="140"/>
        <v>656.25</v>
      </c>
      <c r="BW42" s="197">
        <f>'Margins summary'!$W$14</f>
        <v>330</v>
      </c>
      <c r="BX42" s="197">
        <f t="shared" si="108"/>
        <v>986.25</v>
      </c>
      <c r="BY42" s="197"/>
      <c r="BZ42" s="918">
        <f>'Energy NPV'!U95</f>
        <v>418.53934399999991</v>
      </c>
      <c r="CA42" s="197"/>
      <c r="CB42" s="197">
        <f t="shared" si="109"/>
        <v>418.53934399999991</v>
      </c>
      <c r="CC42" s="197">
        <f t="shared" si="77"/>
        <v>237.71065600000009</v>
      </c>
      <c r="CD42" s="197">
        <f t="shared" si="78"/>
        <v>567.71065600000009</v>
      </c>
      <c r="CE42" s="196">
        <f t="shared" si="110"/>
        <v>519.81146649995094</v>
      </c>
      <c r="CF42" s="197">
        <f t="shared" si="111"/>
        <v>261.39090886854672</v>
      </c>
      <c r="CG42" s="197">
        <f t="shared" si="112"/>
        <v>331.52236219819792</v>
      </c>
      <c r="CH42" s="197">
        <f t="shared" si="113"/>
        <v>188.28910430175299</v>
      </c>
      <c r="CI42" s="199">
        <f t="shared" si="114"/>
        <v>449.68001317029973</v>
      </c>
      <c r="CJ42" s="196">
        <f t="shared" si="141"/>
        <v>1955.6714453658576</v>
      </c>
      <c r="CK42" s="197">
        <f t="shared" si="115"/>
        <v>1473.4848521908866</v>
      </c>
      <c r="CL42" s="197">
        <f t="shared" si="116"/>
        <v>4553.5190018335197</v>
      </c>
      <c r="CM42" s="197">
        <f t="shared" si="117"/>
        <v>-2597.8475564676623</v>
      </c>
      <c r="CN42" s="199">
        <f t="shared" si="118"/>
        <v>-1124.3627042767757</v>
      </c>
      <c r="CP42" s="204">
        <f t="shared" si="142"/>
        <v>5</v>
      </c>
      <c r="CQ42" s="197">
        <f>'Energy NPV'!$D95</f>
        <v>15</v>
      </c>
      <c r="CR42" s="197">
        <f>'Energy margins'!$Z$12</f>
        <v>43.75</v>
      </c>
      <c r="CS42" s="197">
        <f t="shared" si="143"/>
        <v>656.25</v>
      </c>
      <c r="CT42" s="197">
        <f>'Margins summary'!$W$14</f>
        <v>330</v>
      </c>
      <c r="CU42" s="197">
        <f t="shared" si="119"/>
        <v>986.25</v>
      </c>
      <c r="CV42" s="197"/>
      <c r="CW42" s="918">
        <f>'Energy NPV'!U95</f>
        <v>418.53934399999991</v>
      </c>
      <c r="CX42" s="197"/>
      <c r="CY42" s="197">
        <f t="shared" si="120"/>
        <v>418.53934399999991</v>
      </c>
      <c r="CZ42" s="197">
        <f t="shared" si="79"/>
        <v>237.71065600000009</v>
      </c>
      <c r="DA42" s="197">
        <f t="shared" si="80"/>
        <v>567.71065600000009</v>
      </c>
      <c r="DB42" s="196">
        <f t="shared" si="121"/>
        <v>656.25</v>
      </c>
      <c r="DC42" s="197">
        <f t="shared" si="122"/>
        <v>330</v>
      </c>
      <c r="DD42" s="197">
        <f t="shared" si="123"/>
        <v>418.53934399999991</v>
      </c>
      <c r="DE42" s="197">
        <f t="shared" si="124"/>
        <v>237.71065600000009</v>
      </c>
      <c r="DF42" s="199">
        <f t="shared" si="125"/>
        <v>567.71065600000009</v>
      </c>
      <c r="DG42" s="196">
        <f t="shared" si="144"/>
        <v>2281.4417177914111</v>
      </c>
      <c r="DH42" s="197">
        <f t="shared" si="126"/>
        <v>1650</v>
      </c>
      <c r="DI42" s="197">
        <f t="shared" si="127"/>
        <v>4807.7042199999996</v>
      </c>
      <c r="DJ42" s="197">
        <f t="shared" si="128"/>
        <v>-2526.2625022085881</v>
      </c>
      <c r="DK42" s="199">
        <f t="shared" si="129"/>
        <v>-876.26250220858822</v>
      </c>
    </row>
    <row r="43" spans="2:115" x14ac:dyDescent="0.3">
      <c r="B43" s="204">
        <f t="shared" si="130"/>
        <v>6</v>
      </c>
      <c r="C43" s="197">
        <f>'Energy NPV'!$D96</f>
        <v>15</v>
      </c>
      <c r="D43" s="197">
        <f>'Energy margins'!$Z$12</f>
        <v>43.75</v>
      </c>
      <c r="E43" s="197">
        <f t="shared" si="131"/>
        <v>656.25</v>
      </c>
      <c r="F43" s="197">
        <f>'Margins summary'!$W$14</f>
        <v>330</v>
      </c>
      <c r="G43" s="197">
        <f t="shared" si="81"/>
        <v>986.25</v>
      </c>
      <c r="H43" s="197"/>
      <c r="I43" s="918">
        <f>'Energy NPV'!U96</f>
        <v>418.53934399999991</v>
      </c>
      <c r="J43" s="197"/>
      <c r="K43" s="197">
        <f t="shared" si="82"/>
        <v>418.53934399999991</v>
      </c>
      <c r="L43" s="197">
        <f t="shared" si="71"/>
        <v>237.71065600000009</v>
      </c>
      <c r="M43" s="197">
        <f t="shared" si="72"/>
        <v>567.71065600000009</v>
      </c>
      <c r="N43" s="196">
        <f t="shared" si="83"/>
        <v>566.08701475210773</v>
      </c>
      <c r="O43" s="197">
        <f t="shared" si="84"/>
        <v>284.66089884677416</v>
      </c>
      <c r="P43" s="197">
        <f t="shared" si="85"/>
        <v>361.03571474478542</v>
      </c>
      <c r="Q43" s="197">
        <f t="shared" si="86"/>
        <v>205.05130000732228</v>
      </c>
      <c r="R43" s="199">
        <f t="shared" si="87"/>
        <v>489.71219885409641</v>
      </c>
      <c r="S43" s="196">
        <f t="shared" si="132"/>
        <v>2674.974188345042</v>
      </c>
      <c r="T43" s="197">
        <f t="shared" si="88"/>
        <v>1841.3033717741962</v>
      </c>
      <c r="U43" s="197">
        <f t="shared" si="88"/>
        <v>5034.592027550354</v>
      </c>
      <c r="V43" s="197">
        <f t="shared" si="88"/>
        <v>-2359.6178392053116</v>
      </c>
      <c r="W43" s="199">
        <f t="shared" si="88"/>
        <v>-518.31446743111565</v>
      </c>
      <c r="Y43" s="204">
        <f t="shared" si="133"/>
        <v>6</v>
      </c>
      <c r="Z43" s="197">
        <f>'Energy NPV'!$D96</f>
        <v>15</v>
      </c>
      <c r="AA43" s="197">
        <f>'Energy margins'!$Z$12</f>
        <v>43.75</v>
      </c>
      <c r="AB43" s="197">
        <f t="shared" si="134"/>
        <v>656.25</v>
      </c>
      <c r="AC43" s="197">
        <f>'Margins summary'!$W$14</f>
        <v>330</v>
      </c>
      <c r="AD43" s="197">
        <f t="shared" si="89"/>
        <v>986.25</v>
      </c>
      <c r="AE43" s="197"/>
      <c r="AF43" s="918">
        <f>'Energy NPV'!U96</f>
        <v>418.53934399999991</v>
      </c>
      <c r="AG43" s="197"/>
      <c r="AH43" s="197">
        <f t="shared" si="90"/>
        <v>418.53934399999991</v>
      </c>
      <c r="AI43" s="197">
        <f t="shared" si="73"/>
        <v>237.71065600000009</v>
      </c>
      <c r="AJ43" s="197">
        <f t="shared" si="74"/>
        <v>567.71065600000009</v>
      </c>
      <c r="AK43" s="196">
        <f t="shared" si="91"/>
        <v>526.60849926607398</v>
      </c>
      <c r="AL43" s="197">
        <f t="shared" si="92"/>
        <v>264.80884534522573</v>
      </c>
      <c r="AM43" s="197">
        <f t="shared" si="93"/>
        <v>335.85733459450978</v>
      </c>
      <c r="AN43" s="197">
        <f t="shared" si="94"/>
        <v>190.7511646715642</v>
      </c>
      <c r="AO43" s="199">
        <f t="shared" si="95"/>
        <v>455.56001001678993</v>
      </c>
      <c r="AP43" s="196">
        <f t="shared" si="135"/>
        <v>2556.6526072397346</v>
      </c>
      <c r="AQ43" s="197">
        <f t="shared" si="96"/>
        <v>1778.6923256616528</v>
      </c>
      <c r="AR43" s="197">
        <f t="shared" si="96"/>
        <v>4947.7592745971942</v>
      </c>
      <c r="AS43" s="197">
        <f t="shared" si="96"/>
        <v>-2391.1066673574592</v>
      </c>
      <c r="AT43" s="199">
        <f t="shared" si="96"/>
        <v>-612.4143416958068</v>
      </c>
      <c r="AV43" s="204">
        <f t="shared" si="136"/>
        <v>6</v>
      </c>
      <c r="AW43" s="197">
        <f>'Energy NPV'!$D96</f>
        <v>15</v>
      </c>
      <c r="AX43" s="197">
        <f>'Energy margins'!$Z$12</f>
        <v>43.75</v>
      </c>
      <c r="AY43" s="197">
        <f t="shared" si="137"/>
        <v>656.25</v>
      </c>
      <c r="AZ43" s="197">
        <f>'Margins summary'!$W$14</f>
        <v>330</v>
      </c>
      <c r="BA43" s="197">
        <f t="shared" si="97"/>
        <v>986.25</v>
      </c>
      <c r="BB43" s="197"/>
      <c r="BC43" s="918">
        <f>'Energy NPV'!U96</f>
        <v>418.53934399999991</v>
      </c>
      <c r="BD43" s="197"/>
      <c r="BE43" s="197">
        <f t="shared" si="98"/>
        <v>418.53934399999991</v>
      </c>
      <c r="BF43" s="197">
        <f t="shared" si="75"/>
        <v>237.71065600000009</v>
      </c>
      <c r="BG43" s="197">
        <f t="shared" si="76"/>
        <v>567.71065600000009</v>
      </c>
      <c r="BH43" s="196">
        <f t="shared" si="99"/>
        <v>609.17083854745124</v>
      </c>
      <c r="BI43" s="197">
        <f t="shared" si="100"/>
        <v>306.32590738386119</v>
      </c>
      <c r="BJ43" s="197">
        <f t="shared" si="101"/>
        <v>388.513467656503</v>
      </c>
      <c r="BK43" s="197">
        <f t="shared" si="102"/>
        <v>220.65737089094821</v>
      </c>
      <c r="BL43" s="199">
        <f t="shared" si="103"/>
        <v>526.98327827480944</v>
      </c>
      <c r="BM43" s="196">
        <f t="shared" si="138"/>
        <v>2801.727050100103</v>
      </c>
      <c r="BN43" s="197">
        <f t="shared" si="104"/>
        <v>1908.2728410759346</v>
      </c>
      <c r="BO43" s="197">
        <f t="shared" si="105"/>
        <v>5127.2458048081962</v>
      </c>
      <c r="BP43" s="197">
        <f t="shared" si="106"/>
        <v>-2325.5187547080941</v>
      </c>
      <c r="BQ43" s="199">
        <f t="shared" si="107"/>
        <v>-417.24591363215961</v>
      </c>
      <c r="BS43" s="204">
        <f t="shared" si="139"/>
        <v>6</v>
      </c>
      <c r="BT43" s="197">
        <f>'Energy NPV'!$D96</f>
        <v>15</v>
      </c>
      <c r="BU43" s="197">
        <f>'Energy margins'!$Z$12</f>
        <v>43.75</v>
      </c>
      <c r="BV43" s="197">
        <f t="shared" si="140"/>
        <v>656.25</v>
      </c>
      <c r="BW43" s="197">
        <f>'Margins summary'!$W$14</f>
        <v>330</v>
      </c>
      <c r="BX43" s="197">
        <f t="shared" si="108"/>
        <v>986.25</v>
      </c>
      <c r="BY43" s="197"/>
      <c r="BZ43" s="918">
        <f>'Energy NPV'!U96</f>
        <v>418.53934399999991</v>
      </c>
      <c r="CA43" s="197"/>
      <c r="CB43" s="197">
        <f t="shared" si="109"/>
        <v>418.53934399999991</v>
      </c>
      <c r="CC43" s="197">
        <f t="shared" si="77"/>
        <v>237.71065600000009</v>
      </c>
      <c r="CD43" s="197">
        <f t="shared" si="78"/>
        <v>567.71065600000009</v>
      </c>
      <c r="CE43" s="196">
        <f t="shared" si="110"/>
        <v>490.38817594334984</v>
      </c>
      <c r="CF43" s="197">
        <f t="shared" si="111"/>
        <v>246.59519704579878</v>
      </c>
      <c r="CG43" s="197">
        <f t="shared" si="112"/>
        <v>312.75694546999802</v>
      </c>
      <c r="CH43" s="197">
        <f t="shared" si="113"/>
        <v>177.63123047335185</v>
      </c>
      <c r="CI43" s="199">
        <f t="shared" si="114"/>
        <v>424.2264275191506</v>
      </c>
      <c r="CJ43" s="196">
        <f t="shared" si="141"/>
        <v>2446.0596213092076</v>
      </c>
      <c r="CK43" s="197">
        <f t="shared" si="115"/>
        <v>1720.0800492366855</v>
      </c>
      <c r="CL43" s="197">
        <f t="shared" si="116"/>
        <v>4866.2759473035176</v>
      </c>
      <c r="CM43" s="197">
        <f t="shared" si="117"/>
        <v>-2420.2163259943104</v>
      </c>
      <c r="CN43" s="199">
        <f t="shared" si="118"/>
        <v>-700.13627675762518</v>
      </c>
      <c r="CP43" s="204">
        <f t="shared" si="142"/>
        <v>6</v>
      </c>
      <c r="CQ43" s="197">
        <f>'Energy NPV'!$D96</f>
        <v>15</v>
      </c>
      <c r="CR43" s="197">
        <f>'Energy margins'!$Z$12</f>
        <v>43.75</v>
      </c>
      <c r="CS43" s="197">
        <f t="shared" si="143"/>
        <v>656.25</v>
      </c>
      <c r="CT43" s="197">
        <f>'Margins summary'!$W$14</f>
        <v>330</v>
      </c>
      <c r="CU43" s="197">
        <f t="shared" si="119"/>
        <v>986.25</v>
      </c>
      <c r="CV43" s="197"/>
      <c r="CW43" s="918">
        <f>'Energy NPV'!U96</f>
        <v>418.53934399999991</v>
      </c>
      <c r="CX43" s="197"/>
      <c r="CY43" s="197">
        <f t="shared" si="120"/>
        <v>418.53934399999991</v>
      </c>
      <c r="CZ43" s="197">
        <f t="shared" si="79"/>
        <v>237.71065600000009</v>
      </c>
      <c r="DA43" s="197">
        <f t="shared" si="80"/>
        <v>567.71065600000009</v>
      </c>
      <c r="DB43" s="196">
        <f t="shared" si="121"/>
        <v>656.25</v>
      </c>
      <c r="DC43" s="197">
        <f t="shared" si="122"/>
        <v>330</v>
      </c>
      <c r="DD43" s="197">
        <f t="shared" si="123"/>
        <v>418.53934399999991</v>
      </c>
      <c r="DE43" s="197">
        <f t="shared" si="124"/>
        <v>237.71065600000009</v>
      </c>
      <c r="DF43" s="199">
        <f t="shared" si="125"/>
        <v>567.71065600000009</v>
      </c>
      <c r="DG43" s="196">
        <f t="shared" si="144"/>
        <v>2937.6917177914111</v>
      </c>
      <c r="DH43" s="197">
        <f t="shared" si="126"/>
        <v>1980</v>
      </c>
      <c r="DI43" s="197">
        <f t="shared" si="127"/>
        <v>5226.2435639999994</v>
      </c>
      <c r="DJ43" s="197">
        <f t="shared" si="128"/>
        <v>-2288.5518462085879</v>
      </c>
      <c r="DK43" s="199">
        <f t="shared" si="129"/>
        <v>-308.55184620858813</v>
      </c>
    </row>
    <row r="44" spans="2:115" x14ac:dyDescent="0.3">
      <c r="B44" s="204">
        <f t="shared" si="130"/>
        <v>7</v>
      </c>
      <c r="C44" s="197">
        <f>'Energy NPV'!$D97</f>
        <v>15</v>
      </c>
      <c r="D44" s="197">
        <f>'Energy margins'!$Z$12</f>
        <v>43.75</v>
      </c>
      <c r="E44" s="197">
        <f t="shared" si="131"/>
        <v>656.25</v>
      </c>
      <c r="F44" s="197">
        <f>'Margins summary'!$W$14</f>
        <v>330</v>
      </c>
      <c r="G44" s="197">
        <f t="shared" si="81"/>
        <v>986.25</v>
      </c>
      <c r="H44" s="197"/>
      <c r="I44" s="918">
        <f>'Energy NPV'!U97</f>
        <v>418.53934399999991</v>
      </c>
      <c r="J44" s="197"/>
      <c r="K44" s="197">
        <f t="shared" si="82"/>
        <v>418.53934399999991</v>
      </c>
      <c r="L44" s="197">
        <f t="shared" si="71"/>
        <v>237.71065600000009</v>
      </c>
      <c r="M44" s="197">
        <f t="shared" si="72"/>
        <v>567.71065600000009</v>
      </c>
      <c r="N44" s="196">
        <f t="shared" si="83"/>
        <v>549.59904344864822</v>
      </c>
      <c r="O44" s="197">
        <f t="shared" si="84"/>
        <v>276.36980470560593</v>
      </c>
      <c r="P44" s="197">
        <f t="shared" si="85"/>
        <v>350.52011140270429</v>
      </c>
      <c r="Q44" s="197">
        <f t="shared" si="86"/>
        <v>199.07893204594396</v>
      </c>
      <c r="R44" s="199">
        <f t="shared" si="87"/>
        <v>475.44873675154992</v>
      </c>
      <c r="S44" s="196">
        <f t="shared" si="132"/>
        <v>3224.57323179369</v>
      </c>
      <c r="T44" s="197">
        <f t="shared" si="88"/>
        <v>2117.6731764798024</v>
      </c>
      <c r="U44" s="197">
        <f t="shared" si="88"/>
        <v>5385.1121389530581</v>
      </c>
      <c r="V44" s="197">
        <f t="shared" si="88"/>
        <v>-2160.5389071593677</v>
      </c>
      <c r="W44" s="199">
        <f t="shared" si="88"/>
        <v>-42.865730679565729</v>
      </c>
      <c r="Y44" s="204">
        <f t="shared" si="133"/>
        <v>7</v>
      </c>
      <c r="Z44" s="197">
        <f>'Energy NPV'!$D97</f>
        <v>15</v>
      </c>
      <c r="AA44" s="197">
        <f>'Energy margins'!$Z$12</f>
        <v>43.75</v>
      </c>
      <c r="AB44" s="197">
        <f t="shared" si="134"/>
        <v>656.25</v>
      </c>
      <c r="AC44" s="197">
        <f>'Margins summary'!$W$14</f>
        <v>330</v>
      </c>
      <c r="AD44" s="197">
        <f t="shared" si="89"/>
        <v>986.25</v>
      </c>
      <c r="AE44" s="197"/>
      <c r="AF44" s="918">
        <f>'Energy NPV'!U97</f>
        <v>418.53934399999991</v>
      </c>
      <c r="AG44" s="197"/>
      <c r="AH44" s="197">
        <f t="shared" si="90"/>
        <v>418.53934399999991</v>
      </c>
      <c r="AI44" s="197">
        <f t="shared" si="73"/>
        <v>237.71065600000009</v>
      </c>
      <c r="AJ44" s="197">
        <f t="shared" si="74"/>
        <v>567.71065600000009</v>
      </c>
      <c r="AK44" s="196">
        <f t="shared" si="91"/>
        <v>503.93157824504698</v>
      </c>
      <c r="AL44" s="197">
        <f t="shared" si="92"/>
        <v>253.40559363179506</v>
      </c>
      <c r="AM44" s="197">
        <f t="shared" si="93"/>
        <v>321.39457855933955</v>
      </c>
      <c r="AN44" s="197">
        <f t="shared" si="94"/>
        <v>182.5369996857074</v>
      </c>
      <c r="AO44" s="199">
        <f t="shared" si="95"/>
        <v>435.94259331750243</v>
      </c>
      <c r="AP44" s="196">
        <f t="shared" si="135"/>
        <v>3060.5841854847818</v>
      </c>
      <c r="AQ44" s="197">
        <f t="shared" si="96"/>
        <v>2032.0979192934478</v>
      </c>
      <c r="AR44" s="197">
        <f t="shared" si="96"/>
        <v>5269.1538531565338</v>
      </c>
      <c r="AS44" s="197">
        <f t="shared" si="96"/>
        <v>-2208.5696676717516</v>
      </c>
      <c r="AT44" s="199">
        <f t="shared" si="96"/>
        <v>-176.47174837830437</v>
      </c>
      <c r="AV44" s="204">
        <f t="shared" si="136"/>
        <v>7</v>
      </c>
      <c r="AW44" s="197">
        <f>'Energy NPV'!$D97</f>
        <v>15</v>
      </c>
      <c r="AX44" s="197">
        <f>'Energy margins'!$Z$12</f>
        <v>43.75</v>
      </c>
      <c r="AY44" s="197">
        <f t="shared" si="137"/>
        <v>656.25</v>
      </c>
      <c r="AZ44" s="197">
        <f>'Margins summary'!$W$14</f>
        <v>330</v>
      </c>
      <c r="BA44" s="197">
        <f t="shared" si="97"/>
        <v>986.25</v>
      </c>
      <c r="BB44" s="197"/>
      <c r="BC44" s="918">
        <f>'Energy NPV'!U97</f>
        <v>418.53934399999991</v>
      </c>
      <c r="BD44" s="197"/>
      <c r="BE44" s="197">
        <f t="shared" si="98"/>
        <v>418.53934399999991</v>
      </c>
      <c r="BF44" s="197">
        <f t="shared" si="75"/>
        <v>237.71065600000009</v>
      </c>
      <c r="BG44" s="197">
        <f t="shared" si="76"/>
        <v>567.71065600000009</v>
      </c>
      <c r="BH44" s="196">
        <f t="shared" si="99"/>
        <v>600.16831383985357</v>
      </c>
      <c r="BI44" s="197">
        <f t="shared" si="100"/>
        <v>301.79892353089781</v>
      </c>
      <c r="BJ44" s="197">
        <f t="shared" si="101"/>
        <v>382.77188931675181</v>
      </c>
      <c r="BK44" s="197">
        <f t="shared" si="102"/>
        <v>217.39642452310173</v>
      </c>
      <c r="BL44" s="199">
        <f t="shared" si="103"/>
        <v>519.19534805399951</v>
      </c>
      <c r="BM44" s="196">
        <f t="shared" si="138"/>
        <v>3401.8953639399565</v>
      </c>
      <c r="BN44" s="197">
        <f t="shared" si="104"/>
        <v>2210.0717646068324</v>
      </c>
      <c r="BO44" s="197">
        <f t="shared" si="105"/>
        <v>5510.0176941249483</v>
      </c>
      <c r="BP44" s="197">
        <f t="shared" si="106"/>
        <v>-2108.1223301849923</v>
      </c>
      <c r="BQ44" s="199">
        <f t="shared" si="107"/>
        <v>101.9494344218399</v>
      </c>
      <c r="BS44" s="204">
        <f t="shared" si="139"/>
        <v>7</v>
      </c>
      <c r="BT44" s="197">
        <f>'Energy NPV'!$D97</f>
        <v>15</v>
      </c>
      <c r="BU44" s="197">
        <f>'Energy margins'!$Z$12</f>
        <v>43.75</v>
      </c>
      <c r="BV44" s="197">
        <f t="shared" si="140"/>
        <v>656.25</v>
      </c>
      <c r="BW44" s="197">
        <f>'Margins summary'!$W$14</f>
        <v>330</v>
      </c>
      <c r="BX44" s="197">
        <f t="shared" si="108"/>
        <v>986.25</v>
      </c>
      <c r="BY44" s="197"/>
      <c r="BZ44" s="918">
        <f>'Energy NPV'!U97</f>
        <v>418.53934399999991</v>
      </c>
      <c r="CA44" s="197"/>
      <c r="CB44" s="197">
        <f t="shared" si="109"/>
        <v>418.53934399999991</v>
      </c>
      <c r="CC44" s="197">
        <f t="shared" si="77"/>
        <v>237.71065600000009</v>
      </c>
      <c r="CD44" s="197">
        <f t="shared" si="78"/>
        <v>567.71065600000009</v>
      </c>
      <c r="CE44" s="196">
        <f t="shared" si="110"/>
        <v>462.63035466353756</v>
      </c>
      <c r="CF44" s="197">
        <f t="shared" si="111"/>
        <v>232.63697834509318</v>
      </c>
      <c r="CG44" s="197">
        <f t="shared" si="112"/>
        <v>295.05372214150754</v>
      </c>
      <c r="CH44" s="197">
        <f t="shared" si="113"/>
        <v>167.57663252203002</v>
      </c>
      <c r="CI44" s="199">
        <f t="shared" si="114"/>
        <v>400.21361086712324</v>
      </c>
      <c r="CJ44" s="196">
        <f t="shared" si="141"/>
        <v>2908.6899759727453</v>
      </c>
      <c r="CK44" s="197">
        <f t="shared" si="115"/>
        <v>1952.7170275817787</v>
      </c>
      <c r="CL44" s="197">
        <f t="shared" si="116"/>
        <v>5161.3296694450255</v>
      </c>
      <c r="CM44" s="197">
        <f t="shared" si="117"/>
        <v>-2252.6396934722802</v>
      </c>
      <c r="CN44" s="199">
        <f t="shared" si="118"/>
        <v>-299.92266589050195</v>
      </c>
      <c r="CP44" s="204">
        <f t="shared" si="142"/>
        <v>7</v>
      </c>
      <c r="CQ44" s="197">
        <f>'Energy NPV'!$D97</f>
        <v>15</v>
      </c>
      <c r="CR44" s="197">
        <f>'Energy margins'!$Z$12</f>
        <v>43.75</v>
      </c>
      <c r="CS44" s="197">
        <f t="shared" si="143"/>
        <v>656.25</v>
      </c>
      <c r="CT44" s="197">
        <f>'Margins summary'!$W$14</f>
        <v>330</v>
      </c>
      <c r="CU44" s="197">
        <f t="shared" si="119"/>
        <v>986.25</v>
      </c>
      <c r="CV44" s="197"/>
      <c r="CW44" s="918">
        <f>'Energy NPV'!U97</f>
        <v>418.53934399999991</v>
      </c>
      <c r="CX44" s="197"/>
      <c r="CY44" s="197">
        <f t="shared" si="120"/>
        <v>418.53934399999991</v>
      </c>
      <c r="CZ44" s="197">
        <f t="shared" si="79"/>
        <v>237.71065600000009</v>
      </c>
      <c r="DA44" s="197">
        <f t="shared" si="80"/>
        <v>567.71065600000009</v>
      </c>
      <c r="DB44" s="196">
        <f t="shared" si="121"/>
        <v>656.25</v>
      </c>
      <c r="DC44" s="197">
        <f t="shared" si="122"/>
        <v>330</v>
      </c>
      <c r="DD44" s="197">
        <f t="shared" si="123"/>
        <v>418.53934399999991</v>
      </c>
      <c r="DE44" s="197">
        <f t="shared" si="124"/>
        <v>237.71065600000009</v>
      </c>
      <c r="DF44" s="199">
        <f t="shared" si="125"/>
        <v>567.71065600000009</v>
      </c>
      <c r="DG44" s="196">
        <f t="shared" si="144"/>
        <v>3593.9417177914111</v>
      </c>
      <c r="DH44" s="197">
        <f t="shared" si="126"/>
        <v>2310</v>
      </c>
      <c r="DI44" s="197">
        <f t="shared" si="127"/>
        <v>5644.7829079999992</v>
      </c>
      <c r="DJ44" s="197">
        <f t="shared" si="128"/>
        <v>-2050.8411902085877</v>
      </c>
      <c r="DK44" s="199">
        <f t="shared" si="129"/>
        <v>259.15880979141195</v>
      </c>
    </row>
    <row r="45" spans="2:115" x14ac:dyDescent="0.3">
      <c r="B45" s="204">
        <f t="shared" si="130"/>
        <v>8</v>
      </c>
      <c r="C45" s="197">
        <f>'Energy NPV'!$D98</f>
        <v>15</v>
      </c>
      <c r="D45" s="197">
        <f>'Energy margins'!$Z$12</f>
        <v>43.75</v>
      </c>
      <c r="E45" s="197">
        <f t="shared" si="131"/>
        <v>656.25</v>
      </c>
      <c r="F45" s="197">
        <f>'Margins summary'!$W$14</f>
        <v>330</v>
      </c>
      <c r="G45" s="197">
        <f t="shared" si="81"/>
        <v>986.25</v>
      </c>
      <c r="H45" s="197"/>
      <c r="I45" s="918">
        <f>'Energy NPV'!U98</f>
        <v>418.53934399999991</v>
      </c>
      <c r="J45" s="197"/>
      <c r="K45" s="197">
        <f t="shared" si="82"/>
        <v>418.53934399999991</v>
      </c>
      <c r="L45" s="197">
        <f t="shared" si="71"/>
        <v>237.71065600000009</v>
      </c>
      <c r="M45" s="197">
        <f t="shared" si="72"/>
        <v>567.71065600000009</v>
      </c>
      <c r="N45" s="196">
        <f t="shared" si="83"/>
        <v>533.5913043190759</v>
      </c>
      <c r="O45" s="197">
        <f t="shared" si="84"/>
        <v>268.32019874330672</v>
      </c>
      <c r="P45" s="197">
        <f t="shared" si="85"/>
        <v>340.31078776961579</v>
      </c>
      <c r="Q45" s="197">
        <f t="shared" si="86"/>
        <v>193.28051654946015</v>
      </c>
      <c r="R45" s="199">
        <f t="shared" si="87"/>
        <v>461.60071529276689</v>
      </c>
      <c r="S45" s="196">
        <f t="shared" si="132"/>
        <v>3758.1645361127657</v>
      </c>
      <c r="T45" s="197">
        <f t="shared" si="88"/>
        <v>2385.9933752231091</v>
      </c>
      <c r="U45" s="197">
        <f t="shared" si="88"/>
        <v>5725.4229267226738</v>
      </c>
      <c r="V45" s="197">
        <f t="shared" si="88"/>
        <v>-1967.2583906099076</v>
      </c>
      <c r="W45" s="199">
        <f t="shared" si="88"/>
        <v>418.73498461320116</v>
      </c>
      <c r="Y45" s="204">
        <f t="shared" si="133"/>
        <v>8</v>
      </c>
      <c r="Z45" s="197">
        <f>'Energy NPV'!$D98</f>
        <v>15</v>
      </c>
      <c r="AA45" s="197">
        <f>'Energy margins'!$Z$12</f>
        <v>43.75</v>
      </c>
      <c r="AB45" s="197">
        <f t="shared" si="134"/>
        <v>656.25</v>
      </c>
      <c r="AC45" s="197">
        <f>'Margins summary'!$W$14</f>
        <v>330</v>
      </c>
      <c r="AD45" s="197">
        <f t="shared" si="89"/>
        <v>986.25</v>
      </c>
      <c r="AE45" s="197"/>
      <c r="AF45" s="918">
        <f>'Energy NPV'!U98</f>
        <v>418.53934399999991</v>
      </c>
      <c r="AG45" s="197"/>
      <c r="AH45" s="197">
        <f t="shared" si="90"/>
        <v>418.53934399999991</v>
      </c>
      <c r="AI45" s="197">
        <f t="shared" si="73"/>
        <v>237.71065600000009</v>
      </c>
      <c r="AJ45" s="197">
        <f t="shared" si="74"/>
        <v>567.71065600000009</v>
      </c>
      <c r="AK45" s="196">
        <f t="shared" si="91"/>
        <v>482.23117535411188</v>
      </c>
      <c r="AL45" s="197">
        <f t="shared" si="92"/>
        <v>242.49339103521055</v>
      </c>
      <c r="AM45" s="197">
        <f t="shared" si="93"/>
        <v>307.55462063094694</v>
      </c>
      <c r="AN45" s="197">
        <f t="shared" si="94"/>
        <v>174.67655472316497</v>
      </c>
      <c r="AO45" s="199">
        <f t="shared" si="95"/>
        <v>417.16994575837549</v>
      </c>
      <c r="AP45" s="196">
        <f t="shared" si="135"/>
        <v>3542.8153608388939</v>
      </c>
      <c r="AQ45" s="197">
        <f t="shared" si="96"/>
        <v>2274.5913103286584</v>
      </c>
      <c r="AR45" s="197">
        <f t="shared" si="96"/>
        <v>5576.7084737874811</v>
      </c>
      <c r="AS45" s="197">
        <f t="shared" si="96"/>
        <v>-2033.8931129485866</v>
      </c>
      <c r="AT45" s="199">
        <f t="shared" si="96"/>
        <v>240.69819738007112</v>
      </c>
      <c r="AV45" s="204">
        <f t="shared" si="136"/>
        <v>8</v>
      </c>
      <c r="AW45" s="197">
        <f>'Energy NPV'!$D98</f>
        <v>15</v>
      </c>
      <c r="AX45" s="197">
        <f>'Energy margins'!$Z$12</f>
        <v>43.75</v>
      </c>
      <c r="AY45" s="197">
        <f t="shared" si="137"/>
        <v>656.25</v>
      </c>
      <c r="AZ45" s="197">
        <f>'Margins summary'!$W$14</f>
        <v>330</v>
      </c>
      <c r="BA45" s="197">
        <f t="shared" si="97"/>
        <v>986.25</v>
      </c>
      <c r="BB45" s="197"/>
      <c r="BC45" s="918">
        <f>'Energy NPV'!U98</f>
        <v>418.53934399999991</v>
      </c>
      <c r="BD45" s="197"/>
      <c r="BE45" s="197">
        <f t="shared" si="98"/>
        <v>418.53934399999991</v>
      </c>
      <c r="BF45" s="197">
        <f t="shared" si="75"/>
        <v>237.71065600000009</v>
      </c>
      <c r="BG45" s="197">
        <f t="shared" si="76"/>
        <v>567.71065600000009</v>
      </c>
      <c r="BH45" s="196">
        <f t="shared" si="99"/>
        <v>591.29883136931392</v>
      </c>
      <c r="BI45" s="197">
        <f t="shared" si="100"/>
        <v>297.33884091714071</v>
      </c>
      <c r="BJ45" s="197">
        <f t="shared" si="101"/>
        <v>377.11516188842546</v>
      </c>
      <c r="BK45" s="197">
        <f t="shared" si="102"/>
        <v>214.18366948088845</v>
      </c>
      <c r="BL45" s="199">
        <f t="shared" si="103"/>
        <v>511.52251039802917</v>
      </c>
      <c r="BM45" s="196">
        <f t="shared" si="138"/>
        <v>3993.1941953092705</v>
      </c>
      <c r="BN45" s="197">
        <f t="shared" si="104"/>
        <v>2507.4106055239731</v>
      </c>
      <c r="BO45" s="197">
        <f t="shared" si="105"/>
        <v>5887.1328560133734</v>
      </c>
      <c r="BP45" s="197">
        <f t="shared" si="106"/>
        <v>-1893.9386607041038</v>
      </c>
      <c r="BQ45" s="199">
        <f t="shared" si="107"/>
        <v>613.47194481986912</v>
      </c>
      <c r="BS45" s="204">
        <f t="shared" si="139"/>
        <v>8</v>
      </c>
      <c r="BT45" s="197">
        <f>'Energy NPV'!$D98</f>
        <v>15</v>
      </c>
      <c r="BU45" s="197">
        <f>'Energy margins'!$Z$12</f>
        <v>43.75</v>
      </c>
      <c r="BV45" s="197">
        <f t="shared" si="140"/>
        <v>656.25</v>
      </c>
      <c r="BW45" s="197">
        <f>'Margins summary'!$W$14</f>
        <v>330</v>
      </c>
      <c r="BX45" s="197">
        <f t="shared" si="108"/>
        <v>986.25</v>
      </c>
      <c r="BY45" s="197"/>
      <c r="BZ45" s="918">
        <f>'Energy NPV'!U98</f>
        <v>418.53934399999991</v>
      </c>
      <c r="CA45" s="197"/>
      <c r="CB45" s="197">
        <f t="shared" si="109"/>
        <v>418.53934399999991</v>
      </c>
      <c r="CC45" s="197">
        <f t="shared" si="77"/>
        <v>237.71065600000009</v>
      </c>
      <c r="CD45" s="197">
        <f t="shared" si="78"/>
        <v>567.71065600000009</v>
      </c>
      <c r="CE45" s="196">
        <f t="shared" si="110"/>
        <v>436.44373081465801</v>
      </c>
      <c r="CF45" s="197">
        <f t="shared" si="111"/>
        <v>219.46884749537088</v>
      </c>
      <c r="CG45" s="197">
        <f t="shared" si="112"/>
        <v>278.35256805802595</v>
      </c>
      <c r="CH45" s="197">
        <f t="shared" si="113"/>
        <v>158.09116275663209</v>
      </c>
      <c r="CI45" s="199">
        <f t="shared" si="114"/>
        <v>377.560010252003</v>
      </c>
      <c r="CJ45" s="196">
        <f t="shared" si="141"/>
        <v>3345.1337067874033</v>
      </c>
      <c r="CK45" s="197">
        <f t="shared" si="115"/>
        <v>2172.1858750771494</v>
      </c>
      <c r="CL45" s="197">
        <f t="shared" si="116"/>
        <v>5439.6822375030515</v>
      </c>
      <c r="CM45" s="197">
        <f t="shared" si="117"/>
        <v>-2094.5485307156482</v>
      </c>
      <c r="CN45" s="199">
        <f t="shared" si="118"/>
        <v>77.63734436150105</v>
      </c>
      <c r="CP45" s="204">
        <f t="shared" si="142"/>
        <v>8</v>
      </c>
      <c r="CQ45" s="197">
        <f>'Energy NPV'!$D98</f>
        <v>15</v>
      </c>
      <c r="CR45" s="197">
        <f>'Energy margins'!$Z$12</f>
        <v>43.75</v>
      </c>
      <c r="CS45" s="197">
        <f t="shared" si="143"/>
        <v>656.25</v>
      </c>
      <c r="CT45" s="197">
        <f>'Margins summary'!$W$14</f>
        <v>330</v>
      </c>
      <c r="CU45" s="197">
        <f t="shared" si="119"/>
        <v>986.25</v>
      </c>
      <c r="CV45" s="197"/>
      <c r="CW45" s="918">
        <f>'Energy NPV'!U98</f>
        <v>418.53934399999991</v>
      </c>
      <c r="CX45" s="197"/>
      <c r="CY45" s="197">
        <f t="shared" si="120"/>
        <v>418.53934399999991</v>
      </c>
      <c r="CZ45" s="197">
        <f t="shared" si="79"/>
        <v>237.71065600000009</v>
      </c>
      <c r="DA45" s="197">
        <f t="shared" si="80"/>
        <v>567.71065600000009</v>
      </c>
      <c r="DB45" s="196">
        <f t="shared" si="121"/>
        <v>656.25</v>
      </c>
      <c r="DC45" s="197">
        <f t="shared" si="122"/>
        <v>330</v>
      </c>
      <c r="DD45" s="197">
        <f t="shared" si="123"/>
        <v>418.53934399999991</v>
      </c>
      <c r="DE45" s="197">
        <f t="shared" si="124"/>
        <v>237.71065600000009</v>
      </c>
      <c r="DF45" s="199">
        <f t="shared" si="125"/>
        <v>567.71065600000009</v>
      </c>
      <c r="DG45" s="196">
        <f t="shared" si="144"/>
        <v>4250.1917177914111</v>
      </c>
      <c r="DH45" s="197">
        <f t="shared" si="126"/>
        <v>2640</v>
      </c>
      <c r="DI45" s="197">
        <f t="shared" si="127"/>
        <v>6063.322251999999</v>
      </c>
      <c r="DJ45" s="197">
        <f t="shared" si="128"/>
        <v>-1813.1305342085875</v>
      </c>
      <c r="DK45" s="199">
        <f t="shared" si="129"/>
        <v>826.86946579141204</v>
      </c>
    </row>
    <row r="46" spans="2:115" x14ac:dyDescent="0.3">
      <c r="B46" s="204">
        <f t="shared" si="130"/>
        <v>9</v>
      </c>
      <c r="C46" s="197">
        <f>'Energy NPV'!$D99</f>
        <v>15</v>
      </c>
      <c r="D46" s="197">
        <f>'Energy margins'!$Z$12</f>
        <v>43.75</v>
      </c>
      <c r="E46" s="197">
        <f t="shared" si="131"/>
        <v>656.25</v>
      </c>
      <c r="F46" s="197">
        <f>'Margins summary'!$W$14</f>
        <v>330</v>
      </c>
      <c r="G46" s="197">
        <f t="shared" si="81"/>
        <v>986.25</v>
      </c>
      <c r="H46" s="197"/>
      <c r="I46" s="918">
        <f>'Energy NPV'!U99</f>
        <v>418.53934399999991</v>
      </c>
      <c r="J46" s="197"/>
      <c r="K46" s="197">
        <f t="shared" si="82"/>
        <v>418.53934399999991</v>
      </c>
      <c r="L46" s="197">
        <f t="shared" si="71"/>
        <v>237.71065600000009</v>
      </c>
      <c r="M46" s="197">
        <f t="shared" si="72"/>
        <v>567.71065600000009</v>
      </c>
      <c r="N46" s="196">
        <f t="shared" si="83"/>
        <v>518.04981001852036</v>
      </c>
      <c r="O46" s="197">
        <f t="shared" si="84"/>
        <v>260.50504732359883</v>
      </c>
      <c r="P46" s="197">
        <f t="shared" si="85"/>
        <v>330.39882307729692</v>
      </c>
      <c r="Q46" s="197">
        <f t="shared" si="86"/>
        <v>187.65098694122347</v>
      </c>
      <c r="R46" s="199">
        <f t="shared" si="87"/>
        <v>448.15603426482227</v>
      </c>
      <c r="S46" s="196">
        <f t="shared" si="132"/>
        <v>4276.2143461312862</v>
      </c>
      <c r="T46" s="197">
        <f t="shared" si="88"/>
        <v>2646.4984225467078</v>
      </c>
      <c r="U46" s="197">
        <f t="shared" si="88"/>
        <v>6055.8217497999703</v>
      </c>
      <c r="V46" s="197">
        <f t="shared" si="88"/>
        <v>-1779.6074036686841</v>
      </c>
      <c r="W46" s="199">
        <f t="shared" si="88"/>
        <v>866.89101887802349</v>
      </c>
      <c r="Y46" s="204">
        <f t="shared" si="133"/>
        <v>9</v>
      </c>
      <c r="Z46" s="197">
        <f>'Energy NPV'!$D99</f>
        <v>15</v>
      </c>
      <c r="AA46" s="197">
        <f>'Energy margins'!$Z$12</f>
        <v>43.75</v>
      </c>
      <c r="AB46" s="197">
        <f t="shared" si="134"/>
        <v>656.25</v>
      </c>
      <c r="AC46" s="197">
        <f>'Margins summary'!$W$14</f>
        <v>330</v>
      </c>
      <c r="AD46" s="197">
        <f t="shared" si="89"/>
        <v>986.25</v>
      </c>
      <c r="AE46" s="197"/>
      <c r="AF46" s="918">
        <f>'Energy NPV'!U99</f>
        <v>418.53934399999991</v>
      </c>
      <c r="AG46" s="197"/>
      <c r="AH46" s="197">
        <f t="shared" si="90"/>
        <v>418.53934399999991</v>
      </c>
      <c r="AI46" s="197">
        <f t="shared" si="73"/>
        <v>237.71065600000009</v>
      </c>
      <c r="AJ46" s="197">
        <f t="shared" si="74"/>
        <v>567.71065600000009</v>
      </c>
      <c r="AK46" s="196">
        <f t="shared" si="91"/>
        <v>461.46523957331294</v>
      </c>
      <c r="AL46" s="197">
        <f t="shared" si="92"/>
        <v>232.05109189972308</v>
      </c>
      <c r="AM46" s="197">
        <f t="shared" si="93"/>
        <v>294.31064175210241</v>
      </c>
      <c r="AN46" s="197">
        <f t="shared" si="94"/>
        <v>167.15459782121056</v>
      </c>
      <c r="AO46" s="199">
        <f t="shared" si="95"/>
        <v>399.20568972093366</v>
      </c>
      <c r="AP46" s="196">
        <f t="shared" si="135"/>
        <v>4004.2806004122067</v>
      </c>
      <c r="AQ46" s="197">
        <f t="shared" si="96"/>
        <v>2506.6424022283813</v>
      </c>
      <c r="AR46" s="197">
        <f t="shared" si="96"/>
        <v>5871.0191155395833</v>
      </c>
      <c r="AS46" s="197">
        <f t="shared" si="96"/>
        <v>-1866.7385151273761</v>
      </c>
      <c r="AT46" s="199">
        <f t="shared" si="96"/>
        <v>639.90388710100478</v>
      </c>
      <c r="AV46" s="204">
        <f t="shared" si="136"/>
        <v>9</v>
      </c>
      <c r="AW46" s="197">
        <f>'Energy NPV'!$D99</f>
        <v>15</v>
      </c>
      <c r="AX46" s="197">
        <f>'Energy margins'!$Z$12</f>
        <v>43.75</v>
      </c>
      <c r="AY46" s="197">
        <f t="shared" si="137"/>
        <v>656.25</v>
      </c>
      <c r="AZ46" s="197">
        <f>'Margins summary'!$W$14</f>
        <v>330</v>
      </c>
      <c r="BA46" s="197">
        <f t="shared" si="97"/>
        <v>986.25</v>
      </c>
      <c r="BB46" s="197"/>
      <c r="BC46" s="918">
        <f>'Energy NPV'!U99</f>
        <v>418.53934399999991</v>
      </c>
      <c r="BD46" s="197"/>
      <c r="BE46" s="197">
        <f t="shared" si="98"/>
        <v>418.53934399999991</v>
      </c>
      <c r="BF46" s="197">
        <f t="shared" si="75"/>
        <v>237.71065600000009</v>
      </c>
      <c r="BG46" s="197">
        <f t="shared" si="76"/>
        <v>567.71065600000009</v>
      </c>
      <c r="BH46" s="196">
        <f t="shared" si="99"/>
        <v>582.56042499439798</v>
      </c>
      <c r="BI46" s="197">
        <f t="shared" si="100"/>
        <v>292.94467085432586</v>
      </c>
      <c r="BJ46" s="197">
        <f t="shared" si="101"/>
        <v>371.542031417168</v>
      </c>
      <c r="BK46" s="197">
        <f t="shared" si="102"/>
        <v>211.01839357723003</v>
      </c>
      <c r="BL46" s="199">
        <f t="shared" si="103"/>
        <v>503.96306443155589</v>
      </c>
      <c r="BM46" s="196">
        <f t="shared" si="138"/>
        <v>4575.7546203036682</v>
      </c>
      <c r="BN46" s="197">
        <f t="shared" si="104"/>
        <v>2800.3552763782991</v>
      </c>
      <c r="BO46" s="197">
        <f t="shared" si="105"/>
        <v>6258.6748874305413</v>
      </c>
      <c r="BP46" s="197">
        <f t="shared" si="106"/>
        <v>-1682.9202671268738</v>
      </c>
      <c r="BQ46" s="199">
        <f t="shared" si="107"/>
        <v>1117.4350092514251</v>
      </c>
      <c r="BS46" s="204">
        <f t="shared" si="139"/>
        <v>9</v>
      </c>
      <c r="BT46" s="197">
        <f>'Energy NPV'!$D99</f>
        <v>15</v>
      </c>
      <c r="BU46" s="197">
        <f>'Energy margins'!$Z$12</f>
        <v>43.75</v>
      </c>
      <c r="BV46" s="197">
        <f t="shared" si="140"/>
        <v>656.25</v>
      </c>
      <c r="BW46" s="197">
        <f>'Margins summary'!$W$14</f>
        <v>330</v>
      </c>
      <c r="BX46" s="197">
        <f t="shared" si="108"/>
        <v>986.25</v>
      </c>
      <c r="BY46" s="197"/>
      <c r="BZ46" s="918">
        <f>'Energy NPV'!U99</f>
        <v>418.53934399999991</v>
      </c>
      <c r="CA46" s="197"/>
      <c r="CB46" s="197">
        <f t="shared" si="109"/>
        <v>418.53934399999991</v>
      </c>
      <c r="CC46" s="197">
        <f t="shared" si="77"/>
        <v>237.71065600000009</v>
      </c>
      <c r="CD46" s="197">
        <f t="shared" si="78"/>
        <v>567.71065600000009</v>
      </c>
      <c r="CE46" s="196">
        <f t="shared" si="110"/>
        <v>411.73936869307363</v>
      </c>
      <c r="CF46" s="197">
        <f t="shared" si="111"/>
        <v>207.04608254280274</v>
      </c>
      <c r="CG46" s="197">
        <f t="shared" si="112"/>
        <v>262.59676231889239</v>
      </c>
      <c r="CH46" s="197">
        <f t="shared" si="113"/>
        <v>149.14260637418124</v>
      </c>
      <c r="CI46" s="199">
        <f t="shared" si="114"/>
        <v>356.18868891698395</v>
      </c>
      <c r="CJ46" s="196">
        <f t="shared" si="141"/>
        <v>3756.8730754804769</v>
      </c>
      <c r="CK46" s="197">
        <f t="shared" si="115"/>
        <v>2379.231957619952</v>
      </c>
      <c r="CL46" s="197">
        <f t="shared" si="116"/>
        <v>5702.2789998219441</v>
      </c>
      <c r="CM46" s="197">
        <f t="shared" si="117"/>
        <v>-1945.405924341467</v>
      </c>
      <c r="CN46" s="199">
        <f t="shared" si="118"/>
        <v>433.826033278485</v>
      </c>
      <c r="CP46" s="204">
        <f t="shared" si="142"/>
        <v>9</v>
      </c>
      <c r="CQ46" s="197">
        <f>'Energy NPV'!$D99</f>
        <v>15</v>
      </c>
      <c r="CR46" s="197">
        <f>'Energy margins'!$Z$12</f>
        <v>43.75</v>
      </c>
      <c r="CS46" s="197">
        <f t="shared" si="143"/>
        <v>656.25</v>
      </c>
      <c r="CT46" s="197">
        <f>'Margins summary'!$W$14</f>
        <v>330</v>
      </c>
      <c r="CU46" s="197">
        <f t="shared" si="119"/>
        <v>986.25</v>
      </c>
      <c r="CV46" s="197"/>
      <c r="CW46" s="918">
        <f>'Energy NPV'!U99</f>
        <v>418.53934399999991</v>
      </c>
      <c r="CX46" s="197"/>
      <c r="CY46" s="197">
        <f t="shared" si="120"/>
        <v>418.53934399999991</v>
      </c>
      <c r="CZ46" s="197">
        <f t="shared" si="79"/>
        <v>237.71065600000009</v>
      </c>
      <c r="DA46" s="197">
        <f t="shared" si="80"/>
        <v>567.71065600000009</v>
      </c>
      <c r="DB46" s="196">
        <f t="shared" si="121"/>
        <v>656.25</v>
      </c>
      <c r="DC46" s="197">
        <f t="shared" si="122"/>
        <v>330</v>
      </c>
      <c r="DD46" s="197">
        <f t="shared" si="123"/>
        <v>418.53934399999991</v>
      </c>
      <c r="DE46" s="197">
        <f t="shared" si="124"/>
        <v>237.71065600000009</v>
      </c>
      <c r="DF46" s="199">
        <f t="shared" si="125"/>
        <v>567.71065600000009</v>
      </c>
      <c r="DG46" s="196">
        <f t="shared" si="144"/>
        <v>4906.4417177914111</v>
      </c>
      <c r="DH46" s="197">
        <f t="shared" si="126"/>
        <v>2970</v>
      </c>
      <c r="DI46" s="197">
        <f t="shared" si="127"/>
        <v>6481.8615959999988</v>
      </c>
      <c r="DJ46" s="197">
        <f t="shared" si="128"/>
        <v>-1575.4198782085873</v>
      </c>
      <c r="DK46" s="199">
        <f t="shared" si="129"/>
        <v>1394.5801217914122</v>
      </c>
    </row>
    <row r="47" spans="2:115" x14ac:dyDescent="0.3">
      <c r="B47" s="204">
        <f t="shared" si="130"/>
        <v>10</v>
      </c>
      <c r="C47" s="197">
        <f>'Energy NPV'!$D100</f>
        <v>15</v>
      </c>
      <c r="D47" s="197">
        <f>'Energy margins'!$Z$12</f>
        <v>43.75</v>
      </c>
      <c r="E47" s="197">
        <f t="shared" si="131"/>
        <v>656.25</v>
      </c>
      <c r="F47" s="197">
        <f>'Margins summary'!$W$14</f>
        <v>330</v>
      </c>
      <c r="G47" s="197">
        <f t="shared" si="81"/>
        <v>986.25</v>
      </c>
      <c r="H47" s="197"/>
      <c r="I47" s="918">
        <f>'Energy NPV'!U100</f>
        <v>418.53934399999991</v>
      </c>
      <c r="J47" s="197"/>
      <c r="K47" s="197">
        <f t="shared" si="82"/>
        <v>418.53934399999991</v>
      </c>
      <c r="L47" s="197">
        <f t="shared" si="71"/>
        <v>237.71065600000009</v>
      </c>
      <c r="M47" s="197">
        <f t="shared" si="72"/>
        <v>567.71065600000009</v>
      </c>
      <c r="N47" s="196">
        <f t="shared" si="83"/>
        <v>502.9609806005052</v>
      </c>
      <c r="O47" s="197">
        <f t="shared" si="84"/>
        <v>252.91752167339689</v>
      </c>
      <c r="P47" s="197">
        <f t="shared" si="85"/>
        <v>320.77555638572511</v>
      </c>
      <c r="Q47" s="197">
        <f t="shared" si="86"/>
        <v>182.18542421478006</v>
      </c>
      <c r="R47" s="199">
        <f t="shared" si="87"/>
        <v>435.10294588817692</v>
      </c>
      <c r="S47" s="196">
        <f t="shared" si="132"/>
        <v>4779.1753267317918</v>
      </c>
      <c r="T47" s="197">
        <f t="shared" si="88"/>
        <v>2899.4159442201048</v>
      </c>
      <c r="U47" s="197">
        <f t="shared" si="88"/>
        <v>6376.5973061856957</v>
      </c>
      <c r="V47" s="197">
        <f t="shared" si="88"/>
        <v>-1597.421979453904</v>
      </c>
      <c r="W47" s="199">
        <f t="shared" si="88"/>
        <v>1301.9939647662004</v>
      </c>
      <c r="Y47" s="204">
        <f t="shared" si="133"/>
        <v>10</v>
      </c>
      <c r="Z47" s="197">
        <f>'Energy NPV'!$D100</f>
        <v>15</v>
      </c>
      <c r="AA47" s="197">
        <f>'Energy margins'!$Z$12</f>
        <v>43.75</v>
      </c>
      <c r="AB47" s="197">
        <f t="shared" si="134"/>
        <v>656.25</v>
      </c>
      <c r="AC47" s="197">
        <f>'Margins summary'!$W$14</f>
        <v>330</v>
      </c>
      <c r="AD47" s="197">
        <f t="shared" si="89"/>
        <v>986.25</v>
      </c>
      <c r="AE47" s="197"/>
      <c r="AF47" s="918">
        <f>'Energy NPV'!U100</f>
        <v>418.53934399999991</v>
      </c>
      <c r="AG47" s="197"/>
      <c r="AH47" s="197">
        <f t="shared" si="90"/>
        <v>418.53934399999991</v>
      </c>
      <c r="AI47" s="197">
        <f t="shared" si="73"/>
        <v>237.71065600000009</v>
      </c>
      <c r="AJ47" s="197">
        <f t="shared" si="74"/>
        <v>567.71065600000009</v>
      </c>
      <c r="AK47" s="196">
        <f t="shared" si="91"/>
        <v>441.59353069216553</v>
      </c>
      <c r="AL47" s="197">
        <f t="shared" si="92"/>
        <v>222.05846114806039</v>
      </c>
      <c r="AM47" s="197">
        <f t="shared" si="93"/>
        <v>281.63697775320804</v>
      </c>
      <c r="AN47" s="197">
        <f t="shared" si="94"/>
        <v>159.95655293895749</v>
      </c>
      <c r="AO47" s="199">
        <f t="shared" si="95"/>
        <v>382.01501408701785</v>
      </c>
      <c r="AP47" s="196">
        <f t="shared" si="135"/>
        <v>4445.8741311043723</v>
      </c>
      <c r="AQ47" s="197">
        <f t="shared" si="96"/>
        <v>2728.7008633764417</v>
      </c>
      <c r="AR47" s="197">
        <f t="shared" si="96"/>
        <v>6152.6560932927914</v>
      </c>
      <c r="AS47" s="197">
        <f t="shared" si="96"/>
        <v>-1706.7819621884187</v>
      </c>
      <c r="AT47" s="199">
        <f t="shared" si="96"/>
        <v>1021.9189011880226</v>
      </c>
      <c r="AV47" s="204">
        <f t="shared" si="136"/>
        <v>10</v>
      </c>
      <c r="AW47" s="197">
        <f>'Energy NPV'!$D100</f>
        <v>15</v>
      </c>
      <c r="AX47" s="197">
        <f>'Energy margins'!$Z$12</f>
        <v>43.75</v>
      </c>
      <c r="AY47" s="197">
        <f t="shared" si="137"/>
        <v>656.25</v>
      </c>
      <c r="AZ47" s="197">
        <f>'Margins summary'!$W$14</f>
        <v>330</v>
      </c>
      <c r="BA47" s="197">
        <f t="shared" si="97"/>
        <v>986.25</v>
      </c>
      <c r="BB47" s="197"/>
      <c r="BC47" s="918">
        <f>'Energy NPV'!U100</f>
        <v>418.53934399999991</v>
      </c>
      <c r="BD47" s="197"/>
      <c r="BE47" s="197">
        <f t="shared" si="98"/>
        <v>418.53934399999991</v>
      </c>
      <c r="BF47" s="197">
        <f t="shared" si="75"/>
        <v>237.71065600000009</v>
      </c>
      <c r="BG47" s="197">
        <f t="shared" si="76"/>
        <v>567.71065600000009</v>
      </c>
      <c r="BH47" s="196">
        <f t="shared" si="99"/>
        <v>573.95115762994885</v>
      </c>
      <c r="BI47" s="197">
        <f t="shared" si="100"/>
        <v>288.61543926534569</v>
      </c>
      <c r="BJ47" s="197">
        <f t="shared" si="101"/>
        <v>366.0512624799685</v>
      </c>
      <c r="BK47" s="197">
        <f t="shared" si="102"/>
        <v>207.89989514998032</v>
      </c>
      <c r="BL47" s="199">
        <f t="shared" si="103"/>
        <v>496.51533441532604</v>
      </c>
      <c r="BM47" s="196">
        <f t="shared" si="138"/>
        <v>5149.7057779336174</v>
      </c>
      <c r="BN47" s="197">
        <f t="shared" si="104"/>
        <v>3088.9707156436448</v>
      </c>
      <c r="BO47" s="197">
        <f t="shared" si="105"/>
        <v>6624.7261499105098</v>
      </c>
      <c r="BP47" s="197">
        <f t="shared" si="106"/>
        <v>-1475.0203719768936</v>
      </c>
      <c r="BQ47" s="199">
        <f t="shared" si="107"/>
        <v>1613.950343666751</v>
      </c>
      <c r="BS47" s="204">
        <f t="shared" si="139"/>
        <v>10</v>
      </c>
      <c r="BT47" s="197">
        <f>'Energy NPV'!$D100</f>
        <v>15</v>
      </c>
      <c r="BU47" s="197">
        <f>'Energy margins'!$Z$12</f>
        <v>43.75</v>
      </c>
      <c r="BV47" s="197">
        <f t="shared" si="140"/>
        <v>656.25</v>
      </c>
      <c r="BW47" s="197">
        <f>'Margins summary'!$W$14</f>
        <v>330</v>
      </c>
      <c r="BX47" s="197">
        <f t="shared" si="108"/>
        <v>986.25</v>
      </c>
      <c r="BY47" s="197"/>
      <c r="BZ47" s="918">
        <f>'Energy NPV'!U100</f>
        <v>418.53934399999991</v>
      </c>
      <c r="CA47" s="197"/>
      <c r="CB47" s="197">
        <f t="shared" si="109"/>
        <v>418.53934399999991</v>
      </c>
      <c r="CC47" s="197">
        <f t="shared" si="77"/>
        <v>237.71065600000009</v>
      </c>
      <c r="CD47" s="197">
        <f t="shared" si="78"/>
        <v>567.71065600000009</v>
      </c>
      <c r="CE47" s="196">
        <f t="shared" si="110"/>
        <v>388.4333666915789</v>
      </c>
      <c r="CF47" s="197">
        <f t="shared" si="111"/>
        <v>195.32649296490825</v>
      </c>
      <c r="CG47" s="197">
        <f t="shared" si="112"/>
        <v>247.73279464046453</v>
      </c>
      <c r="CH47" s="197">
        <f t="shared" si="113"/>
        <v>140.70057205111436</v>
      </c>
      <c r="CI47" s="199">
        <f t="shared" si="114"/>
        <v>336.02706501602262</v>
      </c>
      <c r="CJ47" s="196">
        <f t="shared" si="141"/>
        <v>4145.3064421720555</v>
      </c>
      <c r="CK47" s="197">
        <f t="shared" si="115"/>
        <v>2574.5584505848601</v>
      </c>
      <c r="CL47" s="197">
        <f t="shared" si="116"/>
        <v>5950.0117944624089</v>
      </c>
      <c r="CM47" s="197">
        <f t="shared" si="117"/>
        <v>-1804.7053522903525</v>
      </c>
      <c r="CN47" s="199">
        <f t="shared" si="118"/>
        <v>769.85309829450762</v>
      </c>
      <c r="CP47" s="204">
        <f t="shared" si="142"/>
        <v>10</v>
      </c>
      <c r="CQ47" s="197">
        <f>'Energy NPV'!$D100</f>
        <v>15</v>
      </c>
      <c r="CR47" s="197">
        <f>'Energy margins'!$Z$12</f>
        <v>43.75</v>
      </c>
      <c r="CS47" s="197">
        <f t="shared" si="143"/>
        <v>656.25</v>
      </c>
      <c r="CT47" s="197">
        <f>'Margins summary'!$W$14</f>
        <v>330</v>
      </c>
      <c r="CU47" s="197">
        <f t="shared" si="119"/>
        <v>986.25</v>
      </c>
      <c r="CV47" s="197"/>
      <c r="CW47" s="918">
        <f>'Energy NPV'!U100</f>
        <v>418.53934399999991</v>
      </c>
      <c r="CX47" s="197"/>
      <c r="CY47" s="197">
        <f t="shared" si="120"/>
        <v>418.53934399999991</v>
      </c>
      <c r="CZ47" s="197">
        <f t="shared" si="79"/>
        <v>237.71065600000009</v>
      </c>
      <c r="DA47" s="197">
        <f t="shared" si="80"/>
        <v>567.71065600000009</v>
      </c>
      <c r="DB47" s="196">
        <f t="shared" si="121"/>
        <v>656.25</v>
      </c>
      <c r="DC47" s="197">
        <f t="shared" si="122"/>
        <v>330</v>
      </c>
      <c r="DD47" s="197">
        <f t="shared" si="123"/>
        <v>418.53934399999991</v>
      </c>
      <c r="DE47" s="197">
        <f t="shared" si="124"/>
        <v>237.71065600000009</v>
      </c>
      <c r="DF47" s="199">
        <f t="shared" si="125"/>
        <v>567.71065600000009</v>
      </c>
      <c r="DG47" s="196">
        <f t="shared" si="144"/>
        <v>5562.6917177914111</v>
      </c>
      <c r="DH47" s="197">
        <f t="shared" si="126"/>
        <v>3300</v>
      </c>
      <c r="DI47" s="197">
        <f t="shared" si="127"/>
        <v>6900.4009399999986</v>
      </c>
      <c r="DJ47" s="197">
        <f t="shared" si="128"/>
        <v>-1337.7092222085871</v>
      </c>
      <c r="DK47" s="199">
        <f t="shared" si="129"/>
        <v>1962.2907777914124</v>
      </c>
    </row>
    <row r="48" spans="2:115" x14ac:dyDescent="0.3">
      <c r="B48" s="204">
        <f t="shared" si="130"/>
        <v>11</v>
      </c>
      <c r="C48" s="197">
        <f>'Energy NPV'!$D101</f>
        <v>15</v>
      </c>
      <c r="D48" s="197">
        <f>'Energy margins'!$Z$12</f>
        <v>43.75</v>
      </c>
      <c r="E48" s="197">
        <f t="shared" si="131"/>
        <v>656.25</v>
      </c>
      <c r="F48" s="197">
        <f>'Margins summary'!$W$14</f>
        <v>330</v>
      </c>
      <c r="G48" s="197">
        <f t="shared" si="81"/>
        <v>986.25</v>
      </c>
      <c r="H48" s="197"/>
      <c r="I48" s="918">
        <f>'Energy NPV'!U101</f>
        <v>418.53934399999991</v>
      </c>
      <c r="J48" s="197"/>
      <c r="K48" s="197">
        <f t="shared" si="82"/>
        <v>418.53934399999991</v>
      </c>
      <c r="L48" s="197">
        <f t="shared" si="71"/>
        <v>237.71065600000009</v>
      </c>
      <c r="M48" s="197">
        <f t="shared" si="72"/>
        <v>567.71065600000009</v>
      </c>
      <c r="N48" s="196">
        <f t="shared" si="83"/>
        <v>488.31163165097593</v>
      </c>
      <c r="O48" s="197">
        <f t="shared" si="84"/>
        <v>245.55099191591933</v>
      </c>
      <c r="P48" s="197">
        <f t="shared" si="85"/>
        <v>311.43257901526715</v>
      </c>
      <c r="Q48" s="197">
        <f t="shared" si="86"/>
        <v>176.87905263570877</v>
      </c>
      <c r="R48" s="199">
        <f t="shared" si="87"/>
        <v>422.4300445516281</v>
      </c>
      <c r="S48" s="196">
        <f t="shared" si="132"/>
        <v>5267.4869583827676</v>
      </c>
      <c r="T48" s="197">
        <f t="shared" si="88"/>
        <v>3144.9669361360243</v>
      </c>
      <c r="U48" s="197">
        <f t="shared" si="88"/>
        <v>6688.0298852009628</v>
      </c>
      <c r="V48" s="197">
        <f t="shared" si="88"/>
        <v>-1420.5429268181952</v>
      </c>
      <c r="W48" s="199">
        <f t="shared" si="88"/>
        <v>1724.4240093178284</v>
      </c>
      <c r="Y48" s="204">
        <f t="shared" si="133"/>
        <v>11</v>
      </c>
      <c r="Z48" s="197">
        <f>'Energy NPV'!$D101</f>
        <v>15</v>
      </c>
      <c r="AA48" s="197">
        <f>'Energy margins'!$Z$12</f>
        <v>43.75</v>
      </c>
      <c r="AB48" s="197">
        <f t="shared" si="134"/>
        <v>656.25</v>
      </c>
      <c r="AC48" s="197">
        <f>'Margins summary'!$W$14</f>
        <v>330</v>
      </c>
      <c r="AD48" s="197">
        <f t="shared" si="89"/>
        <v>986.25</v>
      </c>
      <c r="AE48" s="197"/>
      <c r="AF48" s="918">
        <f>'Energy NPV'!U101</f>
        <v>418.53934399999991</v>
      </c>
      <c r="AG48" s="197"/>
      <c r="AH48" s="197">
        <f t="shared" si="90"/>
        <v>418.53934399999991</v>
      </c>
      <c r="AI48" s="197">
        <f t="shared" si="73"/>
        <v>237.71065600000009</v>
      </c>
      <c r="AJ48" s="197">
        <f t="shared" si="74"/>
        <v>567.71065600000009</v>
      </c>
      <c r="AK48" s="196">
        <f t="shared" si="91"/>
        <v>422.5775413322159</v>
      </c>
      <c r="AL48" s="197">
        <f t="shared" si="92"/>
        <v>212.49613506991429</v>
      </c>
      <c r="AM48" s="197">
        <f t="shared" si="93"/>
        <v>269.50906962029484</v>
      </c>
      <c r="AN48" s="197">
        <f t="shared" si="94"/>
        <v>153.06847171192106</v>
      </c>
      <c r="AO48" s="199">
        <f t="shared" si="95"/>
        <v>365.56460678183532</v>
      </c>
      <c r="AP48" s="196">
        <f t="shared" si="135"/>
        <v>4868.4516724365885</v>
      </c>
      <c r="AQ48" s="197">
        <f t="shared" si="96"/>
        <v>2941.1969984463558</v>
      </c>
      <c r="AR48" s="197">
        <f t="shared" si="96"/>
        <v>6422.1651629130865</v>
      </c>
      <c r="AS48" s="197">
        <f t="shared" si="96"/>
        <v>-1553.7134904764976</v>
      </c>
      <c r="AT48" s="199">
        <f t="shared" si="96"/>
        <v>1387.4835079698578</v>
      </c>
      <c r="AV48" s="204">
        <f t="shared" si="136"/>
        <v>11</v>
      </c>
      <c r="AW48" s="197">
        <f>'Energy NPV'!$D101</f>
        <v>15</v>
      </c>
      <c r="AX48" s="197">
        <f>'Energy margins'!$Z$12</f>
        <v>43.75</v>
      </c>
      <c r="AY48" s="197">
        <f t="shared" si="137"/>
        <v>656.25</v>
      </c>
      <c r="AZ48" s="197">
        <f>'Margins summary'!$W$14</f>
        <v>330</v>
      </c>
      <c r="BA48" s="197">
        <f t="shared" si="97"/>
        <v>986.25</v>
      </c>
      <c r="BB48" s="197"/>
      <c r="BC48" s="918">
        <f>'Energy NPV'!U101</f>
        <v>418.53934399999991</v>
      </c>
      <c r="BD48" s="197"/>
      <c r="BE48" s="197">
        <f t="shared" si="98"/>
        <v>418.53934399999991</v>
      </c>
      <c r="BF48" s="197">
        <f t="shared" si="75"/>
        <v>237.71065600000009</v>
      </c>
      <c r="BG48" s="197">
        <f t="shared" si="76"/>
        <v>567.71065600000009</v>
      </c>
      <c r="BH48" s="196">
        <f t="shared" si="99"/>
        <v>565.46912081768369</v>
      </c>
      <c r="BI48" s="197">
        <f t="shared" si="100"/>
        <v>284.35018646832094</v>
      </c>
      <c r="BJ48" s="197">
        <f t="shared" si="101"/>
        <v>360.64163791129909</v>
      </c>
      <c r="BK48" s="197">
        <f t="shared" si="102"/>
        <v>204.8274829063846</v>
      </c>
      <c r="BL48" s="199">
        <f t="shared" si="103"/>
        <v>489.17766937470554</v>
      </c>
      <c r="BM48" s="196">
        <f t="shared" si="138"/>
        <v>5715.174898751301</v>
      </c>
      <c r="BN48" s="197">
        <f t="shared" si="104"/>
        <v>3373.3209021119656</v>
      </c>
      <c r="BO48" s="197">
        <f t="shared" si="105"/>
        <v>6985.3677878218086</v>
      </c>
      <c r="BP48" s="197">
        <f t="shared" si="106"/>
        <v>-1270.192889070509</v>
      </c>
      <c r="BQ48" s="199">
        <f t="shared" si="107"/>
        <v>2103.1280130414566</v>
      </c>
      <c r="BS48" s="204">
        <f t="shared" si="139"/>
        <v>11</v>
      </c>
      <c r="BT48" s="197">
        <f>'Energy NPV'!$D101</f>
        <v>15</v>
      </c>
      <c r="BU48" s="197">
        <f>'Energy margins'!$Z$12</f>
        <v>43.75</v>
      </c>
      <c r="BV48" s="197">
        <f t="shared" si="140"/>
        <v>656.25</v>
      </c>
      <c r="BW48" s="197">
        <f>'Margins summary'!$W$14</f>
        <v>330</v>
      </c>
      <c r="BX48" s="197">
        <f t="shared" si="108"/>
        <v>986.25</v>
      </c>
      <c r="BY48" s="197"/>
      <c r="BZ48" s="918">
        <f>'Energy NPV'!U101</f>
        <v>418.53934399999991</v>
      </c>
      <c r="CA48" s="197"/>
      <c r="CB48" s="197">
        <f t="shared" si="109"/>
        <v>418.53934399999991</v>
      </c>
      <c r="CC48" s="197">
        <f t="shared" si="77"/>
        <v>237.71065600000009</v>
      </c>
      <c r="CD48" s="197">
        <f t="shared" si="78"/>
        <v>567.71065600000009</v>
      </c>
      <c r="CE48" s="196">
        <f t="shared" si="110"/>
        <v>366.44657235054609</v>
      </c>
      <c r="CF48" s="197">
        <f t="shared" si="111"/>
        <v>184.27027638198891</v>
      </c>
      <c r="CG48" s="197">
        <f t="shared" si="112"/>
        <v>233.71018362307973</v>
      </c>
      <c r="CH48" s="197">
        <f t="shared" si="113"/>
        <v>132.73638872746636</v>
      </c>
      <c r="CI48" s="199">
        <f t="shared" si="114"/>
        <v>317.0066651094553</v>
      </c>
      <c r="CJ48" s="196">
        <f t="shared" si="141"/>
        <v>4511.7530145226019</v>
      </c>
      <c r="CK48" s="197">
        <f t="shared" si="115"/>
        <v>2758.828726966849</v>
      </c>
      <c r="CL48" s="197">
        <f t="shared" si="116"/>
        <v>6183.7219780854884</v>
      </c>
      <c r="CM48" s="197">
        <f t="shared" si="117"/>
        <v>-1671.9689635628861</v>
      </c>
      <c r="CN48" s="199">
        <f t="shared" si="118"/>
        <v>1086.8597634039629</v>
      </c>
      <c r="CP48" s="204">
        <f t="shared" si="142"/>
        <v>11</v>
      </c>
      <c r="CQ48" s="197">
        <f>'Energy NPV'!$D101</f>
        <v>15</v>
      </c>
      <c r="CR48" s="197">
        <f>'Energy margins'!$Z$12</f>
        <v>43.75</v>
      </c>
      <c r="CS48" s="197">
        <f t="shared" si="143"/>
        <v>656.25</v>
      </c>
      <c r="CT48" s="197">
        <f>'Margins summary'!$W$14</f>
        <v>330</v>
      </c>
      <c r="CU48" s="197">
        <f t="shared" si="119"/>
        <v>986.25</v>
      </c>
      <c r="CV48" s="197"/>
      <c r="CW48" s="918">
        <f>'Energy NPV'!U101</f>
        <v>418.53934399999991</v>
      </c>
      <c r="CX48" s="197"/>
      <c r="CY48" s="197">
        <f t="shared" si="120"/>
        <v>418.53934399999991</v>
      </c>
      <c r="CZ48" s="197">
        <f t="shared" si="79"/>
        <v>237.71065600000009</v>
      </c>
      <c r="DA48" s="197">
        <f t="shared" si="80"/>
        <v>567.71065600000009</v>
      </c>
      <c r="DB48" s="196">
        <f t="shared" si="121"/>
        <v>656.25</v>
      </c>
      <c r="DC48" s="197">
        <f t="shared" si="122"/>
        <v>330</v>
      </c>
      <c r="DD48" s="197">
        <f t="shared" si="123"/>
        <v>418.53934399999991</v>
      </c>
      <c r="DE48" s="197">
        <f t="shared" si="124"/>
        <v>237.71065600000009</v>
      </c>
      <c r="DF48" s="199">
        <f t="shared" si="125"/>
        <v>567.71065600000009</v>
      </c>
      <c r="DG48" s="196">
        <f t="shared" si="144"/>
        <v>6218.9417177914111</v>
      </c>
      <c r="DH48" s="197">
        <f t="shared" si="126"/>
        <v>3630</v>
      </c>
      <c r="DI48" s="197">
        <f t="shared" si="127"/>
        <v>7318.9402839999984</v>
      </c>
      <c r="DJ48" s="197">
        <f t="shared" si="128"/>
        <v>-1099.9985662085869</v>
      </c>
      <c r="DK48" s="199">
        <f t="shared" si="129"/>
        <v>2530.0014337914126</v>
      </c>
    </row>
    <row r="49" spans="2:129" x14ac:dyDescent="0.3">
      <c r="B49" s="204">
        <f t="shared" si="130"/>
        <v>12</v>
      </c>
      <c r="C49" s="197">
        <f>'Energy NPV'!$D102</f>
        <v>15</v>
      </c>
      <c r="D49" s="197">
        <f>'Energy margins'!$Z$12</f>
        <v>43.75</v>
      </c>
      <c r="E49" s="197">
        <f t="shared" si="131"/>
        <v>656.25</v>
      </c>
      <c r="F49" s="197">
        <f>'Margins summary'!$W$14</f>
        <v>330</v>
      </c>
      <c r="G49" s="197">
        <f t="shared" si="81"/>
        <v>986.25</v>
      </c>
      <c r="H49" s="197"/>
      <c r="I49" s="918">
        <f>'Energy NPV'!U102</f>
        <v>418.53934399999991</v>
      </c>
      <c r="J49" s="197"/>
      <c r="K49" s="197">
        <f t="shared" si="82"/>
        <v>418.53934399999991</v>
      </c>
      <c r="L49" s="197">
        <f t="shared" si="71"/>
        <v>237.71065600000009</v>
      </c>
      <c r="M49" s="197">
        <f t="shared" si="72"/>
        <v>567.71065600000009</v>
      </c>
      <c r="N49" s="196">
        <f t="shared" si="83"/>
        <v>474.08896276793774</v>
      </c>
      <c r="O49" s="197">
        <f t="shared" si="84"/>
        <v>238.39902127759154</v>
      </c>
      <c r="P49" s="197">
        <f t="shared" si="85"/>
        <v>302.36172719928845</v>
      </c>
      <c r="Q49" s="197">
        <f t="shared" si="86"/>
        <v>171.72723556864929</v>
      </c>
      <c r="R49" s="199">
        <f t="shared" si="87"/>
        <v>410.12625684624084</v>
      </c>
      <c r="S49" s="196">
        <f t="shared" si="132"/>
        <v>5741.5759211507057</v>
      </c>
      <c r="T49" s="197">
        <f t="shared" si="88"/>
        <v>3383.3659574136159</v>
      </c>
      <c r="U49" s="197">
        <f t="shared" si="88"/>
        <v>6990.3916124002517</v>
      </c>
      <c r="V49" s="197">
        <f t="shared" si="88"/>
        <v>-1248.8156912495458</v>
      </c>
      <c r="W49" s="199">
        <f t="shared" si="88"/>
        <v>2134.5502661640694</v>
      </c>
      <c r="Y49" s="204">
        <f t="shared" si="133"/>
        <v>12</v>
      </c>
      <c r="Z49" s="197">
        <f>'Energy NPV'!$D102</f>
        <v>15</v>
      </c>
      <c r="AA49" s="197">
        <f>'Energy margins'!$Z$12</f>
        <v>43.75</v>
      </c>
      <c r="AB49" s="197">
        <f t="shared" si="134"/>
        <v>656.25</v>
      </c>
      <c r="AC49" s="197">
        <f>'Margins summary'!$W$14</f>
        <v>330</v>
      </c>
      <c r="AD49" s="197">
        <f t="shared" si="89"/>
        <v>986.25</v>
      </c>
      <c r="AE49" s="197"/>
      <c r="AF49" s="918">
        <f>'Energy NPV'!U102</f>
        <v>418.53934399999991</v>
      </c>
      <c r="AG49" s="197"/>
      <c r="AH49" s="197">
        <f t="shared" si="90"/>
        <v>418.53934399999991</v>
      </c>
      <c r="AI49" s="197">
        <f t="shared" si="73"/>
        <v>237.71065600000009</v>
      </c>
      <c r="AJ49" s="197">
        <f t="shared" si="74"/>
        <v>567.71065600000009</v>
      </c>
      <c r="AK49" s="196">
        <f t="shared" si="91"/>
        <v>404.38042232747932</v>
      </c>
      <c r="AL49" s="197">
        <f t="shared" si="92"/>
        <v>203.34558379896103</v>
      </c>
      <c r="AM49" s="197">
        <f t="shared" si="93"/>
        <v>257.90341590458837</v>
      </c>
      <c r="AN49" s="197">
        <f t="shared" si="94"/>
        <v>146.47700642289095</v>
      </c>
      <c r="AO49" s="199">
        <f t="shared" si="95"/>
        <v>349.82259022185201</v>
      </c>
      <c r="AP49" s="196">
        <f t="shared" si="135"/>
        <v>5272.8320947640677</v>
      </c>
      <c r="AQ49" s="197">
        <f t="shared" si="96"/>
        <v>3144.5425822453167</v>
      </c>
      <c r="AR49" s="197">
        <f t="shared" si="96"/>
        <v>6680.0685788176752</v>
      </c>
      <c r="AS49" s="197">
        <f t="shared" si="96"/>
        <v>-1407.2364840536065</v>
      </c>
      <c r="AT49" s="199">
        <f t="shared" si="96"/>
        <v>1737.3060981917097</v>
      </c>
      <c r="AV49" s="204">
        <f t="shared" si="136"/>
        <v>12</v>
      </c>
      <c r="AW49" s="197">
        <f>'Energy NPV'!$D102</f>
        <v>15</v>
      </c>
      <c r="AX49" s="197">
        <f>'Energy margins'!$Z$12</f>
        <v>43.75</v>
      </c>
      <c r="AY49" s="197">
        <f t="shared" si="137"/>
        <v>656.25</v>
      </c>
      <c r="AZ49" s="197">
        <f>'Margins summary'!$W$14</f>
        <v>330</v>
      </c>
      <c r="BA49" s="197">
        <f t="shared" si="97"/>
        <v>986.25</v>
      </c>
      <c r="BB49" s="197"/>
      <c r="BC49" s="918">
        <f>'Energy NPV'!U102</f>
        <v>418.53934399999991</v>
      </c>
      <c r="BD49" s="197"/>
      <c r="BE49" s="197">
        <f t="shared" si="98"/>
        <v>418.53934399999991</v>
      </c>
      <c r="BF49" s="197">
        <f t="shared" si="75"/>
        <v>237.71065600000009</v>
      </c>
      <c r="BG49" s="197">
        <f t="shared" si="76"/>
        <v>567.71065600000009</v>
      </c>
      <c r="BH49" s="196">
        <f t="shared" si="99"/>
        <v>557.11243430313664</v>
      </c>
      <c r="BI49" s="197">
        <f t="shared" si="100"/>
        <v>280.14796696386304</v>
      </c>
      <c r="BJ49" s="197">
        <f t="shared" si="101"/>
        <v>355.31195853329962</v>
      </c>
      <c r="BK49" s="197">
        <f t="shared" si="102"/>
        <v>201.80047576983705</v>
      </c>
      <c r="BL49" s="199">
        <f t="shared" si="103"/>
        <v>481.94844273370006</v>
      </c>
      <c r="BM49" s="196">
        <f t="shared" si="138"/>
        <v>6272.287333054438</v>
      </c>
      <c r="BN49" s="197">
        <f t="shared" si="104"/>
        <v>3653.4688690758285</v>
      </c>
      <c r="BO49" s="197">
        <f t="shared" si="105"/>
        <v>7340.6797463551084</v>
      </c>
      <c r="BP49" s="197">
        <f t="shared" si="106"/>
        <v>-1068.3924133006719</v>
      </c>
      <c r="BQ49" s="199">
        <f t="shared" si="107"/>
        <v>2585.0764557751568</v>
      </c>
      <c r="BS49" s="204">
        <f t="shared" si="139"/>
        <v>12</v>
      </c>
      <c r="BT49" s="197">
        <f>'Energy NPV'!$D102</f>
        <v>15</v>
      </c>
      <c r="BU49" s="197">
        <f>'Energy margins'!$Z$12</f>
        <v>43.75</v>
      </c>
      <c r="BV49" s="197">
        <f t="shared" si="140"/>
        <v>656.25</v>
      </c>
      <c r="BW49" s="197">
        <f>'Margins summary'!$W$14</f>
        <v>330</v>
      </c>
      <c r="BX49" s="197">
        <f t="shared" si="108"/>
        <v>986.25</v>
      </c>
      <c r="BY49" s="197"/>
      <c r="BZ49" s="918">
        <f>'Energy NPV'!U102</f>
        <v>418.53934399999991</v>
      </c>
      <c r="CA49" s="197"/>
      <c r="CB49" s="197">
        <f t="shared" si="109"/>
        <v>418.53934399999991</v>
      </c>
      <c r="CC49" s="197">
        <f t="shared" si="77"/>
        <v>237.71065600000009</v>
      </c>
      <c r="CD49" s="197">
        <f t="shared" si="78"/>
        <v>567.71065600000009</v>
      </c>
      <c r="CE49" s="196">
        <f t="shared" si="110"/>
        <v>345.70431353825097</v>
      </c>
      <c r="CF49" s="197">
        <f t="shared" si="111"/>
        <v>173.83988337923478</v>
      </c>
      <c r="CG49" s="197">
        <f t="shared" si="112"/>
        <v>220.48130530479216</v>
      </c>
      <c r="CH49" s="197">
        <f t="shared" si="113"/>
        <v>125.22300823345883</v>
      </c>
      <c r="CI49" s="199">
        <f t="shared" si="114"/>
        <v>299.06289161269359</v>
      </c>
      <c r="CJ49" s="196">
        <f t="shared" si="141"/>
        <v>4857.4573280608529</v>
      </c>
      <c r="CK49" s="197">
        <f t="shared" si="115"/>
        <v>2932.6686103460838</v>
      </c>
      <c r="CL49" s="197">
        <f t="shared" si="116"/>
        <v>6404.2032833902804</v>
      </c>
      <c r="CM49" s="197">
        <f t="shared" si="117"/>
        <v>-1546.7459553294273</v>
      </c>
      <c r="CN49" s="199">
        <f t="shared" si="118"/>
        <v>1385.9226550166566</v>
      </c>
      <c r="CP49" s="204">
        <f t="shared" si="142"/>
        <v>12</v>
      </c>
      <c r="CQ49" s="197">
        <f>'Energy NPV'!$D102</f>
        <v>15</v>
      </c>
      <c r="CR49" s="197">
        <f>'Energy margins'!$Z$12</f>
        <v>43.75</v>
      </c>
      <c r="CS49" s="197">
        <f t="shared" si="143"/>
        <v>656.25</v>
      </c>
      <c r="CT49" s="197">
        <f>'Margins summary'!$W$14</f>
        <v>330</v>
      </c>
      <c r="CU49" s="197">
        <f t="shared" si="119"/>
        <v>986.25</v>
      </c>
      <c r="CV49" s="197"/>
      <c r="CW49" s="918">
        <f>'Energy NPV'!U102</f>
        <v>418.53934399999991</v>
      </c>
      <c r="CX49" s="197"/>
      <c r="CY49" s="197">
        <f t="shared" si="120"/>
        <v>418.53934399999991</v>
      </c>
      <c r="CZ49" s="197">
        <f t="shared" si="79"/>
        <v>237.71065600000009</v>
      </c>
      <c r="DA49" s="197">
        <f t="shared" si="80"/>
        <v>567.71065600000009</v>
      </c>
      <c r="DB49" s="196">
        <f t="shared" si="121"/>
        <v>656.25</v>
      </c>
      <c r="DC49" s="197">
        <f t="shared" si="122"/>
        <v>330</v>
      </c>
      <c r="DD49" s="197">
        <f t="shared" si="123"/>
        <v>418.53934399999991</v>
      </c>
      <c r="DE49" s="197">
        <f t="shared" si="124"/>
        <v>237.71065600000009</v>
      </c>
      <c r="DF49" s="199">
        <f t="shared" si="125"/>
        <v>567.71065600000009</v>
      </c>
      <c r="DG49" s="196">
        <f t="shared" si="144"/>
        <v>6875.1917177914111</v>
      </c>
      <c r="DH49" s="197">
        <f t="shared" si="126"/>
        <v>3960</v>
      </c>
      <c r="DI49" s="197">
        <f t="shared" si="127"/>
        <v>7737.4796279999982</v>
      </c>
      <c r="DJ49" s="197">
        <f t="shared" si="128"/>
        <v>-862.28791020858682</v>
      </c>
      <c r="DK49" s="199">
        <f t="shared" si="129"/>
        <v>3097.7120897914128</v>
      </c>
    </row>
    <row r="50" spans="2:129" x14ac:dyDescent="0.3">
      <c r="B50" s="204">
        <f t="shared" si="130"/>
        <v>13</v>
      </c>
      <c r="C50" s="197">
        <f>'Energy NPV'!$D103</f>
        <v>15</v>
      </c>
      <c r="D50" s="197">
        <f>'Energy margins'!$Z$12</f>
        <v>43.75</v>
      </c>
      <c r="E50" s="197">
        <f t="shared" si="131"/>
        <v>656.25</v>
      </c>
      <c r="F50" s="197">
        <f>'Margins summary'!$W$14</f>
        <v>330</v>
      </c>
      <c r="G50" s="197">
        <f t="shared" si="81"/>
        <v>986.25</v>
      </c>
      <c r="H50" s="197"/>
      <c r="I50" s="918">
        <f>'Energy NPV'!U103</f>
        <v>418.53934399999991</v>
      </c>
      <c r="J50" s="197"/>
      <c r="K50" s="197">
        <f t="shared" si="82"/>
        <v>418.53934399999991</v>
      </c>
      <c r="L50" s="197">
        <f t="shared" si="71"/>
        <v>237.71065600000009</v>
      </c>
      <c r="M50" s="197">
        <f t="shared" si="72"/>
        <v>567.71065600000009</v>
      </c>
      <c r="N50" s="196">
        <f t="shared" si="83"/>
        <v>460.28054637663865</v>
      </c>
      <c r="O50" s="197">
        <f t="shared" si="84"/>
        <v>231.45536046368116</v>
      </c>
      <c r="P50" s="197">
        <f t="shared" si="85"/>
        <v>293.55507495076552</v>
      </c>
      <c r="Q50" s="197">
        <f t="shared" si="86"/>
        <v>166.72547142587314</v>
      </c>
      <c r="R50" s="199">
        <f t="shared" si="87"/>
        <v>398.18083188955427</v>
      </c>
      <c r="S50" s="196">
        <f t="shared" si="132"/>
        <v>6201.8564675273446</v>
      </c>
      <c r="T50" s="197">
        <f t="shared" si="88"/>
        <v>3614.8213178772971</v>
      </c>
      <c r="U50" s="197">
        <f t="shared" si="88"/>
        <v>7283.9466873510173</v>
      </c>
      <c r="V50" s="197">
        <f t="shared" si="88"/>
        <v>-1082.0902198236727</v>
      </c>
      <c r="W50" s="199">
        <f t="shared" si="88"/>
        <v>2532.7310980536236</v>
      </c>
      <c r="Y50" s="204">
        <f t="shared" si="133"/>
        <v>13</v>
      </c>
      <c r="Z50" s="197">
        <f>'Energy NPV'!$D103</f>
        <v>15</v>
      </c>
      <c r="AA50" s="197">
        <f>'Energy margins'!$Z$12</f>
        <v>43.75</v>
      </c>
      <c r="AB50" s="197">
        <f t="shared" si="134"/>
        <v>656.25</v>
      </c>
      <c r="AC50" s="197">
        <f>'Margins summary'!$W$14</f>
        <v>330</v>
      </c>
      <c r="AD50" s="197">
        <f t="shared" si="89"/>
        <v>986.25</v>
      </c>
      <c r="AE50" s="197"/>
      <c r="AF50" s="918">
        <f>'Energy NPV'!U103</f>
        <v>418.53934399999991</v>
      </c>
      <c r="AG50" s="197"/>
      <c r="AH50" s="197">
        <f t="shared" si="90"/>
        <v>418.53934399999991</v>
      </c>
      <c r="AI50" s="197">
        <f t="shared" si="73"/>
        <v>237.71065600000009</v>
      </c>
      <c r="AJ50" s="197">
        <f t="shared" si="74"/>
        <v>567.71065600000009</v>
      </c>
      <c r="AK50" s="196">
        <f t="shared" si="91"/>
        <v>386.96691131816215</v>
      </c>
      <c r="AL50" s="197">
        <f t="shared" si="92"/>
        <v>194.58907540570439</v>
      </c>
      <c r="AM50" s="197">
        <f t="shared" si="93"/>
        <v>246.79752718142433</v>
      </c>
      <c r="AN50" s="197">
        <f t="shared" si="94"/>
        <v>140.16938413673779</v>
      </c>
      <c r="AO50" s="199">
        <f t="shared" si="95"/>
        <v>334.75845954244215</v>
      </c>
      <c r="AP50" s="196">
        <f t="shared" si="135"/>
        <v>5659.7990060822303</v>
      </c>
      <c r="AQ50" s="197">
        <f t="shared" si="96"/>
        <v>3339.1316576510212</v>
      </c>
      <c r="AR50" s="197">
        <f t="shared" si="96"/>
        <v>6926.8661059990991</v>
      </c>
      <c r="AS50" s="197">
        <f t="shared" si="96"/>
        <v>-1267.0670999168688</v>
      </c>
      <c r="AT50" s="199">
        <f t="shared" si="96"/>
        <v>2072.064557734152</v>
      </c>
      <c r="AV50" s="204">
        <f t="shared" si="136"/>
        <v>13</v>
      </c>
      <c r="AW50" s="197">
        <f>'Energy NPV'!$D103</f>
        <v>15</v>
      </c>
      <c r="AX50" s="197">
        <f>'Energy margins'!$Z$12</f>
        <v>43.75</v>
      </c>
      <c r="AY50" s="197">
        <f t="shared" si="137"/>
        <v>656.25</v>
      </c>
      <c r="AZ50" s="197">
        <f>'Margins summary'!$W$14</f>
        <v>330</v>
      </c>
      <c r="BA50" s="197">
        <f t="shared" si="97"/>
        <v>986.25</v>
      </c>
      <c r="BB50" s="197"/>
      <c r="BC50" s="918">
        <f>'Energy NPV'!U103</f>
        <v>418.53934399999991</v>
      </c>
      <c r="BD50" s="197"/>
      <c r="BE50" s="197">
        <f t="shared" si="98"/>
        <v>418.53934399999991</v>
      </c>
      <c r="BF50" s="197">
        <f t="shared" si="75"/>
        <v>237.71065600000009</v>
      </c>
      <c r="BG50" s="197">
        <f t="shared" si="76"/>
        <v>567.71065600000009</v>
      </c>
      <c r="BH50" s="196">
        <f t="shared" si="99"/>
        <v>548.87924561885404</v>
      </c>
      <c r="BI50" s="197">
        <f t="shared" si="100"/>
        <v>276.00784922548087</v>
      </c>
      <c r="BJ50" s="197">
        <f t="shared" si="101"/>
        <v>350.06104288995044</v>
      </c>
      <c r="BK50" s="197">
        <f t="shared" si="102"/>
        <v>198.81820272890354</v>
      </c>
      <c r="BL50" s="199">
        <f t="shared" si="103"/>
        <v>474.82605195438441</v>
      </c>
      <c r="BM50" s="196">
        <f t="shared" si="138"/>
        <v>6821.166578673292</v>
      </c>
      <c r="BN50" s="197">
        <f t="shared" si="104"/>
        <v>3929.4767183013091</v>
      </c>
      <c r="BO50" s="197">
        <f t="shared" si="105"/>
        <v>7690.7407892450592</v>
      </c>
      <c r="BP50" s="197">
        <f t="shared" si="106"/>
        <v>-869.57421057176839</v>
      </c>
      <c r="BQ50" s="199">
        <f t="shared" si="107"/>
        <v>3059.902507729541</v>
      </c>
      <c r="BS50" s="204">
        <f t="shared" si="139"/>
        <v>13</v>
      </c>
      <c r="BT50" s="197">
        <f>'Energy NPV'!$D103</f>
        <v>15</v>
      </c>
      <c r="BU50" s="197">
        <f>'Energy margins'!$Z$12</f>
        <v>43.75</v>
      </c>
      <c r="BV50" s="197">
        <f t="shared" si="140"/>
        <v>656.25</v>
      </c>
      <c r="BW50" s="197">
        <f>'Margins summary'!$W$14</f>
        <v>330</v>
      </c>
      <c r="BX50" s="197">
        <f t="shared" si="108"/>
        <v>986.25</v>
      </c>
      <c r="BY50" s="197"/>
      <c r="BZ50" s="918">
        <f>'Energy NPV'!U103</f>
        <v>418.53934399999991</v>
      </c>
      <c r="CA50" s="197"/>
      <c r="CB50" s="197">
        <f t="shared" si="109"/>
        <v>418.53934399999991</v>
      </c>
      <c r="CC50" s="197">
        <f t="shared" si="77"/>
        <v>237.71065600000009</v>
      </c>
      <c r="CD50" s="197">
        <f t="shared" si="78"/>
        <v>567.71065600000009</v>
      </c>
      <c r="CE50" s="196">
        <f t="shared" si="110"/>
        <v>326.13614484740657</v>
      </c>
      <c r="CF50" s="197">
        <f t="shared" si="111"/>
        <v>163.99988998041016</v>
      </c>
      <c r="CG50" s="197">
        <f t="shared" si="112"/>
        <v>208.00123141961524</v>
      </c>
      <c r="CH50" s="197">
        <f t="shared" si="113"/>
        <v>118.13491342779133</v>
      </c>
      <c r="CI50" s="199">
        <f t="shared" si="114"/>
        <v>282.13480340820149</v>
      </c>
      <c r="CJ50" s="196">
        <f t="shared" si="141"/>
        <v>5183.5934729082592</v>
      </c>
      <c r="CK50" s="197">
        <f t="shared" si="115"/>
        <v>3096.6685003264938</v>
      </c>
      <c r="CL50" s="197">
        <f t="shared" si="116"/>
        <v>6612.204514809896</v>
      </c>
      <c r="CM50" s="197">
        <f t="shared" si="117"/>
        <v>-1428.6110419016359</v>
      </c>
      <c r="CN50" s="199">
        <f t="shared" si="118"/>
        <v>1668.0574584248579</v>
      </c>
      <c r="CP50" s="204">
        <f t="shared" si="142"/>
        <v>13</v>
      </c>
      <c r="CQ50" s="197">
        <f>'Energy NPV'!$D103</f>
        <v>15</v>
      </c>
      <c r="CR50" s="197">
        <f>'Energy margins'!$Z$12</f>
        <v>43.75</v>
      </c>
      <c r="CS50" s="197">
        <f t="shared" si="143"/>
        <v>656.25</v>
      </c>
      <c r="CT50" s="197">
        <f>'Margins summary'!$W$14</f>
        <v>330</v>
      </c>
      <c r="CU50" s="197">
        <f t="shared" si="119"/>
        <v>986.25</v>
      </c>
      <c r="CV50" s="197"/>
      <c r="CW50" s="918">
        <f>'Energy NPV'!U103</f>
        <v>418.53934399999991</v>
      </c>
      <c r="CX50" s="197"/>
      <c r="CY50" s="197">
        <f t="shared" si="120"/>
        <v>418.53934399999991</v>
      </c>
      <c r="CZ50" s="197">
        <f t="shared" si="79"/>
        <v>237.71065600000009</v>
      </c>
      <c r="DA50" s="197">
        <f t="shared" si="80"/>
        <v>567.71065600000009</v>
      </c>
      <c r="DB50" s="196">
        <f t="shared" si="121"/>
        <v>656.25</v>
      </c>
      <c r="DC50" s="197">
        <f t="shared" si="122"/>
        <v>330</v>
      </c>
      <c r="DD50" s="197">
        <f t="shared" si="123"/>
        <v>418.53934399999991</v>
      </c>
      <c r="DE50" s="197">
        <f t="shared" si="124"/>
        <v>237.71065600000009</v>
      </c>
      <c r="DF50" s="199">
        <f t="shared" si="125"/>
        <v>567.71065600000009</v>
      </c>
      <c r="DG50" s="196">
        <f t="shared" si="144"/>
        <v>7531.4417177914111</v>
      </c>
      <c r="DH50" s="197">
        <f t="shared" si="126"/>
        <v>4290</v>
      </c>
      <c r="DI50" s="197">
        <f t="shared" si="127"/>
        <v>8156.018971999998</v>
      </c>
      <c r="DJ50" s="197">
        <f t="shared" si="128"/>
        <v>-624.57725420858674</v>
      </c>
      <c r="DK50" s="199">
        <f t="shared" si="129"/>
        <v>3665.422745791413</v>
      </c>
    </row>
    <row r="51" spans="2:129" x14ac:dyDescent="0.3">
      <c r="B51" s="204">
        <f t="shared" si="130"/>
        <v>14</v>
      </c>
      <c r="C51" s="197">
        <f>'Energy NPV'!$D104</f>
        <v>15</v>
      </c>
      <c r="D51" s="197">
        <f>'Energy margins'!$Z$12</f>
        <v>43.75</v>
      </c>
      <c r="E51" s="197">
        <f t="shared" si="131"/>
        <v>656.25</v>
      </c>
      <c r="F51" s="197">
        <f>'Margins summary'!$W$14</f>
        <v>330</v>
      </c>
      <c r="G51" s="197">
        <f t="shared" si="81"/>
        <v>986.25</v>
      </c>
      <c r="H51" s="197"/>
      <c r="I51" s="918">
        <f>'Energy NPV'!U104</f>
        <v>418.53934399999991</v>
      </c>
      <c r="J51" s="197"/>
      <c r="K51" s="197">
        <f t="shared" si="82"/>
        <v>418.53934399999991</v>
      </c>
      <c r="L51" s="197">
        <f t="shared" si="71"/>
        <v>237.71065600000009</v>
      </c>
      <c r="M51" s="197">
        <f t="shared" si="72"/>
        <v>567.71065600000009</v>
      </c>
      <c r="N51" s="196">
        <f t="shared" si="83"/>
        <v>446.87431687052299</v>
      </c>
      <c r="O51" s="197">
        <f t="shared" si="84"/>
        <v>224.71394219774871</v>
      </c>
      <c r="P51" s="197">
        <f t="shared" si="85"/>
        <v>285.00492713666557</v>
      </c>
      <c r="Q51" s="197">
        <f t="shared" si="86"/>
        <v>161.86938973385742</v>
      </c>
      <c r="R51" s="199">
        <f t="shared" si="87"/>
        <v>386.5833319316061</v>
      </c>
      <c r="S51" s="196">
        <f t="shared" si="132"/>
        <v>6648.7307843978679</v>
      </c>
      <c r="T51" s="197">
        <f t="shared" si="88"/>
        <v>3839.5352600750457</v>
      </c>
      <c r="U51" s="197">
        <f t="shared" si="88"/>
        <v>7568.9516144876825</v>
      </c>
      <c r="V51" s="197">
        <f t="shared" si="88"/>
        <v>-920.22083008981531</v>
      </c>
      <c r="W51" s="199">
        <f t="shared" si="88"/>
        <v>2919.3144299852297</v>
      </c>
      <c r="Y51" s="204">
        <f t="shared" si="133"/>
        <v>14</v>
      </c>
      <c r="Z51" s="197">
        <f>'Energy NPV'!$D104</f>
        <v>15</v>
      </c>
      <c r="AA51" s="197">
        <f>'Energy margins'!$Z$12</f>
        <v>43.75</v>
      </c>
      <c r="AB51" s="197">
        <f t="shared" si="134"/>
        <v>656.25</v>
      </c>
      <c r="AC51" s="197">
        <f>'Margins summary'!$W$14</f>
        <v>330</v>
      </c>
      <c r="AD51" s="197">
        <f t="shared" si="89"/>
        <v>986.25</v>
      </c>
      <c r="AE51" s="197"/>
      <c r="AF51" s="918">
        <f>'Energy NPV'!U104</f>
        <v>418.53934399999991</v>
      </c>
      <c r="AG51" s="197"/>
      <c r="AH51" s="197">
        <f t="shared" si="90"/>
        <v>418.53934399999991</v>
      </c>
      <c r="AI51" s="197">
        <f t="shared" si="73"/>
        <v>237.71065600000009</v>
      </c>
      <c r="AJ51" s="197">
        <f t="shared" si="74"/>
        <v>567.71065600000009</v>
      </c>
      <c r="AK51" s="196">
        <f t="shared" si="91"/>
        <v>370.3032644192939</v>
      </c>
      <c r="AL51" s="197">
        <f t="shared" si="92"/>
        <v>186.20964153655922</v>
      </c>
      <c r="AM51" s="197">
        <f t="shared" si="93"/>
        <v>236.16988247026251</v>
      </c>
      <c r="AN51" s="197">
        <f t="shared" si="94"/>
        <v>134.13338194903136</v>
      </c>
      <c r="AO51" s="199">
        <f t="shared" si="95"/>
        <v>320.34302348559055</v>
      </c>
      <c r="AP51" s="196">
        <f t="shared" si="135"/>
        <v>6030.1022705015239</v>
      </c>
      <c r="AQ51" s="197">
        <f t="shared" si="96"/>
        <v>3525.3412991875803</v>
      </c>
      <c r="AR51" s="197">
        <f t="shared" si="96"/>
        <v>7163.0359884693617</v>
      </c>
      <c r="AS51" s="197">
        <f t="shared" si="96"/>
        <v>-1132.9337179678373</v>
      </c>
      <c r="AT51" s="199">
        <f t="shared" si="96"/>
        <v>2392.4075812197425</v>
      </c>
      <c r="AV51" s="204">
        <f t="shared" si="136"/>
        <v>14</v>
      </c>
      <c r="AW51" s="197">
        <f>'Energy NPV'!$D104</f>
        <v>15</v>
      </c>
      <c r="AX51" s="197">
        <f>'Energy margins'!$Z$12</f>
        <v>43.75</v>
      </c>
      <c r="AY51" s="197">
        <f t="shared" si="137"/>
        <v>656.25</v>
      </c>
      <c r="AZ51" s="197">
        <f>'Margins summary'!$W$14</f>
        <v>330</v>
      </c>
      <c r="BA51" s="197">
        <f t="shared" si="97"/>
        <v>986.25</v>
      </c>
      <c r="BB51" s="197"/>
      <c r="BC51" s="918">
        <f>'Energy NPV'!U104</f>
        <v>418.53934399999991</v>
      </c>
      <c r="BD51" s="197"/>
      <c r="BE51" s="197">
        <f t="shared" si="98"/>
        <v>418.53934399999991</v>
      </c>
      <c r="BF51" s="197">
        <f t="shared" si="75"/>
        <v>237.71065600000009</v>
      </c>
      <c r="BG51" s="197">
        <f t="shared" si="76"/>
        <v>567.71065600000009</v>
      </c>
      <c r="BH51" s="196">
        <f t="shared" si="99"/>
        <v>540.76772967374779</v>
      </c>
      <c r="BI51" s="197">
        <f t="shared" si="100"/>
        <v>271.92891549308462</v>
      </c>
      <c r="BJ51" s="197">
        <f t="shared" si="101"/>
        <v>344.88772698517289</v>
      </c>
      <c r="BK51" s="197">
        <f t="shared" si="102"/>
        <v>195.88000268857493</v>
      </c>
      <c r="BL51" s="199">
        <f t="shared" si="103"/>
        <v>467.80891818165952</v>
      </c>
      <c r="BM51" s="196">
        <f t="shared" si="138"/>
        <v>7361.9343083470394</v>
      </c>
      <c r="BN51" s="197">
        <f t="shared" si="104"/>
        <v>4201.4056337943939</v>
      </c>
      <c r="BO51" s="197">
        <f t="shared" si="105"/>
        <v>8035.628516230232</v>
      </c>
      <c r="BP51" s="197">
        <f t="shared" si="106"/>
        <v>-673.69420788319349</v>
      </c>
      <c r="BQ51" s="199">
        <f t="shared" si="107"/>
        <v>3527.7114259112004</v>
      </c>
      <c r="BS51" s="204">
        <f t="shared" si="139"/>
        <v>14</v>
      </c>
      <c r="BT51" s="197">
        <f>'Energy NPV'!$D104</f>
        <v>15</v>
      </c>
      <c r="BU51" s="197">
        <f>'Energy margins'!$Z$12</f>
        <v>43.75</v>
      </c>
      <c r="BV51" s="197">
        <f t="shared" si="140"/>
        <v>656.25</v>
      </c>
      <c r="BW51" s="197">
        <f>'Margins summary'!$W$14</f>
        <v>330</v>
      </c>
      <c r="BX51" s="197">
        <f t="shared" si="108"/>
        <v>986.25</v>
      </c>
      <c r="BY51" s="197"/>
      <c r="BZ51" s="918">
        <f>'Energy NPV'!U104</f>
        <v>418.53934399999991</v>
      </c>
      <c r="CA51" s="197"/>
      <c r="CB51" s="197">
        <f t="shared" si="109"/>
        <v>418.53934399999991</v>
      </c>
      <c r="CC51" s="197">
        <f t="shared" si="77"/>
        <v>237.71065600000009</v>
      </c>
      <c r="CD51" s="197">
        <f t="shared" si="78"/>
        <v>567.71065600000009</v>
      </c>
      <c r="CE51" s="196">
        <f t="shared" si="110"/>
        <v>307.67560834660992</v>
      </c>
      <c r="CF51" s="197">
        <f t="shared" si="111"/>
        <v>154.71687734000957</v>
      </c>
      <c r="CG51" s="197">
        <f t="shared" si="112"/>
        <v>196.22757681095774</v>
      </c>
      <c r="CH51" s="197">
        <f t="shared" si="113"/>
        <v>111.44803153565219</v>
      </c>
      <c r="CI51" s="199">
        <f t="shared" si="114"/>
        <v>266.16490887566175</v>
      </c>
      <c r="CJ51" s="196">
        <f t="shared" si="141"/>
        <v>5491.269081254869</v>
      </c>
      <c r="CK51" s="197">
        <f t="shared" si="115"/>
        <v>3251.3853776665032</v>
      </c>
      <c r="CL51" s="197">
        <f t="shared" si="116"/>
        <v>6808.4320916208535</v>
      </c>
      <c r="CM51" s="197">
        <f t="shared" si="117"/>
        <v>-1317.1630103659836</v>
      </c>
      <c r="CN51" s="199">
        <f t="shared" si="118"/>
        <v>1934.2223673005196</v>
      </c>
      <c r="CP51" s="204">
        <f t="shared" si="142"/>
        <v>14</v>
      </c>
      <c r="CQ51" s="197">
        <f>'Energy NPV'!$D104</f>
        <v>15</v>
      </c>
      <c r="CR51" s="197">
        <f>'Energy margins'!$Z$12</f>
        <v>43.75</v>
      </c>
      <c r="CS51" s="197">
        <f t="shared" si="143"/>
        <v>656.25</v>
      </c>
      <c r="CT51" s="197">
        <f>'Margins summary'!$W$14</f>
        <v>330</v>
      </c>
      <c r="CU51" s="197">
        <f t="shared" si="119"/>
        <v>986.25</v>
      </c>
      <c r="CV51" s="197"/>
      <c r="CW51" s="918">
        <f>'Energy NPV'!U104</f>
        <v>418.53934399999991</v>
      </c>
      <c r="CX51" s="197"/>
      <c r="CY51" s="197">
        <f t="shared" si="120"/>
        <v>418.53934399999991</v>
      </c>
      <c r="CZ51" s="197">
        <f t="shared" si="79"/>
        <v>237.71065600000009</v>
      </c>
      <c r="DA51" s="197">
        <f t="shared" si="80"/>
        <v>567.71065600000009</v>
      </c>
      <c r="DB51" s="196">
        <f t="shared" si="121"/>
        <v>656.25</v>
      </c>
      <c r="DC51" s="197">
        <f t="shared" si="122"/>
        <v>330</v>
      </c>
      <c r="DD51" s="197">
        <f t="shared" si="123"/>
        <v>418.53934399999991</v>
      </c>
      <c r="DE51" s="197">
        <f t="shared" si="124"/>
        <v>237.71065600000009</v>
      </c>
      <c r="DF51" s="199">
        <f t="shared" si="125"/>
        <v>567.71065600000009</v>
      </c>
      <c r="DG51" s="196">
        <f t="shared" si="144"/>
        <v>8187.6917177914111</v>
      </c>
      <c r="DH51" s="197">
        <f t="shared" si="126"/>
        <v>4620</v>
      </c>
      <c r="DI51" s="197">
        <f t="shared" si="127"/>
        <v>8574.5583159999987</v>
      </c>
      <c r="DJ51" s="197">
        <f t="shared" si="128"/>
        <v>-386.86659820858665</v>
      </c>
      <c r="DK51" s="199">
        <f t="shared" si="129"/>
        <v>4233.1334017914132</v>
      </c>
    </row>
    <row r="52" spans="2:129" x14ac:dyDescent="0.3">
      <c r="B52" s="204">
        <f t="shared" si="130"/>
        <v>15</v>
      </c>
      <c r="C52" s="197">
        <f>'Energy NPV'!$D105</f>
        <v>15</v>
      </c>
      <c r="D52" s="197">
        <f>'Energy margins'!$Z$12</f>
        <v>43.75</v>
      </c>
      <c r="E52" s="197">
        <f t="shared" si="131"/>
        <v>656.25</v>
      </c>
      <c r="F52" s="197">
        <f>'Margins summary'!$W$14</f>
        <v>330</v>
      </c>
      <c r="G52" s="197">
        <f t="shared" si="81"/>
        <v>986.25</v>
      </c>
      <c r="H52" s="197"/>
      <c r="I52" s="918">
        <f>'Energy NPV'!U105</f>
        <v>418.53934399999991</v>
      </c>
      <c r="J52" s="197"/>
      <c r="K52" s="197">
        <f t="shared" si="82"/>
        <v>418.53934399999991</v>
      </c>
      <c r="L52" s="197">
        <f t="shared" si="71"/>
        <v>237.71065600000009</v>
      </c>
      <c r="M52" s="197">
        <f t="shared" si="72"/>
        <v>567.71065600000009</v>
      </c>
      <c r="N52" s="196">
        <f t="shared" si="83"/>
        <v>433.85856006846888</v>
      </c>
      <c r="O52" s="197">
        <f t="shared" si="84"/>
        <v>218.16887592014436</v>
      </c>
      <c r="P52" s="197">
        <f t="shared" si="85"/>
        <v>276.70381275404424</v>
      </c>
      <c r="Q52" s="197">
        <f t="shared" si="86"/>
        <v>157.15474731442467</v>
      </c>
      <c r="R52" s="199">
        <f t="shared" si="87"/>
        <v>375.32362323456903</v>
      </c>
      <c r="S52" s="196">
        <f t="shared" si="132"/>
        <v>7082.589344466337</v>
      </c>
      <c r="T52" s="197">
        <f t="shared" si="88"/>
        <v>4057.70413599519</v>
      </c>
      <c r="U52" s="197">
        <f t="shared" si="88"/>
        <v>7845.655427241727</v>
      </c>
      <c r="V52" s="197">
        <f t="shared" si="88"/>
        <v>-763.06608277539067</v>
      </c>
      <c r="W52" s="199">
        <f t="shared" si="88"/>
        <v>3294.6380532197986</v>
      </c>
      <c r="Y52" s="204">
        <f t="shared" si="133"/>
        <v>15</v>
      </c>
      <c r="Z52" s="197">
        <f>'Energy NPV'!$D105</f>
        <v>15</v>
      </c>
      <c r="AA52" s="197">
        <f>'Energy margins'!$Z$12</f>
        <v>43.75</v>
      </c>
      <c r="AB52" s="197">
        <f t="shared" si="134"/>
        <v>656.25</v>
      </c>
      <c r="AC52" s="197">
        <f>'Margins summary'!$W$14</f>
        <v>330</v>
      </c>
      <c r="AD52" s="197">
        <f t="shared" si="89"/>
        <v>986.25</v>
      </c>
      <c r="AE52" s="197"/>
      <c r="AF52" s="918">
        <f>'Energy NPV'!U105</f>
        <v>418.53934399999991</v>
      </c>
      <c r="AG52" s="197"/>
      <c r="AH52" s="197">
        <f t="shared" si="90"/>
        <v>418.53934399999991</v>
      </c>
      <c r="AI52" s="197">
        <f t="shared" si="73"/>
        <v>237.71065600000009</v>
      </c>
      <c r="AJ52" s="197">
        <f t="shared" si="74"/>
        <v>567.71065600000009</v>
      </c>
      <c r="AK52" s="196">
        <f t="shared" si="91"/>
        <v>354.35719083186024</v>
      </c>
      <c r="AL52" s="197">
        <f t="shared" si="92"/>
        <v>178.1910445325926</v>
      </c>
      <c r="AM52" s="197">
        <f t="shared" si="93"/>
        <v>225.99988753135173</v>
      </c>
      <c r="AN52" s="197">
        <f t="shared" si="94"/>
        <v>128.35730330050853</v>
      </c>
      <c r="AO52" s="199">
        <f t="shared" si="95"/>
        <v>306.5483478331011</v>
      </c>
      <c r="AP52" s="196">
        <f t="shared" si="135"/>
        <v>6384.4594613333838</v>
      </c>
      <c r="AQ52" s="197">
        <f t="shared" si="96"/>
        <v>3703.5323437201728</v>
      </c>
      <c r="AR52" s="197">
        <f t="shared" si="96"/>
        <v>7389.035876000713</v>
      </c>
      <c r="AS52" s="197">
        <f t="shared" si="96"/>
        <v>-1004.5764146673288</v>
      </c>
      <c r="AT52" s="199">
        <f t="shared" si="96"/>
        <v>2698.9559290528437</v>
      </c>
      <c r="AV52" s="204">
        <f t="shared" si="136"/>
        <v>15</v>
      </c>
      <c r="AW52" s="197">
        <f>'Energy NPV'!$D105</f>
        <v>15</v>
      </c>
      <c r="AX52" s="197">
        <f>'Energy margins'!$Z$12</f>
        <v>43.75</v>
      </c>
      <c r="AY52" s="197">
        <f t="shared" si="137"/>
        <v>656.25</v>
      </c>
      <c r="AZ52" s="197">
        <f>'Margins summary'!$W$14</f>
        <v>330</v>
      </c>
      <c r="BA52" s="197">
        <f t="shared" si="97"/>
        <v>986.25</v>
      </c>
      <c r="BB52" s="197"/>
      <c r="BC52" s="918">
        <f>'Energy NPV'!U105</f>
        <v>418.53934399999991</v>
      </c>
      <c r="BD52" s="197"/>
      <c r="BE52" s="197">
        <f t="shared" si="98"/>
        <v>418.53934399999991</v>
      </c>
      <c r="BF52" s="197">
        <f t="shared" si="75"/>
        <v>237.71065600000009</v>
      </c>
      <c r="BG52" s="197">
        <f t="shared" si="76"/>
        <v>567.71065600000009</v>
      </c>
      <c r="BH52" s="196">
        <f t="shared" si="99"/>
        <v>532.77608834852015</v>
      </c>
      <c r="BI52" s="197">
        <f t="shared" si="100"/>
        <v>267.91026156954155</v>
      </c>
      <c r="BJ52" s="197">
        <f t="shared" si="101"/>
        <v>339.79086402480095</v>
      </c>
      <c r="BK52" s="197">
        <f t="shared" si="102"/>
        <v>192.98522432371919</v>
      </c>
      <c r="BL52" s="199">
        <f t="shared" si="103"/>
        <v>460.89548589326074</v>
      </c>
      <c r="BM52" s="196">
        <f t="shared" si="138"/>
        <v>7894.7103966955592</v>
      </c>
      <c r="BN52" s="197">
        <f t="shared" si="104"/>
        <v>4469.3158953639359</v>
      </c>
      <c r="BO52" s="197">
        <f t="shared" si="105"/>
        <v>8375.4193802550326</v>
      </c>
      <c r="BP52" s="197">
        <f t="shared" si="106"/>
        <v>-480.70898355947429</v>
      </c>
      <c r="BQ52" s="199">
        <f t="shared" si="107"/>
        <v>3988.6069118044611</v>
      </c>
      <c r="BS52" s="204">
        <f t="shared" si="139"/>
        <v>15</v>
      </c>
      <c r="BT52" s="197">
        <f>'Energy NPV'!$D105</f>
        <v>15</v>
      </c>
      <c r="BU52" s="197">
        <f>'Energy margins'!$Z$12</f>
        <v>43.75</v>
      </c>
      <c r="BV52" s="197">
        <f t="shared" si="140"/>
        <v>656.25</v>
      </c>
      <c r="BW52" s="197">
        <f>'Margins summary'!$W$14</f>
        <v>330</v>
      </c>
      <c r="BX52" s="197">
        <f t="shared" si="108"/>
        <v>986.25</v>
      </c>
      <c r="BY52" s="197"/>
      <c r="BZ52" s="918">
        <f>'Energy NPV'!U105</f>
        <v>418.53934399999991</v>
      </c>
      <c r="CA52" s="197"/>
      <c r="CB52" s="197">
        <f t="shared" si="109"/>
        <v>418.53934399999991</v>
      </c>
      <c r="CC52" s="197">
        <f t="shared" si="77"/>
        <v>237.71065600000009</v>
      </c>
      <c r="CD52" s="197">
        <f t="shared" si="78"/>
        <v>567.71065600000009</v>
      </c>
      <c r="CE52" s="196">
        <f t="shared" si="110"/>
        <v>290.26000787416035</v>
      </c>
      <c r="CF52" s="197">
        <f t="shared" si="111"/>
        <v>145.95931824529205</v>
      </c>
      <c r="CG52" s="197">
        <f t="shared" si="112"/>
        <v>185.12035548203562</v>
      </c>
      <c r="CH52" s="197">
        <f t="shared" si="113"/>
        <v>105.13965239212472</v>
      </c>
      <c r="CI52" s="199">
        <f t="shared" si="114"/>
        <v>251.09897063741678</v>
      </c>
      <c r="CJ52" s="196">
        <f t="shared" si="141"/>
        <v>5781.5290891290297</v>
      </c>
      <c r="CK52" s="197">
        <f t="shared" si="115"/>
        <v>3397.3446959117955</v>
      </c>
      <c r="CL52" s="197">
        <f t="shared" si="116"/>
        <v>6993.5524471028893</v>
      </c>
      <c r="CM52" s="197">
        <f t="shared" si="117"/>
        <v>-1212.023357973859</v>
      </c>
      <c r="CN52" s="199">
        <f t="shared" si="118"/>
        <v>2185.3213379379363</v>
      </c>
      <c r="CP52" s="204">
        <f t="shared" si="142"/>
        <v>15</v>
      </c>
      <c r="CQ52" s="197">
        <f>'Energy NPV'!$D105</f>
        <v>15</v>
      </c>
      <c r="CR52" s="197">
        <f>'Energy margins'!$Z$12</f>
        <v>43.75</v>
      </c>
      <c r="CS52" s="197">
        <f t="shared" si="143"/>
        <v>656.25</v>
      </c>
      <c r="CT52" s="197">
        <f>'Margins summary'!$W$14</f>
        <v>330</v>
      </c>
      <c r="CU52" s="197">
        <f t="shared" si="119"/>
        <v>986.25</v>
      </c>
      <c r="CV52" s="197"/>
      <c r="CW52" s="918">
        <f>'Energy NPV'!U105</f>
        <v>418.53934399999991</v>
      </c>
      <c r="CX52" s="197"/>
      <c r="CY52" s="197">
        <f t="shared" si="120"/>
        <v>418.53934399999991</v>
      </c>
      <c r="CZ52" s="197">
        <f t="shared" si="79"/>
        <v>237.71065600000009</v>
      </c>
      <c r="DA52" s="197">
        <f t="shared" si="80"/>
        <v>567.71065600000009</v>
      </c>
      <c r="DB52" s="196">
        <f t="shared" si="121"/>
        <v>656.25</v>
      </c>
      <c r="DC52" s="197">
        <f t="shared" si="122"/>
        <v>330</v>
      </c>
      <c r="DD52" s="197">
        <f t="shared" si="123"/>
        <v>418.53934399999991</v>
      </c>
      <c r="DE52" s="197">
        <f t="shared" si="124"/>
        <v>237.71065600000009</v>
      </c>
      <c r="DF52" s="199">
        <f t="shared" si="125"/>
        <v>567.71065600000009</v>
      </c>
      <c r="DG52" s="196">
        <f t="shared" si="144"/>
        <v>8843.9417177914111</v>
      </c>
      <c r="DH52" s="197">
        <f t="shared" si="126"/>
        <v>4950</v>
      </c>
      <c r="DI52" s="197">
        <f t="shared" si="127"/>
        <v>8993.0976599999995</v>
      </c>
      <c r="DJ52" s="197">
        <f t="shared" si="128"/>
        <v>-149.15594220858657</v>
      </c>
      <c r="DK52" s="199">
        <f t="shared" si="129"/>
        <v>4800.8440577914134</v>
      </c>
    </row>
    <row r="53" spans="2:129" x14ac:dyDescent="0.3">
      <c r="B53" s="206">
        <f t="shared" si="130"/>
        <v>16</v>
      </c>
      <c r="C53" s="207">
        <f>'Energy NPV'!$D106</f>
        <v>15</v>
      </c>
      <c r="D53" s="207">
        <f>'Energy margins'!$Z$12</f>
        <v>43.75</v>
      </c>
      <c r="E53" s="207">
        <f t="shared" si="131"/>
        <v>656.25</v>
      </c>
      <c r="F53" s="207">
        <f>'Margins summary'!$W$14</f>
        <v>330</v>
      </c>
      <c r="G53" s="207">
        <f t="shared" si="81"/>
        <v>986.25</v>
      </c>
      <c r="H53" s="207"/>
      <c r="I53" s="918">
        <f>'Energy NPV'!U106</f>
        <v>418.53934399999991</v>
      </c>
      <c r="J53" s="207">
        <f>'Energy margins'!$AE$67</f>
        <v>192.1</v>
      </c>
      <c r="K53" s="207">
        <f t="shared" si="82"/>
        <v>610.63934399999994</v>
      </c>
      <c r="L53" s="207">
        <f t="shared" si="71"/>
        <v>45.610656000000063</v>
      </c>
      <c r="M53" s="207">
        <f t="shared" si="72"/>
        <v>375.61065600000006</v>
      </c>
      <c r="N53" s="208">
        <f>E53/(1+$B$4)^(B53-1)</f>
        <v>421.221902979096</v>
      </c>
      <c r="O53" s="207">
        <f>F53/(1+$B$4)^(B53-1)</f>
        <v>211.81444264091684</v>
      </c>
      <c r="P53" s="207">
        <f>K53/(1+$B$4)^(B53-1)</f>
        <v>391.94615849689416</v>
      </c>
      <c r="Q53" s="207">
        <f>L53/(1+$B$4)^(B53-1)</f>
        <v>29.275744482201826</v>
      </c>
      <c r="R53" s="209">
        <f>M53/(1+$B$4)^(B53-1)</f>
        <v>241.09018712311865</v>
      </c>
      <c r="S53" s="208">
        <f t="shared" si="132"/>
        <v>7503.8112474454329</v>
      </c>
      <c r="T53" s="207">
        <f t="shared" si="88"/>
        <v>4269.5185786361071</v>
      </c>
      <c r="U53" s="207">
        <f t="shared" si="88"/>
        <v>8237.601585738621</v>
      </c>
      <c r="V53" s="207">
        <f t="shared" si="88"/>
        <v>-733.79033829318882</v>
      </c>
      <c r="W53" s="209">
        <f t="shared" si="88"/>
        <v>3535.7282403429172</v>
      </c>
      <c r="Y53" s="206">
        <f t="shared" si="133"/>
        <v>16</v>
      </c>
      <c r="Z53" s="207">
        <f>'Energy NPV'!$D106</f>
        <v>15</v>
      </c>
      <c r="AA53" s="207">
        <f>'Energy margins'!$Z$12</f>
        <v>43.75</v>
      </c>
      <c r="AB53" s="207">
        <f t="shared" si="134"/>
        <v>656.25</v>
      </c>
      <c r="AC53" s="207">
        <f>'Margins summary'!$W$14</f>
        <v>330</v>
      </c>
      <c r="AD53" s="207">
        <f t="shared" si="89"/>
        <v>986.25</v>
      </c>
      <c r="AE53" s="207"/>
      <c r="AF53" s="918">
        <f>'Energy NPV'!U106</f>
        <v>418.53934399999991</v>
      </c>
      <c r="AG53" s="207">
        <f>'Energy margins'!$AE$67</f>
        <v>192.1</v>
      </c>
      <c r="AH53" s="207">
        <f t="shared" si="90"/>
        <v>610.63934399999994</v>
      </c>
      <c r="AI53" s="207">
        <f t="shared" si="73"/>
        <v>45.610656000000063</v>
      </c>
      <c r="AJ53" s="207">
        <f t="shared" si="74"/>
        <v>375.61065600000006</v>
      </c>
      <c r="AK53" s="208">
        <f t="shared" si="91"/>
        <v>339.09779026972268</v>
      </c>
      <c r="AL53" s="207">
        <f t="shared" si="92"/>
        <v>170.51774596420341</v>
      </c>
      <c r="AM53" s="207">
        <f t="shared" si="93"/>
        <v>315.52983192709036</v>
      </c>
      <c r="AN53" s="207">
        <f t="shared" si="94"/>
        <v>23.567958342632366</v>
      </c>
      <c r="AO53" s="209">
        <f t="shared" si="95"/>
        <v>194.08570430683579</v>
      </c>
      <c r="AP53" s="208">
        <f t="shared" si="135"/>
        <v>6723.5572516031061</v>
      </c>
      <c r="AQ53" s="207">
        <f t="shared" si="96"/>
        <v>3874.050089684376</v>
      </c>
      <c r="AR53" s="207">
        <f t="shared" si="96"/>
        <v>7704.5657079278035</v>
      </c>
      <c r="AS53" s="207">
        <f t="shared" si="96"/>
        <v>-981.00845632469645</v>
      </c>
      <c r="AT53" s="209">
        <f t="shared" si="96"/>
        <v>2893.0416333596795</v>
      </c>
      <c r="AV53" s="206">
        <f t="shared" si="136"/>
        <v>16</v>
      </c>
      <c r="AW53" s="207">
        <f>'Energy NPV'!$D106</f>
        <v>15</v>
      </c>
      <c r="AX53" s="207">
        <f>'Energy margins'!$Z$12</f>
        <v>43.75</v>
      </c>
      <c r="AY53" s="207">
        <f t="shared" si="137"/>
        <v>656.25</v>
      </c>
      <c r="AZ53" s="207">
        <f>'Margins summary'!$W$14</f>
        <v>330</v>
      </c>
      <c r="BA53" s="207">
        <f t="shared" si="97"/>
        <v>986.25</v>
      </c>
      <c r="BB53" s="207"/>
      <c r="BC53" s="919">
        <f>'Energy NPV'!U106</f>
        <v>418.53934399999991</v>
      </c>
      <c r="BD53" s="207">
        <f>'Energy margins'!$AE$67</f>
        <v>192.1</v>
      </c>
      <c r="BE53" s="207">
        <f t="shared" si="98"/>
        <v>610.63934399999994</v>
      </c>
      <c r="BF53" s="207">
        <f t="shared" si="75"/>
        <v>45.610656000000063</v>
      </c>
      <c r="BG53" s="207">
        <f t="shared" si="76"/>
        <v>375.61065600000006</v>
      </c>
      <c r="BH53" s="208">
        <f t="shared" si="99"/>
        <v>524.90255009706425</v>
      </c>
      <c r="BI53" s="207">
        <f t="shared" si="100"/>
        <v>263.95099662023802</v>
      </c>
      <c r="BJ53" s="207">
        <f t="shared" si="101"/>
        <v>488.42079825554043</v>
      </c>
      <c r="BK53" s="207">
        <f t="shared" si="102"/>
        <v>36.481751841523803</v>
      </c>
      <c r="BL53" s="209">
        <f t="shared" si="103"/>
        <v>300.43274846176183</v>
      </c>
      <c r="BM53" s="208">
        <f t="shared" si="138"/>
        <v>8419.6129467926239</v>
      </c>
      <c r="BN53" s="207">
        <f t="shared" si="104"/>
        <v>4733.2668919841735</v>
      </c>
      <c r="BO53" s="207">
        <f t="shared" si="105"/>
        <v>8863.8401785105725</v>
      </c>
      <c r="BP53" s="207">
        <f t="shared" si="106"/>
        <v>-444.22723171795047</v>
      </c>
      <c r="BQ53" s="209">
        <f t="shared" si="107"/>
        <v>4289.0396602662231</v>
      </c>
      <c r="BS53" s="206">
        <f t="shared" si="139"/>
        <v>16</v>
      </c>
      <c r="BT53" s="207">
        <f>'Energy NPV'!$D106</f>
        <v>15</v>
      </c>
      <c r="BU53" s="207">
        <f>'Energy margins'!$Z$12</f>
        <v>43.75</v>
      </c>
      <c r="BV53" s="207">
        <f t="shared" si="140"/>
        <v>656.25</v>
      </c>
      <c r="BW53" s="207">
        <f>'Margins summary'!$W$14</f>
        <v>330</v>
      </c>
      <c r="BX53" s="207">
        <f t="shared" si="108"/>
        <v>986.25</v>
      </c>
      <c r="BY53" s="207"/>
      <c r="BZ53" s="918">
        <f>'Energy NPV'!U106</f>
        <v>418.53934399999991</v>
      </c>
      <c r="CA53" s="207">
        <f>'Energy margins'!$AE$67</f>
        <v>192.1</v>
      </c>
      <c r="CB53" s="207">
        <f t="shared" si="109"/>
        <v>610.63934399999994</v>
      </c>
      <c r="CC53" s="207">
        <f t="shared" si="77"/>
        <v>45.610656000000063</v>
      </c>
      <c r="CD53" s="207">
        <f t="shared" si="78"/>
        <v>375.61065600000006</v>
      </c>
      <c r="CE53" s="208">
        <f t="shared" si="110"/>
        <v>273.83019610769833</v>
      </c>
      <c r="CF53" s="207">
        <f t="shared" si="111"/>
        <v>137.69747004272833</v>
      </c>
      <c r="CG53" s="207">
        <f t="shared" si="112"/>
        <v>254.79846296167048</v>
      </c>
      <c r="CH53" s="207">
        <f t="shared" si="113"/>
        <v>19.031733146027864</v>
      </c>
      <c r="CI53" s="209">
        <f t="shared" si="114"/>
        <v>156.72920318875617</v>
      </c>
      <c r="CJ53" s="208">
        <f t="shared" si="141"/>
        <v>6055.3592852367283</v>
      </c>
      <c r="CK53" s="207">
        <f t="shared" si="115"/>
        <v>3535.0421659545236</v>
      </c>
      <c r="CL53" s="207">
        <f t="shared" si="116"/>
        <v>7248.3509100645597</v>
      </c>
      <c r="CM53" s="207">
        <f t="shared" si="117"/>
        <v>-1192.9916248278312</v>
      </c>
      <c r="CN53" s="209">
        <f t="shared" si="118"/>
        <v>2342.0505411266922</v>
      </c>
      <c r="CP53" s="206">
        <f t="shared" si="142"/>
        <v>16</v>
      </c>
      <c r="CQ53" s="207">
        <f>'Energy NPV'!$D106</f>
        <v>15</v>
      </c>
      <c r="CR53" s="207">
        <f>'Energy margins'!$Z$12</f>
        <v>43.75</v>
      </c>
      <c r="CS53" s="207">
        <f t="shared" si="143"/>
        <v>656.25</v>
      </c>
      <c r="CT53" s="207">
        <f>'Margins summary'!$W$14</f>
        <v>330</v>
      </c>
      <c r="CU53" s="207">
        <f t="shared" si="119"/>
        <v>986.25</v>
      </c>
      <c r="CV53" s="207"/>
      <c r="CW53" s="918">
        <f>'Energy NPV'!U106</f>
        <v>418.53934399999991</v>
      </c>
      <c r="CX53" s="207">
        <f>'Energy margins'!$AE$67</f>
        <v>192.1</v>
      </c>
      <c r="CY53" s="207">
        <f t="shared" si="120"/>
        <v>610.63934399999994</v>
      </c>
      <c r="CZ53" s="207">
        <f t="shared" si="79"/>
        <v>45.610656000000063</v>
      </c>
      <c r="DA53" s="207">
        <f t="shared" si="80"/>
        <v>375.61065600000006</v>
      </c>
      <c r="DB53" s="208">
        <f t="shared" si="121"/>
        <v>656.25</v>
      </c>
      <c r="DC53" s="207">
        <f t="shared" si="122"/>
        <v>330</v>
      </c>
      <c r="DD53" s="207">
        <f t="shared" si="123"/>
        <v>610.63934399999994</v>
      </c>
      <c r="DE53" s="207">
        <f t="shared" si="124"/>
        <v>45.610656000000063</v>
      </c>
      <c r="DF53" s="209">
        <f t="shared" si="125"/>
        <v>375.61065600000006</v>
      </c>
      <c r="DG53" s="208">
        <f t="shared" si="144"/>
        <v>9500.1917177914111</v>
      </c>
      <c r="DH53" s="207">
        <f t="shared" si="126"/>
        <v>5280</v>
      </c>
      <c r="DI53" s="207">
        <f t="shared" si="127"/>
        <v>9603.7370039999987</v>
      </c>
      <c r="DJ53" s="207">
        <f t="shared" si="128"/>
        <v>-103.5452862085865</v>
      </c>
      <c r="DK53" s="209">
        <f t="shared" si="129"/>
        <v>5176.4547137914133</v>
      </c>
    </row>
    <row r="59" spans="2:129" x14ac:dyDescent="0.3">
      <c r="B59" s="211" t="s">
        <v>285</v>
      </c>
      <c r="C59" s="763" t="s">
        <v>410</v>
      </c>
      <c r="D59" s="269" t="s">
        <v>395</v>
      </c>
      <c r="AB59" s="211" t="s">
        <v>285</v>
      </c>
      <c r="AC59" s="763" t="s">
        <v>411</v>
      </c>
      <c r="AD59" s="269" t="s">
        <v>395</v>
      </c>
      <c r="BB59" s="211" t="s">
        <v>285</v>
      </c>
      <c r="BC59" s="763" t="s">
        <v>412</v>
      </c>
      <c r="BD59" s="269" t="s">
        <v>395</v>
      </c>
      <c r="CB59" s="211" t="s">
        <v>285</v>
      </c>
      <c r="CC59" s="763" t="s">
        <v>413</v>
      </c>
      <c r="CD59" s="269" t="s">
        <v>395</v>
      </c>
      <c r="DB59" s="211" t="s">
        <v>285</v>
      </c>
      <c r="DC59" s="763" t="s">
        <v>414</v>
      </c>
      <c r="DD59" s="269" t="s">
        <v>395</v>
      </c>
    </row>
    <row r="60" spans="2:129" x14ac:dyDescent="0.3">
      <c r="B60" s="203"/>
      <c r="C60" s="103"/>
      <c r="D60" s="158"/>
      <c r="E60" s="158"/>
      <c r="F60" s="158"/>
      <c r="G60" s="158"/>
      <c r="H60" s="758"/>
      <c r="I60" s="758"/>
      <c r="J60" s="758"/>
      <c r="K60" s="148"/>
      <c r="L60" s="148"/>
      <c r="M60" s="758"/>
      <c r="N60" s="148"/>
      <c r="O60" s="148"/>
      <c r="P60" s="1029" t="s">
        <v>270</v>
      </c>
      <c r="Q60" s="1030"/>
      <c r="R60" s="1030"/>
      <c r="S60" s="1030"/>
      <c r="T60" s="1031"/>
      <c r="U60" s="1029" t="s">
        <v>271</v>
      </c>
      <c r="V60" s="1030"/>
      <c r="W60" s="1030"/>
      <c r="X60" s="1030"/>
      <c r="Y60" s="1031"/>
      <c r="AB60" s="203"/>
      <c r="AC60" s="103"/>
      <c r="AD60" s="158"/>
      <c r="AE60" s="158"/>
      <c r="AF60" s="158"/>
      <c r="AG60" s="158"/>
      <c r="AH60" s="758"/>
      <c r="AI60" s="758"/>
      <c r="AJ60" s="758"/>
      <c r="AK60" s="148"/>
      <c r="AL60" s="148"/>
      <c r="AM60" s="758"/>
      <c r="AN60" s="148"/>
      <c r="AO60" s="148"/>
      <c r="AP60" s="1029" t="s">
        <v>270</v>
      </c>
      <c r="AQ60" s="1030"/>
      <c r="AR60" s="1030"/>
      <c r="AS60" s="1030"/>
      <c r="AT60" s="1031"/>
      <c r="AU60" s="1029" t="s">
        <v>271</v>
      </c>
      <c r="AV60" s="1030"/>
      <c r="AW60" s="1030"/>
      <c r="AX60" s="1030"/>
      <c r="AY60" s="1031"/>
      <c r="BB60" s="203"/>
      <c r="BC60" s="103"/>
      <c r="BD60" s="158"/>
      <c r="BE60" s="158"/>
      <c r="BF60" s="158"/>
      <c r="BG60" s="158"/>
      <c r="BH60" s="758"/>
      <c r="BI60" s="758"/>
      <c r="BJ60" s="758"/>
      <c r="BK60" s="148"/>
      <c r="BL60" s="148"/>
      <c r="BM60" s="758"/>
      <c r="BN60" s="148"/>
      <c r="BO60" s="148"/>
      <c r="BP60" s="1029" t="s">
        <v>270</v>
      </c>
      <c r="BQ60" s="1030"/>
      <c r="BR60" s="1030"/>
      <c r="BS60" s="1030"/>
      <c r="BT60" s="1031"/>
      <c r="BU60" s="1029" t="s">
        <v>271</v>
      </c>
      <c r="BV60" s="1030"/>
      <c r="BW60" s="1030"/>
      <c r="BX60" s="1030"/>
      <c r="BY60" s="1031"/>
      <c r="CB60" s="203"/>
      <c r="CC60" s="103"/>
      <c r="CD60" s="158"/>
      <c r="CE60" s="158"/>
      <c r="CF60" s="158"/>
      <c r="CG60" s="158"/>
      <c r="CH60" s="758"/>
      <c r="CI60" s="758"/>
      <c r="CJ60" s="758"/>
      <c r="CK60" s="148"/>
      <c r="CL60" s="148"/>
      <c r="CM60" s="758"/>
      <c r="CN60" s="148"/>
      <c r="CO60" s="148"/>
      <c r="CP60" s="1029" t="s">
        <v>270</v>
      </c>
      <c r="CQ60" s="1030"/>
      <c r="CR60" s="1030"/>
      <c r="CS60" s="1030"/>
      <c r="CT60" s="1031"/>
      <c r="CU60" s="1029" t="s">
        <v>271</v>
      </c>
      <c r="CV60" s="1030"/>
      <c r="CW60" s="1030"/>
      <c r="CX60" s="1030"/>
      <c r="CY60" s="1031"/>
      <c r="DB60" s="203"/>
      <c r="DC60" s="64"/>
      <c r="DE60" s="158"/>
      <c r="DF60" s="158"/>
      <c r="DG60" s="158"/>
      <c r="DH60" s="758"/>
      <c r="DI60" s="758"/>
      <c r="DJ60" s="758"/>
      <c r="DK60" s="148"/>
      <c r="DL60" s="148"/>
      <c r="DM60" s="758"/>
      <c r="DN60" s="148"/>
      <c r="DO60" s="148"/>
      <c r="DP60" s="1029" t="s">
        <v>270</v>
      </c>
      <c r="DQ60" s="1030"/>
      <c r="DR60" s="1030"/>
      <c r="DS60" s="1030"/>
      <c r="DT60" s="1031"/>
      <c r="DU60" s="1029" t="s">
        <v>271</v>
      </c>
      <c r="DV60" s="1030"/>
      <c r="DW60" s="1030"/>
      <c r="DX60" s="1030"/>
      <c r="DY60" s="1031"/>
    </row>
    <row r="61" spans="2:129" ht="51" x14ac:dyDescent="0.3">
      <c r="B61" s="204" t="s">
        <v>272</v>
      </c>
      <c r="C61" s="204" t="s">
        <v>273</v>
      </c>
      <c r="D61" s="205" t="s">
        <v>289</v>
      </c>
      <c r="E61" s="205" t="s">
        <v>290</v>
      </c>
      <c r="F61" s="205" t="s">
        <v>669</v>
      </c>
      <c r="G61" s="205" t="s">
        <v>670</v>
      </c>
      <c r="H61" s="171" t="s">
        <v>676</v>
      </c>
      <c r="I61" s="171" t="s">
        <v>672</v>
      </c>
      <c r="J61" s="171" t="s">
        <v>677</v>
      </c>
      <c r="K61" s="205" t="str">
        <f>'Arable NPV'!$G$141</f>
        <v>Total Variable Costs</v>
      </c>
      <c r="L61" s="205" t="str">
        <f>'Arable NPV'!$H$141</f>
        <v>Total Fixed Costs</v>
      </c>
      <c r="M61" s="171" t="s">
        <v>276</v>
      </c>
      <c r="N61" s="171" t="s">
        <v>678</v>
      </c>
      <c r="O61" s="171" t="s">
        <v>679</v>
      </c>
      <c r="P61" s="195" t="s">
        <v>277</v>
      </c>
      <c r="Q61" s="171" t="s">
        <v>680</v>
      </c>
      <c r="R61" s="171" t="s">
        <v>278</v>
      </c>
      <c r="S61" s="171" t="s">
        <v>681</v>
      </c>
      <c r="T61" s="198" t="s">
        <v>279</v>
      </c>
      <c r="U61" s="195" t="s">
        <v>280</v>
      </c>
      <c r="V61" s="171" t="s">
        <v>682</v>
      </c>
      <c r="W61" s="171" t="s">
        <v>281</v>
      </c>
      <c r="X61" s="171" t="s">
        <v>683</v>
      </c>
      <c r="Y61" s="198" t="s">
        <v>282</v>
      </c>
      <c r="AB61" s="204" t="s">
        <v>272</v>
      </c>
      <c r="AC61" s="204" t="s">
        <v>273</v>
      </c>
      <c r="AD61" s="205" t="s">
        <v>289</v>
      </c>
      <c r="AE61" s="205" t="s">
        <v>290</v>
      </c>
      <c r="AF61" s="205" t="s">
        <v>669</v>
      </c>
      <c r="AG61" s="205" t="s">
        <v>670</v>
      </c>
      <c r="AH61" s="171" t="s">
        <v>676</v>
      </c>
      <c r="AI61" s="171" t="s">
        <v>672</v>
      </c>
      <c r="AJ61" s="171" t="s">
        <v>677</v>
      </c>
      <c r="AK61" s="205" t="str">
        <f>'Arable NPV'!$G$141</f>
        <v>Total Variable Costs</v>
      </c>
      <c r="AL61" s="205" t="str">
        <f>'Arable NPV'!$H$141</f>
        <v>Total Fixed Costs</v>
      </c>
      <c r="AM61" s="171" t="s">
        <v>276</v>
      </c>
      <c r="AN61" s="171" t="s">
        <v>678</v>
      </c>
      <c r="AO61" s="171" t="s">
        <v>679</v>
      </c>
      <c r="AP61" s="195" t="s">
        <v>277</v>
      </c>
      <c r="AQ61" s="171" t="s">
        <v>680</v>
      </c>
      <c r="AR61" s="171" t="s">
        <v>278</v>
      </c>
      <c r="AS61" s="171" t="s">
        <v>681</v>
      </c>
      <c r="AT61" s="198" t="s">
        <v>279</v>
      </c>
      <c r="AU61" s="195" t="s">
        <v>280</v>
      </c>
      <c r="AV61" s="171" t="s">
        <v>682</v>
      </c>
      <c r="AW61" s="171" t="s">
        <v>281</v>
      </c>
      <c r="AX61" s="171" t="s">
        <v>683</v>
      </c>
      <c r="AY61" s="198" t="s">
        <v>282</v>
      </c>
      <c r="BB61" s="204" t="s">
        <v>272</v>
      </c>
      <c r="BC61" s="204" t="s">
        <v>273</v>
      </c>
      <c r="BD61" s="205" t="s">
        <v>289</v>
      </c>
      <c r="BE61" s="205" t="s">
        <v>290</v>
      </c>
      <c r="BF61" s="205" t="s">
        <v>669</v>
      </c>
      <c r="BG61" s="205" t="s">
        <v>670</v>
      </c>
      <c r="BH61" s="171" t="s">
        <v>676</v>
      </c>
      <c r="BI61" s="171" t="s">
        <v>672</v>
      </c>
      <c r="BJ61" s="171" t="s">
        <v>677</v>
      </c>
      <c r="BK61" s="205" t="str">
        <f>'Arable NPV'!$G$141</f>
        <v>Total Variable Costs</v>
      </c>
      <c r="BL61" s="205" t="str">
        <f>'Arable NPV'!$H$141</f>
        <v>Total Fixed Costs</v>
      </c>
      <c r="BM61" s="171" t="s">
        <v>276</v>
      </c>
      <c r="BN61" s="171" t="s">
        <v>678</v>
      </c>
      <c r="BO61" s="171" t="s">
        <v>679</v>
      </c>
      <c r="BP61" s="195" t="s">
        <v>277</v>
      </c>
      <c r="BQ61" s="171" t="s">
        <v>680</v>
      </c>
      <c r="BR61" s="171" t="s">
        <v>278</v>
      </c>
      <c r="BS61" s="171" t="s">
        <v>681</v>
      </c>
      <c r="BT61" s="198" t="s">
        <v>279</v>
      </c>
      <c r="BU61" s="195" t="s">
        <v>280</v>
      </c>
      <c r="BV61" s="171" t="s">
        <v>682</v>
      </c>
      <c r="BW61" s="171" t="s">
        <v>281</v>
      </c>
      <c r="BX61" s="171" t="s">
        <v>683</v>
      </c>
      <c r="BY61" s="198" t="s">
        <v>282</v>
      </c>
      <c r="CB61" s="204" t="s">
        <v>272</v>
      </c>
      <c r="CC61" s="204" t="s">
        <v>273</v>
      </c>
      <c r="CD61" s="205" t="s">
        <v>289</v>
      </c>
      <c r="CE61" s="205" t="s">
        <v>290</v>
      </c>
      <c r="CF61" s="205" t="s">
        <v>669</v>
      </c>
      <c r="CG61" s="205" t="s">
        <v>670</v>
      </c>
      <c r="CH61" s="171" t="s">
        <v>676</v>
      </c>
      <c r="CI61" s="171" t="s">
        <v>672</v>
      </c>
      <c r="CJ61" s="171" t="s">
        <v>677</v>
      </c>
      <c r="CK61" s="205" t="str">
        <f>'Arable NPV'!$G$141</f>
        <v>Total Variable Costs</v>
      </c>
      <c r="CL61" s="205" t="str">
        <f>'Arable NPV'!$H$141</f>
        <v>Total Fixed Costs</v>
      </c>
      <c r="CM61" s="171" t="s">
        <v>276</v>
      </c>
      <c r="CN61" s="171" t="s">
        <v>678</v>
      </c>
      <c r="CO61" s="171" t="s">
        <v>679</v>
      </c>
      <c r="CP61" s="195" t="s">
        <v>277</v>
      </c>
      <c r="CQ61" s="171" t="s">
        <v>680</v>
      </c>
      <c r="CR61" s="171" t="s">
        <v>278</v>
      </c>
      <c r="CS61" s="171" t="s">
        <v>681</v>
      </c>
      <c r="CT61" s="198" t="s">
        <v>279</v>
      </c>
      <c r="CU61" s="195" t="s">
        <v>280</v>
      </c>
      <c r="CV61" s="171" t="s">
        <v>682</v>
      </c>
      <c r="CW61" s="171" t="s">
        <v>281</v>
      </c>
      <c r="CX61" s="171" t="s">
        <v>683</v>
      </c>
      <c r="CY61" s="198" t="s">
        <v>282</v>
      </c>
      <c r="DB61" s="204" t="s">
        <v>272</v>
      </c>
      <c r="DC61" s="204" t="s">
        <v>273</v>
      </c>
      <c r="DD61" s="205" t="s">
        <v>289</v>
      </c>
      <c r="DE61" s="205" t="s">
        <v>290</v>
      </c>
      <c r="DF61" s="205" t="s">
        <v>669</v>
      </c>
      <c r="DG61" s="205" t="s">
        <v>670</v>
      </c>
      <c r="DH61" s="171" t="s">
        <v>676</v>
      </c>
      <c r="DI61" s="171" t="s">
        <v>672</v>
      </c>
      <c r="DJ61" s="171" t="s">
        <v>677</v>
      </c>
      <c r="DK61" s="205" t="str">
        <f>'Arable NPV'!$G$141</f>
        <v>Total Variable Costs</v>
      </c>
      <c r="DL61" s="205" t="str">
        <f>'Arable NPV'!$H$141</f>
        <v>Total Fixed Costs</v>
      </c>
      <c r="DM61" s="171" t="s">
        <v>276</v>
      </c>
      <c r="DN61" s="171" t="s">
        <v>678</v>
      </c>
      <c r="DO61" s="171" t="s">
        <v>679</v>
      </c>
      <c r="DP61" s="195" t="s">
        <v>277</v>
      </c>
      <c r="DQ61" s="171" t="s">
        <v>680</v>
      </c>
      <c r="DR61" s="171" t="s">
        <v>278</v>
      </c>
      <c r="DS61" s="171" t="s">
        <v>681</v>
      </c>
      <c r="DT61" s="198" t="s">
        <v>279</v>
      </c>
      <c r="DU61" s="195" t="s">
        <v>280</v>
      </c>
      <c r="DV61" s="171" t="s">
        <v>682</v>
      </c>
      <c r="DW61" s="171" t="s">
        <v>281</v>
      </c>
      <c r="DX61" s="171" t="s">
        <v>683</v>
      </c>
      <c r="DY61" s="198" t="s">
        <v>282</v>
      </c>
    </row>
    <row r="62" spans="2:129" x14ac:dyDescent="0.3">
      <c r="B62" s="173"/>
      <c r="C62" s="55"/>
      <c r="D62" s="226" t="s">
        <v>332</v>
      </c>
      <c r="E62" s="226" t="s">
        <v>569</v>
      </c>
      <c r="F62" s="226" t="s">
        <v>332</v>
      </c>
      <c r="G62" s="226" t="s">
        <v>569</v>
      </c>
      <c r="H62" s="201" t="s">
        <v>567</v>
      </c>
      <c r="I62" s="201" t="s">
        <v>567</v>
      </c>
      <c r="J62" s="201" t="s">
        <v>567</v>
      </c>
      <c r="K62" s="201" t="s">
        <v>567</v>
      </c>
      <c r="L62" s="201" t="s">
        <v>567</v>
      </c>
      <c r="M62" s="201" t="s">
        <v>567</v>
      </c>
      <c r="N62" s="201" t="s">
        <v>567</v>
      </c>
      <c r="O62" s="202" t="s">
        <v>567</v>
      </c>
      <c r="P62" s="201" t="s">
        <v>567</v>
      </c>
      <c r="Q62" s="201" t="s">
        <v>567</v>
      </c>
      <c r="R62" s="201" t="s">
        <v>567</v>
      </c>
      <c r="S62" s="201" t="s">
        <v>567</v>
      </c>
      <c r="T62" s="202" t="s">
        <v>567</v>
      </c>
      <c r="U62" s="201" t="s">
        <v>567</v>
      </c>
      <c r="V62" s="201" t="s">
        <v>567</v>
      </c>
      <c r="W62" s="201" t="s">
        <v>567</v>
      </c>
      <c r="X62" s="201" t="s">
        <v>567</v>
      </c>
      <c r="Y62" s="202" t="s">
        <v>567</v>
      </c>
      <c r="AB62" s="173"/>
      <c r="AC62" s="55"/>
      <c r="AD62" s="226" t="s">
        <v>332</v>
      </c>
      <c r="AE62" s="226" t="s">
        <v>569</v>
      </c>
      <c r="AF62" s="226" t="s">
        <v>332</v>
      </c>
      <c r="AG62" s="226" t="s">
        <v>569</v>
      </c>
      <c r="AH62" s="201" t="s">
        <v>567</v>
      </c>
      <c r="AI62" s="201" t="s">
        <v>567</v>
      </c>
      <c r="AJ62" s="201" t="s">
        <v>567</v>
      </c>
      <c r="AK62" s="201" t="s">
        <v>567</v>
      </c>
      <c r="AL62" s="201" t="s">
        <v>567</v>
      </c>
      <c r="AM62" s="201" t="s">
        <v>567</v>
      </c>
      <c r="AN62" s="201" t="s">
        <v>567</v>
      </c>
      <c r="AO62" s="202" t="s">
        <v>567</v>
      </c>
      <c r="AP62" s="201" t="s">
        <v>567</v>
      </c>
      <c r="AQ62" s="201" t="s">
        <v>567</v>
      </c>
      <c r="AR62" s="201" t="s">
        <v>567</v>
      </c>
      <c r="AS62" s="201" t="s">
        <v>567</v>
      </c>
      <c r="AT62" s="202" t="s">
        <v>567</v>
      </c>
      <c r="AU62" s="201" t="s">
        <v>567</v>
      </c>
      <c r="AV62" s="201" t="s">
        <v>567</v>
      </c>
      <c r="AW62" s="201" t="s">
        <v>567</v>
      </c>
      <c r="AX62" s="201" t="s">
        <v>567</v>
      </c>
      <c r="AY62" s="202" t="s">
        <v>567</v>
      </c>
      <c r="BB62" s="173"/>
      <c r="BC62" s="55"/>
      <c r="BD62" s="226" t="s">
        <v>332</v>
      </c>
      <c r="BE62" s="226" t="s">
        <v>569</v>
      </c>
      <c r="BF62" s="226" t="s">
        <v>332</v>
      </c>
      <c r="BG62" s="226" t="s">
        <v>569</v>
      </c>
      <c r="BH62" s="201" t="s">
        <v>567</v>
      </c>
      <c r="BI62" s="201" t="s">
        <v>567</v>
      </c>
      <c r="BJ62" s="201" t="s">
        <v>567</v>
      </c>
      <c r="BK62" s="201" t="s">
        <v>567</v>
      </c>
      <c r="BL62" s="201" t="s">
        <v>567</v>
      </c>
      <c r="BM62" s="201" t="s">
        <v>567</v>
      </c>
      <c r="BN62" s="201" t="s">
        <v>567</v>
      </c>
      <c r="BO62" s="202" t="s">
        <v>567</v>
      </c>
      <c r="BP62" s="201" t="s">
        <v>567</v>
      </c>
      <c r="BQ62" s="201" t="s">
        <v>567</v>
      </c>
      <c r="BR62" s="201" t="s">
        <v>567</v>
      </c>
      <c r="BS62" s="201" t="s">
        <v>567</v>
      </c>
      <c r="BT62" s="202" t="s">
        <v>567</v>
      </c>
      <c r="BU62" s="201" t="s">
        <v>567</v>
      </c>
      <c r="BV62" s="201" t="s">
        <v>567</v>
      </c>
      <c r="BW62" s="201" t="s">
        <v>567</v>
      </c>
      <c r="BX62" s="201" t="s">
        <v>567</v>
      </c>
      <c r="BY62" s="202" t="s">
        <v>567</v>
      </c>
      <c r="CB62" s="173"/>
      <c r="CC62" s="55"/>
      <c r="CD62" s="226" t="s">
        <v>332</v>
      </c>
      <c r="CE62" s="226" t="s">
        <v>569</v>
      </c>
      <c r="CF62" s="226" t="s">
        <v>332</v>
      </c>
      <c r="CG62" s="226" t="s">
        <v>569</v>
      </c>
      <c r="CH62" s="201" t="s">
        <v>567</v>
      </c>
      <c r="CI62" s="201" t="s">
        <v>567</v>
      </c>
      <c r="CJ62" s="201" t="s">
        <v>567</v>
      </c>
      <c r="CK62" s="201" t="s">
        <v>567</v>
      </c>
      <c r="CL62" s="201" t="s">
        <v>567</v>
      </c>
      <c r="CM62" s="201" t="s">
        <v>567</v>
      </c>
      <c r="CN62" s="201" t="s">
        <v>567</v>
      </c>
      <c r="CO62" s="202" t="s">
        <v>567</v>
      </c>
      <c r="CP62" s="201" t="s">
        <v>567</v>
      </c>
      <c r="CQ62" s="201" t="s">
        <v>567</v>
      </c>
      <c r="CR62" s="201" t="s">
        <v>567</v>
      </c>
      <c r="CS62" s="201" t="s">
        <v>567</v>
      </c>
      <c r="CT62" s="202" t="s">
        <v>567</v>
      </c>
      <c r="CU62" s="201" t="s">
        <v>567</v>
      </c>
      <c r="CV62" s="201" t="s">
        <v>567</v>
      </c>
      <c r="CW62" s="201" t="s">
        <v>567</v>
      </c>
      <c r="CX62" s="201" t="s">
        <v>567</v>
      </c>
      <c r="CY62" s="202" t="s">
        <v>567</v>
      </c>
      <c r="DB62" s="173"/>
      <c r="DC62" s="55"/>
      <c r="DD62" s="226" t="s">
        <v>332</v>
      </c>
      <c r="DE62" s="226" t="s">
        <v>569</v>
      </c>
      <c r="DF62" s="226" t="s">
        <v>332</v>
      </c>
      <c r="DG62" s="226" t="s">
        <v>569</v>
      </c>
      <c r="DH62" s="201" t="s">
        <v>567</v>
      </c>
      <c r="DI62" s="201" t="s">
        <v>567</v>
      </c>
      <c r="DJ62" s="201" t="s">
        <v>567</v>
      </c>
      <c r="DK62" s="201" t="s">
        <v>567</v>
      </c>
      <c r="DL62" s="201" t="s">
        <v>567</v>
      </c>
      <c r="DM62" s="201" t="s">
        <v>567</v>
      </c>
      <c r="DN62" s="201" t="s">
        <v>567</v>
      </c>
      <c r="DO62" s="202" t="s">
        <v>567</v>
      </c>
      <c r="DP62" s="201" t="s">
        <v>567</v>
      </c>
      <c r="DQ62" s="201" t="s">
        <v>567</v>
      </c>
      <c r="DR62" s="201" t="s">
        <v>567</v>
      </c>
      <c r="DS62" s="201" t="s">
        <v>567</v>
      </c>
      <c r="DT62" s="202" t="s">
        <v>567</v>
      </c>
      <c r="DU62" s="201" t="s">
        <v>567</v>
      </c>
      <c r="DV62" s="201" t="s">
        <v>567</v>
      </c>
      <c r="DW62" s="201" t="s">
        <v>567</v>
      </c>
      <c r="DX62" s="201" t="s">
        <v>567</v>
      </c>
      <c r="DY62" s="202" t="s">
        <v>567</v>
      </c>
    </row>
    <row r="63" spans="2:129" x14ac:dyDescent="0.3">
      <c r="B63" s="204">
        <v>1</v>
      </c>
      <c r="C63" s="219" t="s">
        <v>4</v>
      </c>
      <c r="D63" s="760">
        <f>'Arable Inputs'!$D$18</f>
        <v>5.5</v>
      </c>
      <c r="E63" s="760">
        <f>'Arable Inputs'!$D$25</f>
        <v>210</v>
      </c>
      <c r="F63" s="760">
        <f>'Arable Inputs'!$D$19</f>
        <v>3.9</v>
      </c>
      <c r="G63" s="760">
        <f>'Arable Inputs'!$D$26</f>
        <v>73.449999999999989</v>
      </c>
      <c r="H63" s="762">
        <f>D63*E63+F63*G63</f>
        <v>1441.4549999999999</v>
      </c>
      <c r="I63" s="197">
        <f>'Arable NPV'!$E143</f>
        <v>330</v>
      </c>
      <c r="J63" s="197">
        <f>H63+I63</f>
        <v>1771.4549999999999</v>
      </c>
      <c r="K63" s="197">
        <f>'Arable NPV'!$G143</f>
        <v>622.34710631578946</v>
      </c>
      <c r="L63" s="197">
        <f>'Arable NPV'!$H143</f>
        <v>943.00233600000001</v>
      </c>
      <c r="M63" s="197">
        <f>K63+L63</f>
        <v>1565.3494423157895</v>
      </c>
      <c r="N63" s="197">
        <f>H63-M63</f>
        <v>-123.89444231578955</v>
      </c>
      <c r="O63" s="197">
        <f>J63-M63</f>
        <v>206.10555768421045</v>
      </c>
      <c r="P63" s="1033">
        <f>H63/(1+$B$4)^(B63-1)</f>
        <v>1441.4549999999999</v>
      </c>
      <c r="Q63" s="213">
        <f>I63/(1+$B$4)^(B63-1)</f>
        <v>330</v>
      </c>
      <c r="R63" s="213">
        <f>M63/(1+$B$4)^(B63-1)</f>
        <v>1565.3494423157895</v>
      </c>
      <c r="S63" s="213">
        <f>N63/(1+$B$4)^(B63-1)</f>
        <v>-123.89444231578955</v>
      </c>
      <c r="T63" s="929">
        <f>O63/(1+$B$4)^(B63-1)</f>
        <v>206.10555768421045</v>
      </c>
      <c r="U63" s="196">
        <f>P63</f>
        <v>1441.4549999999999</v>
      </c>
      <c r="V63" s="197">
        <f>Q63</f>
        <v>330</v>
      </c>
      <c r="W63" s="197">
        <f>R63</f>
        <v>1565.3494423157895</v>
      </c>
      <c r="X63" s="197">
        <f>S63</f>
        <v>-123.89444231578955</v>
      </c>
      <c r="Y63" s="199">
        <f>T63</f>
        <v>206.10555768421045</v>
      </c>
      <c r="AB63" s="204">
        <v>1</v>
      </c>
      <c r="AC63" s="219" t="s">
        <v>4</v>
      </c>
      <c r="AD63" s="760">
        <f>'Arable Inputs'!$D$18</f>
        <v>5.5</v>
      </c>
      <c r="AE63" s="760">
        <f>'Arable Inputs'!$D$25</f>
        <v>210</v>
      </c>
      <c r="AF63" s="760">
        <f>'Arable Inputs'!$D$19</f>
        <v>3.9</v>
      </c>
      <c r="AG63" s="760">
        <f>'Arable Inputs'!$D$26</f>
        <v>73.449999999999989</v>
      </c>
      <c r="AH63" s="762">
        <f>AD63*AE63+AF63*AG63</f>
        <v>1441.4549999999999</v>
      </c>
      <c r="AI63" s="197">
        <f>'Arable NPV'!$E143</f>
        <v>330</v>
      </c>
      <c r="AJ63" s="197">
        <f>AH63+AI63</f>
        <v>1771.4549999999999</v>
      </c>
      <c r="AK63" s="197">
        <f>'Arable NPV'!$G143</f>
        <v>622.34710631578946</v>
      </c>
      <c r="AL63" s="197">
        <f>'Arable NPV'!$H143</f>
        <v>943.00233600000001</v>
      </c>
      <c r="AM63" s="197">
        <f>AK63+AL63</f>
        <v>1565.3494423157895</v>
      </c>
      <c r="AN63" s="197">
        <f>AH63-AM63</f>
        <v>-123.89444231578955</v>
      </c>
      <c r="AO63" s="197">
        <f>AJ63-AM63</f>
        <v>206.10555768421045</v>
      </c>
      <c r="AP63" s="1033">
        <f>AH63/(1+$C$4)^(AB63-1)</f>
        <v>1441.4549999999999</v>
      </c>
      <c r="AQ63" s="213">
        <f>AI63/(1+$C$4)^(AB63-1)</f>
        <v>330</v>
      </c>
      <c r="AR63" s="213">
        <f>AM63/(1+$C$4)^(AB63-1)</f>
        <v>1565.3494423157895</v>
      </c>
      <c r="AS63" s="213">
        <f>AN63/(1+$C$4)^(AB63-1)</f>
        <v>-123.89444231578955</v>
      </c>
      <c r="AT63" s="929">
        <f>AO63/(1+$C$4)^(AB63-1)</f>
        <v>206.10555768421045</v>
      </c>
      <c r="AU63" s="196">
        <f>AP63</f>
        <v>1441.4549999999999</v>
      </c>
      <c r="AV63" s="197">
        <f>AQ63</f>
        <v>330</v>
      </c>
      <c r="AW63" s="197">
        <f>AR63</f>
        <v>1565.3494423157895</v>
      </c>
      <c r="AX63" s="197">
        <f>AS63</f>
        <v>-123.89444231578955</v>
      </c>
      <c r="AY63" s="199">
        <f>AT63</f>
        <v>206.10555768421045</v>
      </c>
      <c r="BB63" s="204">
        <v>1</v>
      </c>
      <c r="BC63" s="219" t="s">
        <v>4</v>
      </c>
      <c r="BD63" s="760">
        <f>'Arable Inputs'!$D$18</f>
        <v>5.5</v>
      </c>
      <c r="BE63" s="760">
        <f>'Arable Inputs'!$D$25</f>
        <v>210</v>
      </c>
      <c r="BF63" s="760">
        <f>'Arable Inputs'!$D$19</f>
        <v>3.9</v>
      </c>
      <c r="BG63" s="760">
        <f>'Arable Inputs'!$D$26</f>
        <v>73.449999999999989</v>
      </c>
      <c r="BH63" s="762">
        <f>BD63*BE63+BF63*BG63</f>
        <v>1441.4549999999999</v>
      </c>
      <c r="BI63" s="197">
        <f>'Arable NPV'!$E143</f>
        <v>330</v>
      </c>
      <c r="BJ63" s="197">
        <f>BH63+BI63</f>
        <v>1771.4549999999999</v>
      </c>
      <c r="BK63" s="197">
        <f>'Arable NPV'!$G143</f>
        <v>622.34710631578946</v>
      </c>
      <c r="BL63" s="197">
        <f>'Arable NPV'!$H143</f>
        <v>943.00233600000001</v>
      </c>
      <c r="BM63" s="197">
        <f>BK63+BL63</f>
        <v>1565.3494423157895</v>
      </c>
      <c r="BN63" s="197">
        <f>BH63-BM63</f>
        <v>-123.89444231578955</v>
      </c>
      <c r="BO63" s="197">
        <f>BJ63-BM63</f>
        <v>206.10555768421045</v>
      </c>
      <c r="BP63" s="1033">
        <f>BH63/(1+$D$4)^(BB63-1)</f>
        <v>1441.4549999999999</v>
      </c>
      <c r="BQ63" s="213">
        <f>BI63/(1+$D$4)^(BB63-1)</f>
        <v>330</v>
      </c>
      <c r="BR63" s="213">
        <f>BM63/(1+$D$4)^(BB63-1)</f>
        <v>1565.3494423157895</v>
      </c>
      <c r="BS63" s="213">
        <f>BN63/(1+$D$4)^(BB63-1)</f>
        <v>-123.89444231578955</v>
      </c>
      <c r="BT63" s="929">
        <f>BO63/(1+$D$4)^(BB63-1)</f>
        <v>206.10555768421045</v>
      </c>
      <c r="BU63" s="196">
        <f>BP63</f>
        <v>1441.4549999999999</v>
      </c>
      <c r="BV63" s="197">
        <f>BQ63</f>
        <v>330</v>
      </c>
      <c r="BW63" s="197">
        <f>BR63</f>
        <v>1565.3494423157895</v>
      </c>
      <c r="BX63" s="197">
        <f>BS63</f>
        <v>-123.89444231578955</v>
      </c>
      <c r="BY63" s="199">
        <f>BT63</f>
        <v>206.10555768421045</v>
      </c>
      <c r="CB63" s="204">
        <v>1</v>
      </c>
      <c r="CC63" s="219" t="s">
        <v>4</v>
      </c>
      <c r="CD63" s="760">
        <f>'Arable Inputs'!$D$18</f>
        <v>5.5</v>
      </c>
      <c r="CE63" s="760">
        <f>'Arable Inputs'!$D$25</f>
        <v>210</v>
      </c>
      <c r="CF63" s="760">
        <f>'Arable Inputs'!$D$19</f>
        <v>3.9</v>
      </c>
      <c r="CG63" s="760">
        <f>'Arable Inputs'!$D$26</f>
        <v>73.449999999999989</v>
      </c>
      <c r="CH63" s="762">
        <f>CD63*CE63+CF63*CG63</f>
        <v>1441.4549999999999</v>
      </c>
      <c r="CI63" s="197">
        <f>'Arable NPV'!$E143</f>
        <v>330</v>
      </c>
      <c r="CJ63" s="197">
        <f>CH63+CI63</f>
        <v>1771.4549999999999</v>
      </c>
      <c r="CK63" s="197">
        <f>'Arable NPV'!$G143</f>
        <v>622.34710631578946</v>
      </c>
      <c r="CL63" s="197">
        <f>'Arable NPV'!$H143</f>
        <v>943.00233600000001</v>
      </c>
      <c r="CM63" s="197">
        <f>CK63+CL63</f>
        <v>1565.3494423157895</v>
      </c>
      <c r="CN63" s="197">
        <f>CH63-CM63</f>
        <v>-123.89444231578955</v>
      </c>
      <c r="CO63" s="197">
        <f>CJ63-CM63</f>
        <v>206.10555768421045</v>
      </c>
      <c r="CP63" s="1033">
        <f>CH63/(1+$E$4)^(CB63-1)</f>
        <v>1441.4549999999999</v>
      </c>
      <c r="CQ63" s="213">
        <f>CI63/(1+$E$4)^(CB63-1)</f>
        <v>330</v>
      </c>
      <c r="CR63" s="213">
        <f>CM63/(1+$E$4)^(CB63-1)</f>
        <v>1565.3494423157895</v>
      </c>
      <c r="CS63" s="213">
        <f>CN63/(1+$E$4)^(CB63-1)</f>
        <v>-123.89444231578955</v>
      </c>
      <c r="CT63" s="929">
        <f>CO63/(1+$E$4)^(CB63-1)</f>
        <v>206.10555768421045</v>
      </c>
      <c r="CU63" s="196">
        <f>CP63</f>
        <v>1441.4549999999999</v>
      </c>
      <c r="CV63" s="197">
        <f>CQ63</f>
        <v>330</v>
      </c>
      <c r="CW63" s="197">
        <f>CR63</f>
        <v>1565.3494423157895</v>
      </c>
      <c r="CX63" s="197">
        <f>CS63</f>
        <v>-123.89444231578955</v>
      </c>
      <c r="CY63" s="199">
        <f>CT63</f>
        <v>206.10555768421045</v>
      </c>
      <c r="DB63" s="204">
        <v>1</v>
      </c>
      <c r="DC63" s="219" t="s">
        <v>4</v>
      </c>
      <c r="DD63" s="760">
        <f>'Arable Inputs'!$D$18</f>
        <v>5.5</v>
      </c>
      <c r="DE63" s="760">
        <f>'Arable Inputs'!$D$25</f>
        <v>210</v>
      </c>
      <c r="DF63" s="760">
        <f>'Arable Inputs'!$D$19</f>
        <v>3.9</v>
      </c>
      <c r="DG63" s="760">
        <f>'Arable Inputs'!$D$26</f>
        <v>73.449999999999989</v>
      </c>
      <c r="DH63" s="762">
        <f>DD63*DE63+DF63*DG63</f>
        <v>1441.4549999999999</v>
      </c>
      <c r="DI63" s="197">
        <f>'Arable NPV'!$E143</f>
        <v>330</v>
      </c>
      <c r="DJ63" s="197">
        <f>DH63+DI63</f>
        <v>1771.4549999999999</v>
      </c>
      <c r="DK63" s="197">
        <f>'Arable NPV'!$G143</f>
        <v>622.34710631578946</v>
      </c>
      <c r="DL63" s="197">
        <f>'Arable NPV'!$H143</f>
        <v>943.00233600000001</v>
      </c>
      <c r="DM63" s="197">
        <f>DK63+DL63</f>
        <v>1565.3494423157895</v>
      </c>
      <c r="DN63" s="197">
        <f>DH63-DM63</f>
        <v>-123.89444231578955</v>
      </c>
      <c r="DO63" s="197">
        <f>DJ63-DM63</f>
        <v>206.10555768421045</v>
      </c>
      <c r="DP63" s="1033">
        <f>DH63/(1+$F$4)^(DB63-1)</f>
        <v>1441.4549999999999</v>
      </c>
      <c r="DQ63" s="213">
        <f>DI63/(1+$F$4)^(DB63-1)</f>
        <v>330</v>
      </c>
      <c r="DR63" s="213">
        <f>DM63/(1+$F$4)^(DB63-1)</f>
        <v>1565.3494423157895</v>
      </c>
      <c r="DS63" s="213">
        <f>DN63/(1+$F$4)^(DB63-1)</f>
        <v>-123.89444231578955</v>
      </c>
      <c r="DT63" s="929">
        <f>DO63/(1+$F$4)^(DB63-1)</f>
        <v>206.10555768421045</v>
      </c>
      <c r="DU63" s="196">
        <f>DP63</f>
        <v>1441.4549999999999</v>
      </c>
      <c r="DV63" s="197">
        <f>DQ63</f>
        <v>330</v>
      </c>
      <c r="DW63" s="197">
        <f>DR63</f>
        <v>1565.3494423157895</v>
      </c>
      <c r="DX63" s="197">
        <f>DS63</f>
        <v>-123.89444231578955</v>
      </c>
      <c r="DY63" s="199">
        <f>DT63</f>
        <v>206.10555768421045</v>
      </c>
    </row>
    <row r="64" spans="2:129" x14ac:dyDescent="0.3">
      <c r="B64" s="204">
        <v>2</v>
      </c>
      <c r="C64" s="219" t="s">
        <v>560</v>
      </c>
      <c r="D64" s="760">
        <f>'Arable Inputs'!$G$18</f>
        <v>2.1</v>
      </c>
      <c r="E64" s="760">
        <f>'Arable Inputs'!$G$25</f>
        <v>235.55</v>
      </c>
      <c r="H64" s="762">
        <f>D64*E64</f>
        <v>494.65500000000003</v>
      </c>
      <c r="I64" s="197">
        <f>'Arable NPV'!$E144</f>
        <v>330</v>
      </c>
      <c r="J64" s="197">
        <f t="shared" ref="J64:J78" si="145">H64+I64</f>
        <v>824.65499999999997</v>
      </c>
      <c r="K64" s="197">
        <f>'Arable NPV'!$G144</f>
        <v>255.07731473684206</v>
      </c>
      <c r="L64" s="197">
        <f>'Arable NPV'!$H144</f>
        <v>778.68036799999993</v>
      </c>
      <c r="M64" s="197">
        <f t="shared" ref="M64:M78" si="146">K64+L64</f>
        <v>1033.7576827368421</v>
      </c>
      <c r="N64" s="197">
        <f t="shared" ref="N64:N78" si="147">H64-M64</f>
        <v>-539.1026827368421</v>
      </c>
      <c r="O64" s="197">
        <f t="shared" ref="O64:O78" si="148">J64-M64</f>
        <v>-209.1026827368421</v>
      </c>
      <c r="P64" s="196">
        <f t="shared" ref="P64:P78" si="149">H64/(1+$B$4)^(B64-1)</f>
        <v>480.247572815534</v>
      </c>
      <c r="Q64" s="197">
        <f t="shared" ref="Q64:Q78" si="150">I64/(1+$B$4)^(B64-1)</f>
        <v>320.38834951456312</v>
      </c>
      <c r="R64" s="197">
        <f t="shared" ref="R64:R78" si="151">M64/(1+$B$4)^(B64-1)</f>
        <v>1003.648235666837</v>
      </c>
      <c r="S64" s="197">
        <f t="shared" ref="S64:S78" si="152">N64/(1+$B$4)^(B64-1)</f>
        <v>-523.40066285130297</v>
      </c>
      <c r="T64" s="199">
        <f t="shared" ref="T64:T77" si="153">O64/(1+$B$4)^(B64-1)</f>
        <v>-203.01231333673991</v>
      </c>
      <c r="U64" s="196">
        <f t="shared" ref="U64:Y78" si="154">U63+P64</f>
        <v>1921.702572815534</v>
      </c>
      <c r="V64" s="197">
        <f t="shared" si="154"/>
        <v>650.38834951456306</v>
      </c>
      <c r="W64" s="197">
        <f t="shared" si="154"/>
        <v>2568.9976779826266</v>
      </c>
      <c r="X64" s="197">
        <f t="shared" si="154"/>
        <v>-647.29510516709252</v>
      </c>
      <c r="Y64" s="199">
        <f t="shared" si="154"/>
        <v>3.0932443474705451</v>
      </c>
      <c r="AB64" s="204">
        <v>2</v>
      </c>
      <c r="AC64" s="219" t="s">
        <v>560</v>
      </c>
      <c r="AD64" s="760">
        <f>'Arable Inputs'!$G$18</f>
        <v>2.1</v>
      </c>
      <c r="AE64" s="760">
        <f>'Arable Inputs'!$G$25</f>
        <v>235.55</v>
      </c>
      <c r="AH64" s="762">
        <f>AD64*AE64</f>
        <v>494.65500000000003</v>
      </c>
      <c r="AI64" s="197">
        <f>'Arable NPV'!$E144</f>
        <v>330</v>
      </c>
      <c r="AJ64" s="197">
        <f t="shared" ref="AJ64:AJ78" si="155">AH64+AI64</f>
        <v>824.65499999999997</v>
      </c>
      <c r="AK64" s="197">
        <f>'Arable NPV'!$G144</f>
        <v>255.07731473684206</v>
      </c>
      <c r="AL64" s="197">
        <f>'Arable NPV'!$H144</f>
        <v>778.68036799999993</v>
      </c>
      <c r="AM64" s="197">
        <f t="shared" ref="AM64:AM78" si="156">AK64+AL64</f>
        <v>1033.7576827368421</v>
      </c>
      <c r="AN64" s="197">
        <f t="shared" ref="AN64:AN78" si="157">AH64-AM64</f>
        <v>-539.1026827368421</v>
      </c>
      <c r="AO64" s="197">
        <f t="shared" ref="AO64:AO78" si="158">AJ64-AM64</f>
        <v>-209.1026827368421</v>
      </c>
      <c r="AP64" s="196">
        <f t="shared" ref="AP64:AP78" si="159">AH64/(1+$C$4)^(AB64-1)</f>
        <v>473.354066985646</v>
      </c>
      <c r="AQ64" s="197">
        <f t="shared" ref="AQ64:AQ78" si="160">AI64/(1+$C$4)^(AB64-1)</f>
        <v>315.78947368421052</v>
      </c>
      <c r="AR64" s="197">
        <f t="shared" ref="AR64:AR78" si="161">AM64/(1+$C$4)^(AB64-1)</f>
        <v>989.24180166204985</v>
      </c>
      <c r="AS64" s="197">
        <f t="shared" ref="AS64:AS78" si="162">AN64/(1+$C$4)^(AB64-1)</f>
        <v>-515.88773467640397</v>
      </c>
      <c r="AT64" s="199">
        <f t="shared" ref="AT64:AT78" si="163">AO64/(1+$C$4)^(AB64-1)</f>
        <v>-200.09826099219342</v>
      </c>
      <c r="AU64" s="196">
        <f t="shared" ref="AU64:AY78" si="164">AU63+AP64</f>
        <v>1914.809066985646</v>
      </c>
      <c r="AV64" s="197">
        <f t="shared" si="164"/>
        <v>645.78947368421052</v>
      </c>
      <c r="AW64" s="197">
        <f t="shared" si="164"/>
        <v>2554.5912439778394</v>
      </c>
      <c r="AX64" s="197">
        <f t="shared" si="164"/>
        <v>-639.78217699219351</v>
      </c>
      <c r="AY64" s="199">
        <f t="shared" si="164"/>
        <v>6.0072966920170359</v>
      </c>
      <c r="BB64" s="204">
        <v>2</v>
      </c>
      <c r="BC64" s="219" t="s">
        <v>560</v>
      </c>
      <c r="BD64" s="760">
        <f>'Arable Inputs'!$G$18</f>
        <v>2.1</v>
      </c>
      <c r="BE64" s="760">
        <f>'Arable Inputs'!$G$25</f>
        <v>235.55</v>
      </c>
      <c r="BH64" s="762">
        <f>BD64*BE64</f>
        <v>494.65500000000003</v>
      </c>
      <c r="BI64" s="197">
        <f>'Arable NPV'!$E144</f>
        <v>330</v>
      </c>
      <c r="BJ64" s="197">
        <f t="shared" ref="BJ64:BJ78" si="165">BH64+BI64</f>
        <v>824.65499999999997</v>
      </c>
      <c r="BK64" s="197">
        <f>'Arable NPV'!$G144</f>
        <v>255.07731473684206</v>
      </c>
      <c r="BL64" s="197">
        <f>'Arable NPV'!$H144</f>
        <v>778.68036799999993</v>
      </c>
      <c r="BM64" s="197">
        <f t="shared" ref="BM64:BM78" si="166">BK64+BL64</f>
        <v>1033.7576827368421</v>
      </c>
      <c r="BN64" s="197">
        <f t="shared" ref="BN64:BN78" si="167">BH64-BM64</f>
        <v>-539.1026827368421</v>
      </c>
      <c r="BO64" s="197">
        <f t="shared" ref="BO64:BO78" si="168">BJ64-BM64</f>
        <v>-209.1026827368421</v>
      </c>
      <c r="BP64" s="196">
        <f t="shared" ref="BP64:BP78" si="169">BH64/(1+$D$4)^(BB64-1)</f>
        <v>487.34482758620697</v>
      </c>
      <c r="BQ64" s="197">
        <f t="shared" ref="BQ64:BQ78" si="170">BI64/(1+$D$4)^(BB64-1)</f>
        <v>325.12315270935966</v>
      </c>
      <c r="BR64" s="197">
        <f t="shared" ref="BR64:BR78" si="171">BM64/(1+$D$4)^(BB64-1)</f>
        <v>1018.4804756028002</v>
      </c>
      <c r="BS64" s="197">
        <f t="shared" ref="BS64:BS78" si="172">BN64/(1+$D$4)^(BB64-1)</f>
        <v>-531.13564801659322</v>
      </c>
      <c r="BT64" s="199">
        <f t="shared" ref="BT64:BT78" si="173">BO64/(1+$D$4)^(BB64-1)</f>
        <v>-206.01249530723362</v>
      </c>
      <c r="BU64" s="196">
        <f t="shared" ref="BU64:BY78" si="174">BU63+BP64</f>
        <v>1928.7998275862069</v>
      </c>
      <c r="BV64" s="197">
        <f t="shared" si="174"/>
        <v>655.1231527093596</v>
      </c>
      <c r="BW64" s="197">
        <f t="shared" si="174"/>
        <v>2583.8299179185897</v>
      </c>
      <c r="BX64" s="197">
        <f t="shared" si="174"/>
        <v>-655.03009033238277</v>
      </c>
      <c r="BY64" s="199">
        <f t="shared" si="174"/>
        <v>9.3062376976831729E-2</v>
      </c>
      <c r="CB64" s="204">
        <v>2</v>
      </c>
      <c r="CC64" s="219" t="s">
        <v>560</v>
      </c>
      <c r="CD64" s="760">
        <f>'Arable Inputs'!$G$18</f>
        <v>2.1</v>
      </c>
      <c r="CE64" s="760">
        <f>'Arable Inputs'!$G$25</f>
        <v>235.55</v>
      </c>
      <c r="CH64" s="762">
        <f>CD64*CE64</f>
        <v>494.65500000000003</v>
      </c>
      <c r="CI64" s="197">
        <f>'Arable NPV'!$E144</f>
        <v>330</v>
      </c>
      <c r="CJ64" s="197">
        <f t="shared" ref="CJ64:CJ78" si="175">CH64+CI64</f>
        <v>824.65499999999997</v>
      </c>
      <c r="CK64" s="197">
        <f>'Arable NPV'!$G144</f>
        <v>255.07731473684206</v>
      </c>
      <c r="CL64" s="197">
        <f>'Arable NPV'!$H144</f>
        <v>778.68036799999993</v>
      </c>
      <c r="CM64" s="197">
        <f t="shared" ref="CM64:CM78" si="176">CK64+CL64</f>
        <v>1033.7576827368421</v>
      </c>
      <c r="CN64" s="197">
        <f t="shared" ref="CN64:CN78" si="177">CH64-CM64</f>
        <v>-539.1026827368421</v>
      </c>
      <c r="CO64" s="197">
        <f t="shared" ref="CO64:CO78" si="178">CJ64-CM64</f>
        <v>-209.1026827368421</v>
      </c>
      <c r="CP64" s="196">
        <f t="shared" ref="CP64:CP78" si="179">CH64/(1+$E$4)^(CB64-1)</f>
        <v>466.65566037735852</v>
      </c>
      <c r="CQ64" s="197">
        <f t="shared" ref="CQ64:CQ78" si="180">CI64/(1+$E$4)^(CB64-1)</f>
        <v>311.32075471698113</v>
      </c>
      <c r="CR64" s="197">
        <f t="shared" ref="CR64:CR78" si="181">CM64/(1+$E$4)^(CB64-1)</f>
        <v>975.24309692154907</v>
      </c>
      <c r="CS64" s="197">
        <f t="shared" ref="CS64:CS78" si="182">CN64/(1+$E$4)^(CB64-1)</f>
        <v>-508.58743654419061</v>
      </c>
      <c r="CT64" s="199">
        <f t="shared" ref="CT64:CT78" si="183">CO64/(1+$E$4)^(CB64-1)</f>
        <v>-197.26668182720951</v>
      </c>
      <c r="CU64" s="196">
        <f t="shared" ref="CU64:CY78" si="184">CU63+CP64</f>
        <v>1908.1106603773585</v>
      </c>
      <c r="CV64" s="197">
        <f t="shared" si="184"/>
        <v>641.32075471698113</v>
      </c>
      <c r="CW64" s="197">
        <f t="shared" si="184"/>
        <v>2540.5925392373383</v>
      </c>
      <c r="CX64" s="197">
        <f t="shared" si="184"/>
        <v>-632.48187885998016</v>
      </c>
      <c r="CY64" s="199">
        <f t="shared" si="184"/>
        <v>8.8388758570009429</v>
      </c>
      <c r="DB64" s="204">
        <f t="shared" ref="DB64:DB78" si="185">DB63+1</f>
        <v>2</v>
      </c>
      <c r="DC64" s="219" t="s">
        <v>560</v>
      </c>
      <c r="DD64" s="760">
        <f>'Arable Inputs'!$G$18</f>
        <v>2.1</v>
      </c>
      <c r="DE64" s="760">
        <f>'Arable Inputs'!$G$25</f>
        <v>235.55</v>
      </c>
      <c r="DH64" s="762">
        <f>DD64*DE64</f>
        <v>494.65500000000003</v>
      </c>
      <c r="DI64" s="197">
        <f>'Arable NPV'!$E144</f>
        <v>330</v>
      </c>
      <c r="DJ64" s="197">
        <f t="shared" ref="DJ64:DJ78" si="186">DH64+DI64</f>
        <v>824.65499999999997</v>
      </c>
      <c r="DK64" s="197">
        <f>'Arable NPV'!$G144</f>
        <v>255.07731473684206</v>
      </c>
      <c r="DL64" s="197">
        <f>'Arable NPV'!$H144</f>
        <v>778.68036799999993</v>
      </c>
      <c r="DM64" s="197">
        <f t="shared" ref="DM64:DM78" si="187">DK64+DL64</f>
        <v>1033.7576827368421</v>
      </c>
      <c r="DN64" s="197">
        <f t="shared" ref="DN64:DN78" si="188">DH64-DM64</f>
        <v>-539.1026827368421</v>
      </c>
      <c r="DO64" s="197">
        <f t="shared" ref="DO64:DO78" si="189">DJ64-DM64</f>
        <v>-209.1026827368421</v>
      </c>
      <c r="DP64" s="196">
        <f t="shared" ref="DP64:DP78" si="190">DH64/(1+$F$4)^(DB64-1)</f>
        <v>494.65500000000003</v>
      </c>
      <c r="DQ64" s="197">
        <f t="shared" ref="DQ64:DQ78" si="191">DI64/(1+$F$4)^(DB64-1)</f>
        <v>330</v>
      </c>
      <c r="DR64" s="197">
        <f t="shared" ref="DR64:DR78" si="192">DM64/(1+$F$4)^(DB64-1)</f>
        <v>1033.7576827368421</v>
      </c>
      <c r="DS64" s="197">
        <f t="shared" ref="DS64:DS78" si="193">DN64/(1+$F$4)^(DB64-1)</f>
        <v>-539.1026827368421</v>
      </c>
      <c r="DT64" s="199">
        <f t="shared" ref="DT64:DT78" si="194">DO64/(1+$F$4)^(DB64-1)</f>
        <v>-209.1026827368421</v>
      </c>
      <c r="DU64" s="196">
        <f t="shared" ref="DU64:DY78" si="195">DU63+DP64</f>
        <v>1936.11</v>
      </c>
      <c r="DV64" s="197">
        <f t="shared" si="195"/>
        <v>660</v>
      </c>
      <c r="DW64" s="197">
        <f t="shared" si="195"/>
        <v>2599.1071250526315</v>
      </c>
      <c r="DX64" s="197">
        <f t="shared" si="195"/>
        <v>-662.99712505263165</v>
      </c>
      <c r="DY64" s="199">
        <f t="shared" si="195"/>
        <v>-2.9971250526316453</v>
      </c>
    </row>
    <row r="65" spans="2:129" x14ac:dyDescent="0.3">
      <c r="B65" s="204">
        <f t="shared" ref="B65:B78" si="196">B64+1</f>
        <v>3</v>
      </c>
      <c r="C65" s="219" t="s">
        <v>28</v>
      </c>
      <c r="D65" s="760">
        <f>'Arable Inputs'!$H$18</f>
        <v>9.4</v>
      </c>
      <c r="E65" s="760">
        <f>'Arable Inputs'!$H$25</f>
        <v>94.285714285714292</v>
      </c>
      <c r="H65" s="762">
        <f>D65*E65</f>
        <v>886.28571428571433</v>
      </c>
      <c r="I65" s="197">
        <f>'Arable NPV'!$E145</f>
        <v>330</v>
      </c>
      <c r="J65" s="197">
        <f t="shared" si="145"/>
        <v>1216.2857142857142</v>
      </c>
      <c r="K65" s="197">
        <f>'Arable NPV'!$G145</f>
        <v>566.71194999999989</v>
      </c>
      <c r="L65" s="197">
        <f>'Arable NPV'!$H145</f>
        <v>691.46913599999993</v>
      </c>
      <c r="M65" s="197">
        <f t="shared" si="146"/>
        <v>1258.1810859999998</v>
      </c>
      <c r="N65" s="197">
        <f t="shared" si="147"/>
        <v>-371.89537171428549</v>
      </c>
      <c r="O65" s="197">
        <f t="shared" si="148"/>
        <v>-41.895371714285602</v>
      </c>
      <c r="P65" s="196">
        <f t="shared" si="149"/>
        <v>835.40928860940176</v>
      </c>
      <c r="Q65" s="197">
        <f t="shared" si="150"/>
        <v>311.05665001413894</v>
      </c>
      <c r="R65" s="197">
        <f t="shared" si="151"/>
        <v>1185.9563446130642</v>
      </c>
      <c r="S65" s="197">
        <f t="shared" si="152"/>
        <v>-350.54705600366248</v>
      </c>
      <c r="T65" s="199">
        <f t="shared" si="153"/>
        <v>-39.490405989523616</v>
      </c>
      <c r="U65" s="196">
        <f t="shared" si="154"/>
        <v>2757.1118614249358</v>
      </c>
      <c r="V65" s="197">
        <f t="shared" si="154"/>
        <v>961.44499952870206</v>
      </c>
      <c r="W65" s="197">
        <f t="shared" si="154"/>
        <v>3754.9540225956907</v>
      </c>
      <c r="X65" s="197">
        <f t="shared" si="154"/>
        <v>-997.84216117075493</v>
      </c>
      <c r="Y65" s="199">
        <f t="shared" si="154"/>
        <v>-36.397161642053071</v>
      </c>
      <c r="AB65" s="204">
        <f t="shared" ref="AB65:AB78" si="197">AB64+1</f>
        <v>3</v>
      </c>
      <c r="AC65" s="219" t="s">
        <v>28</v>
      </c>
      <c r="AD65" s="760">
        <f>'Arable Inputs'!$H$18</f>
        <v>9.4</v>
      </c>
      <c r="AE65" s="760">
        <f>'Arable Inputs'!$H$25</f>
        <v>94.285714285714292</v>
      </c>
      <c r="AH65" s="762">
        <f>AD65*AE65</f>
        <v>886.28571428571433</v>
      </c>
      <c r="AI65" s="197">
        <f>'Arable NPV'!$E145</f>
        <v>330</v>
      </c>
      <c r="AJ65" s="197">
        <f t="shared" si="155"/>
        <v>1216.2857142857142</v>
      </c>
      <c r="AK65" s="197">
        <f>'Arable NPV'!$G145</f>
        <v>566.71194999999989</v>
      </c>
      <c r="AL65" s="197">
        <f>'Arable NPV'!$H145</f>
        <v>691.46913599999993</v>
      </c>
      <c r="AM65" s="197">
        <f t="shared" si="156"/>
        <v>1258.1810859999998</v>
      </c>
      <c r="AN65" s="197">
        <f t="shared" si="157"/>
        <v>-371.89537171428549</v>
      </c>
      <c r="AO65" s="197">
        <f t="shared" si="158"/>
        <v>-41.895371714285602</v>
      </c>
      <c r="AP65" s="196">
        <f t="shared" si="159"/>
        <v>811.59837392524389</v>
      </c>
      <c r="AQ65" s="197">
        <f t="shared" si="160"/>
        <v>302.19088390833548</v>
      </c>
      <c r="AR65" s="197">
        <f t="shared" si="161"/>
        <v>1152.1541045305739</v>
      </c>
      <c r="AS65" s="197">
        <f t="shared" si="162"/>
        <v>-340.55573060533004</v>
      </c>
      <c r="AT65" s="199">
        <f t="shared" si="163"/>
        <v>-38.364846696994675</v>
      </c>
      <c r="AU65" s="196">
        <f t="shared" si="164"/>
        <v>2726.4074409108898</v>
      </c>
      <c r="AV65" s="197">
        <f t="shared" si="164"/>
        <v>947.98035759254594</v>
      </c>
      <c r="AW65" s="197">
        <f t="shared" si="164"/>
        <v>3706.7453485084134</v>
      </c>
      <c r="AX65" s="197">
        <f t="shared" si="164"/>
        <v>-980.33790759752355</v>
      </c>
      <c r="AY65" s="199">
        <f t="shared" si="164"/>
        <v>-32.357550004977639</v>
      </c>
      <c r="BB65" s="204">
        <f t="shared" ref="BB65:BB78" si="198">BB64+1</f>
        <v>3</v>
      </c>
      <c r="BC65" s="219" t="s">
        <v>28</v>
      </c>
      <c r="BD65" s="760">
        <f>'Arable Inputs'!$H$18</f>
        <v>9.4</v>
      </c>
      <c r="BE65" s="760">
        <f>'Arable Inputs'!$H$25</f>
        <v>94.285714285714292</v>
      </c>
      <c r="BH65" s="762">
        <f>BD65*BE65</f>
        <v>886.28571428571433</v>
      </c>
      <c r="BI65" s="197">
        <f>'Arable NPV'!$E145</f>
        <v>330</v>
      </c>
      <c r="BJ65" s="197">
        <f t="shared" si="165"/>
        <v>1216.2857142857142</v>
      </c>
      <c r="BK65" s="197">
        <f>'Arable NPV'!$G145</f>
        <v>566.71194999999989</v>
      </c>
      <c r="BL65" s="197">
        <f>'Arable NPV'!$H145</f>
        <v>691.46913599999993</v>
      </c>
      <c r="BM65" s="197">
        <f t="shared" si="166"/>
        <v>1258.1810859999998</v>
      </c>
      <c r="BN65" s="197">
        <f t="shared" si="167"/>
        <v>-371.89537171428549</v>
      </c>
      <c r="BO65" s="197">
        <f t="shared" si="168"/>
        <v>-41.895371714285602</v>
      </c>
      <c r="BP65" s="196">
        <f t="shared" si="169"/>
        <v>860.28364122955134</v>
      </c>
      <c r="BQ65" s="197">
        <f t="shared" si="170"/>
        <v>320.31837705355633</v>
      </c>
      <c r="BR65" s="197">
        <f t="shared" si="171"/>
        <v>1221.2682530515181</v>
      </c>
      <c r="BS65" s="197">
        <f t="shared" si="172"/>
        <v>-360.98461182196667</v>
      </c>
      <c r="BT65" s="199">
        <f t="shared" si="173"/>
        <v>-40.666234768410412</v>
      </c>
      <c r="BU65" s="196">
        <f t="shared" si="174"/>
        <v>2789.0834688157584</v>
      </c>
      <c r="BV65" s="197">
        <f t="shared" si="174"/>
        <v>975.44152976291593</v>
      </c>
      <c r="BW65" s="197">
        <f t="shared" si="174"/>
        <v>3805.0981709701077</v>
      </c>
      <c r="BX65" s="197">
        <f t="shared" si="174"/>
        <v>-1016.0147021543494</v>
      </c>
      <c r="BY65" s="199">
        <f t="shared" si="174"/>
        <v>-40.57317239143358</v>
      </c>
      <c r="CB65" s="204">
        <f t="shared" ref="CB65:CB78" si="199">CB64+1</f>
        <v>3</v>
      </c>
      <c r="CC65" s="219" t="s">
        <v>28</v>
      </c>
      <c r="CD65" s="760">
        <f>'Arable Inputs'!$H$18</f>
        <v>9.4</v>
      </c>
      <c r="CE65" s="760">
        <f>'Arable Inputs'!$H$25</f>
        <v>94.285714285714292</v>
      </c>
      <c r="CH65" s="762">
        <f>CD65*CE65</f>
        <v>886.28571428571433</v>
      </c>
      <c r="CI65" s="197">
        <f>'Arable NPV'!$E145</f>
        <v>330</v>
      </c>
      <c r="CJ65" s="197">
        <f t="shared" si="175"/>
        <v>1216.2857142857142</v>
      </c>
      <c r="CK65" s="197">
        <f>'Arable NPV'!$G145</f>
        <v>566.71194999999989</v>
      </c>
      <c r="CL65" s="197">
        <f>'Arable NPV'!$H145</f>
        <v>691.46913599999993</v>
      </c>
      <c r="CM65" s="197">
        <f t="shared" si="176"/>
        <v>1258.1810859999998</v>
      </c>
      <c r="CN65" s="197">
        <f t="shared" si="177"/>
        <v>-371.89537171428549</v>
      </c>
      <c r="CO65" s="197">
        <f t="shared" si="178"/>
        <v>-41.895371714285602</v>
      </c>
      <c r="CP65" s="196">
        <f t="shared" si="179"/>
        <v>788.79113054976347</v>
      </c>
      <c r="CQ65" s="197">
        <f t="shared" si="180"/>
        <v>293.69882520469912</v>
      </c>
      <c r="CR65" s="197">
        <f t="shared" si="181"/>
        <v>1119.7766874332499</v>
      </c>
      <c r="CS65" s="197">
        <f t="shared" si="182"/>
        <v>-330.98555688348648</v>
      </c>
      <c r="CT65" s="199">
        <f t="shared" si="183"/>
        <v>-37.286731678787469</v>
      </c>
      <c r="CU65" s="196">
        <f t="shared" si="184"/>
        <v>2696.901790927122</v>
      </c>
      <c r="CV65" s="197">
        <f t="shared" si="184"/>
        <v>935.01957992168025</v>
      </c>
      <c r="CW65" s="197">
        <f t="shared" si="184"/>
        <v>3660.3692266705884</v>
      </c>
      <c r="CX65" s="197">
        <f t="shared" si="184"/>
        <v>-963.46743574346669</v>
      </c>
      <c r="CY65" s="199">
        <f t="shared" si="184"/>
        <v>-28.447855821786526</v>
      </c>
      <c r="DB65" s="204">
        <f t="shared" si="185"/>
        <v>3</v>
      </c>
      <c r="DC65" s="219" t="s">
        <v>28</v>
      </c>
      <c r="DD65" s="760">
        <f>'Arable Inputs'!$H$18</f>
        <v>9.4</v>
      </c>
      <c r="DE65" s="760">
        <f>'Arable Inputs'!$H$25</f>
        <v>94.285714285714292</v>
      </c>
      <c r="DH65" s="762">
        <f>DD65*DE65</f>
        <v>886.28571428571433</v>
      </c>
      <c r="DI65" s="197">
        <f>'Arable NPV'!$E145</f>
        <v>330</v>
      </c>
      <c r="DJ65" s="197">
        <f t="shared" si="186"/>
        <v>1216.2857142857142</v>
      </c>
      <c r="DK65" s="197">
        <f>'Arable NPV'!$G145</f>
        <v>566.71194999999989</v>
      </c>
      <c r="DL65" s="197">
        <f>'Arable NPV'!$H145</f>
        <v>691.46913599999993</v>
      </c>
      <c r="DM65" s="197">
        <f t="shared" si="187"/>
        <v>1258.1810859999998</v>
      </c>
      <c r="DN65" s="197">
        <f t="shared" si="188"/>
        <v>-371.89537171428549</v>
      </c>
      <c r="DO65" s="197">
        <f t="shared" si="189"/>
        <v>-41.895371714285602</v>
      </c>
      <c r="DP65" s="196">
        <f t="shared" si="190"/>
        <v>886.28571428571433</v>
      </c>
      <c r="DQ65" s="197">
        <f t="shared" si="191"/>
        <v>330</v>
      </c>
      <c r="DR65" s="197">
        <f t="shared" si="192"/>
        <v>1258.1810859999998</v>
      </c>
      <c r="DS65" s="197">
        <f t="shared" si="193"/>
        <v>-371.89537171428549</v>
      </c>
      <c r="DT65" s="199">
        <f t="shared" si="194"/>
        <v>-41.895371714285602</v>
      </c>
      <c r="DU65" s="196">
        <f t="shared" si="195"/>
        <v>2822.3957142857143</v>
      </c>
      <c r="DV65" s="197">
        <f t="shared" si="195"/>
        <v>990</v>
      </c>
      <c r="DW65" s="197">
        <f t="shared" si="195"/>
        <v>3857.2882110526316</v>
      </c>
      <c r="DX65" s="197">
        <f t="shared" si="195"/>
        <v>-1034.8924967669172</v>
      </c>
      <c r="DY65" s="199">
        <f t="shared" si="195"/>
        <v>-44.892496766917247</v>
      </c>
    </row>
    <row r="66" spans="2:129" x14ac:dyDescent="0.3">
      <c r="B66" s="204">
        <f t="shared" si="196"/>
        <v>4</v>
      </c>
      <c r="C66" s="219" t="s">
        <v>5</v>
      </c>
      <c r="D66" s="760">
        <f>'Arable Inputs'!$F$18</f>
        <v>2.6</v>
      </c>
      <c r="E66" s="760">
        <f>'Arable Inputs'!$F$25</f>
        <v>196.99</v>
      </c>
      <c r="F66" s="760">
        <f>'Arable Inputs'!$F$19</f>
        <v>2.6</v>
      </c>
      <c r="G66" s="760">
        <f>'Arable Inputs'!$F$26</f>
        <v>42.374999999999993</v>
      </c>
      <c r="H66" s="762">
        <f>D66*E66+F66*G66</f>
        <v>622.34900000000005</v>
      </c>
      <c r="I66" s="197">
        <f>'Arable NPV'!$E146</f>
        <v>330</v>
      </c>
      <c r="J66" s="197">
        <f t="shared" si="145"/>
        <v>952.34900000000005</v>
      </c>
      <c r="K66" s="197">
        <f>'Arable NPV'!$G146</f>
        <v>327.77441459954235</v>
      </c>
      <c r="L66" s="197">
        <f>'Arable NPV'!$H146</f>
        <v>704.91322685714283</v>
      </c>
      <c r="M66" s="197">
        <f t="shared" si="146"/>
        <v>1032.6876414566852</v>
      </c>
      <c r="N66" s="197">
        <f t="shared" si="147"/>
        <v>-410.3386414566852</v>
      </c>
      <c r="O66" s="197">
        <f t="shared" si="148"/>
        <v>-80.338641456685195</v>
      </c>
      <c r="P66" s="196">
        <f t="shared" si="149"/>
        <v>569.5374965567795</v>
      </c>
      <c r="Q66" s="197">
        <f t="shared" si="150"/>
        <v>301.99674758654265</v>
      </c>
      <c r="R66" s="197">
        <f t="shared" si="151"/>
        <v>945.05548179617165</v>
      </c>
      <c r="S66" s="197">
        <f t="shared" si="152"/>
        <v>-375.51798523939209</v>
      </c>
      <c r="T66" s="199">
        <f t="shared" si="153"/>
        <v>-73.521237652849422</v>
      </c>
      <c r="U66" s="196">
        <f t="shared" si="154"/>
        <v>3326.6493579817152</v>
      </c>
      <c r="V66" s="197">
        <f t="shared" si="154"/>
        <v>1263.4417471152447</v>
      </c>
      <c r="W66" s="197">
        <f t="shared" si="154"/>
        <v>4700.0095043918627</v>
      </c>
      <c r="X66" s="197">
        <f t="shared" si="154"/>
        <v>-1373.3601464101471</v>
      </c>
      <c r="Y66" s="199">
        <f t="shared" si="154"/>
        <v>-109.91839929490249</v>
      </c>
      <c r="AB66" s="204">
        <f t="shared" si="197"/>
        <v>4</v>
      </c>
      <c r="AC66" s="219" t="s">
        <v>5</v>
      </c>
      <c r="AD66" s="760">
        <f>'Arable Inputs'!$F$18</f>
        <v>2.6</v>
      </c>
      <c r="AE66" s="760">
        <f>'Arable Inputs'!$F$25</f>
        <v>196.99</v>
      </c>
      <c r="AF66" s="760">
        <f>'Arable Inputs'!$F$19</f>
        <v>2.6</v>
      </c>
      <c r="AG66" s="760">
        <f>'Arable Inputs'!$F$26</f>
        <v>42.374999999999993</v>
      </c>
      <c r="AH66" s="762">
        <f>AD66*AE66+AF66*AG66</f>
        <v>622.34900000000005</v>
      </c>
      <c r="AI66" s="197">
        <f>'Arable NPV'!$E146</f>
        <v>330</v>
      </c>
      <c r="AJ66" s="197">
        <f t="shared" si="155"/>
        <v>952.34900000000005</v>
      </c>
      <c r="AK66" s="197">
        <f>'Arable NPV'!$G146</f>
        <v>327.77441459954235</v>
      </c>
      <c r="AL66" s="197">
        <f>'Arable NPV'!$H146</f>
        <v>704.91322685714283</v>
      </c>
      <c r="AM66" s="197">
        <f t="shared" si="156"/>
        <v>1032.6876414566852</v>
      </c>
      <c r="AN66" s="197">
        <f t="shared" si="157"/>
        <v>-410.3386414566852</v>
      </c>
      <c r="AO66" s="197">
        <f t="shared" si="158"/>
        <v>-80.338641456685195</v>
      </c>
      <c r="AP66" s="196">
        <f t="shared" si="159"/>
        <v>545.36231523696881</v>
      </c>
      <c r="AQ66" s="197">
        <f t="shared" si="160"/>
        <v>289.17787933812008</v>
      </c>
      <c r="AR66" s="197">
        <f t="shared" si="161"/>
        <v>904.94067325796709</v>
      </c>
      <c r="AS66" s="197">
        <f t="shared" si="162"/>
        <v>-359.57835802099828</v>
      </c>
      <c r="AT66" s="199">
        <f t="shared" si="163"/>
        <v>-70.400478682878187</v>
      </c>
      <c r="AU66" s="196">
        <f t="shared" si="164"/>
        <v>3271.7697561478585</v>
      </c>
      <c r="AV66" s="197">
        <f t="shared" si="164"/>
        <v>1237.1582369306661</v>
      </c>
      <c r="AW66" s="197">
        <f t="shared" si="164"/>
        <v>4611.6860217663807</v>
      </c>
      <c r="AX66" s="197">
        <f t="shared" si="164"/>
        <v>-1339.9162656185217</v>
      </c>
      <c r="AY66" s="199">
        <f t="shared" si="164"/>
        <v>-102.75802868785583</v>
      </c>
      <c r="BB66" s="204">
        <f t="shared" si="198"/>
        <v>4</v>
      </c>
      <c r="BC66" s="219" t="s">
        <v>5</v>
      </c>
      <c r="BD66" s="760">
        <f>'Arable Inputs'!$F$18</f>
        <v>2.6</v>
      </c>
      <c r="BE66" s="760">
        <f>'Arable Inputs'!$F$25</f>
        <v>196.99</v>
      </c>
      <c r="BF66" s="760">
        <f>'Arable Inputs'!$F$19</f>
        <v>2.6</v>
      </c>
      <c r="BG66" s="760">
        <f>'Arable Inputs'!$F$26</f>
        <v>42.374999999999993</v>
      </c>
      <c r="BH66" s="762">
        <f>BD66*BE66+BF66*BG66</f>
        <v>622.34900000000005</v>
      </c>
      <c r="BI66" s="197">
        <f>'Arable NPV'!$E146</f>
        <v>330</v>
      </c>
      <c r="BJ66" s="197">
        <f t="shared" si="165"/>
        <v>952.34900000000005</v>
      </c>
      <c r="BK66" s="197">
        <f>'Arable NPV'!$G146</f>
        <v>327.77441459954235</v>
      </c>
      <c r="BL66" s="197">
        <f>'Arable NPV'!$H146</f>
        <v>704.91322685714283</v>
      </c>
      <c r="BM66" s="197">
        <f t="shared" si="166"/>
        <v>1032.6876414566852</v>
      </c>
      <c r="BN66" s="197">
        <f t="shared" si="167"/>
        <v>-410.3386414566852</v>
      </c>
      <c r="BO66" s="197">
        <f t="shared" si="168"/>
        <v>-80.338641456685195</v>
      </c>
      <c r="BP66" s="196">
        <f t="shared" si="169"/>
        <v>595.16292473773331</v>
      </c>
      <c r="BQ66" s="197">
        <f t="shared" si="170"/>
        <v>315.58460793453833</v>
      </c>
      <c r="BR66" s="197">
        <f t="shared" si="171"/>
        <v>987.57674075136686</v>
      </c>
      <c r="BS66" s="197">
        <f t="shared" si="172"/>
        <v>-392.41381601363361</v>
      </c>
      <c r="BT66" s="199">
        <f t="shared" si="173"/>
        <v>-76.829208079095281</v>
      </c>
      <c r="BU66" s="196">
        <f t="shared" si="174"/>
        <v>3384.2463935534915</v>
      </c>
      <c r="BV66" s="197">
        <f t="shared" si="174"/>
        <v>1291.0261376974543</v>
      </c>
      <c r="BW66" s="197">
        <f t="shared" si="174"/>
        <v>4792.6749117214749</v>
      </c>
      <c r="BX66" s="197">
        <f t="shared" si="174"/>
        <v>-1408.4285181679829</v>
      </c>
      <c r="BY66" s="199">
        <f t="shared" si="174"/>
        <v>-117.40238047052887</v>
      </c>
      <c r="CB66" s="204">
        <f t="shared" si="199"/>
        <v>4</v>
      </c>
      <c r="CC66" s="219" t="s">
        <v>5</v>
      </c>
      <c r="CD66" s="760">
        <f>'Arable Inputs'!$F$18</f>
        <v>2.6</v>
      </c>
      <c r="CE66" s="760">
        <f>'Arable Inputs'!$F$25</f>
        <v>196.99</v>
      </c>
      <c r="CF66" s="760">
        <f>'Arable Inputs'!$F$19</f>
        <v>2.6</v>
      </c>
      <c r="CG66" s="760">
        <f>'Arable Inputs'!$F$26</f>
        <v>42.374999999999993</v>
      </c>
      <c r="CH66" s="762">
        <f>CD66*CE66+CF66*CG66</f>
        <v>622.34900000000005</v>
      </c>
      <c r="CI66" s="197">
        <f>'Arable NPV'!$E146</f>
        <v>330</v>
      </c>
      <c r="CJ66" s="197">
        <f t="shared" si="175"/>
        <v>952.34900000000005</v>
      </c>
      <c r="CK66" s="197">
        <f>'Arable NPV'!$G146</f>
        <v>327.77441459954235</v>
      </c>
      <c r="CL66" s="197">
        <f>'Arable NPV'!$H146</f>
        <v>704.91322685714283</v>
      </c>
      <c r="CM66" s="197">
        <f t="shared" si="176"/>
        <v>1032.6876414566852</v>
      </c>
      <c r="CN66" s="197">
        <f t="shared" si="177"/>
        <v>-410.3386414566852</v>
      </c>
      <c r="CO66" s="197">
        <f t="shared" si="178"/>
        <v>-80.338641456685195</v>
      </c>
      <c r="CP66" s="196">
        <f t="shared" si="179"/>
        <v>522.53622117586997</v>
      </c>
      <c r="CQ66" s="197">
        <f t="shared" si="180"/>
        <v>277.07436340065954</v>
      </c>
      <c r="CR66" s="197">
        <f t="shared" si="181"/>
        <v>867.06445711618062</v>
      </c>
      <c r="CS66" s="197">
        <f t="shared" si="182"/>
        <v>-344.52823594031071</v>
      </c>
      <c r="CT66" s="199">
        <f t="shared" si="183"/>
        <v>-67.453872539651172</v>
      </c>
      <c r="CU66" s="196">
        <f t="shared" si="184"/>
        <v>3219.4380121029917</v>
      </c>
      <c r="CV66" s="197">
        <f t="shared" si="184"/>
        <v>1212.0939433223398</v>
      </c>
      <c r="CW66" s="197">
        <f t="shared" si="184"/>
        <v>4527.4336837867686</v>
      </c>
      <c r="CX66" s="197">
        <f t="shared" si="184"/>
        <v>-1307.9956716837773</v>
      </c>
      <c r="CY66" s="199">
        <f t="shared" si="184"/>
        <v>-95.901728361437705</v>
      </c>
      <c r="DB66" s="204">
        <f t="shared" si="185"/>
        <v>4</v>
      </c>
      <c r="DC66" s="219" t="s">
        <v>5</v>
      </c>
      <c r="DD66" s="760">
        <f>'Arable Inputs'!$F$18</f>
        <v>2.6</v>
      </c>
      <c r="DE66" s="760">
        <f>'Arable Inputs'!$F$25</f>
        <v>196.99</v>
      </c>
      <c r="DF66" s="760">
        <f>'Arable Inputs'!$F$19</f>
        <v>2.6</v>
      </c>
      <c r="DG66" s="760">
        <f>'Arable Inputs'!$F$26</f>
        <v>42.374999999999993</v>
      </c>
      <c r="DH66" s="762">
        <f>DD66*DE66+DF66*DG66</f>
        <v>622.34900000000005</v>
      </c>
      <c r="DI66" s="197">
        <f>'Arable NPV'!$E146</f>
        <v>330</v>
      </c>
      <c r="DJ66" s="197">
        <f t="shared" si="186"/>
        <v>952.34900000000005</v>
      </c>
      <c r="DK66" s="197">
        <f>'Arable NPV'!$G146</f>
        <v>327.77441459954235</v>
      </c>
      <c r="DL66" s="197">
        <f>'Arable NPV'!$H146</f>
        <v>704.91322685714283</v>
      </c>
      <c r="DM66" s="197">
        <f t="shared" si="187"/>
        <v>1032.6876414566852</v>
      </c>
      <c r="DN66" s="197">
        <f t="shared" si="188"/>
        <v>-410.3386414566852</v>
      </c>
      <c r="DO66" s="197">
        <f t="shared" si="189"/>
        <v>-80.338641456685195</v>
      </c>
      <c r="DP66" s="196">
        <f t="shared" si="190"/>
        <v>622.34900000000005</v>
      </c>
      <c r="DQ66" s="197">
        <f t="shared" si="191"/>
        <v>330</v>
      </c>
      <c r="DR66" s="197">
        <f t="shared" si="192"/>
        <v>1032.6876414566852</v>
      </c>
      <c r="DS66" s="197">
        <f t="shared" si="193"/>
        <v>-410.3386414566852</v>
      </c>
      <c r="DT66" s="199">
        <f t="shared" si="194"/>
        <v>-80.338641456685195</v>
      </c>
      <c r="DU66" s="196">
        <f t="shared" si="195"/>
        <v>3444.7447142857145</v>
      </c>
      <c r="DV66" s="197">
        <f t="shared" si="195"/>
        <v>1320</v>
      </c>
      <c r="DW66" s="197">
        <f t="shared" si="195"/>
        <v>4889.9758525093166</v>
      </c>
      <c r="DX66" s="197">
        <f t="shared" si="195"/>
        <v>-1445.2311382236026</v>
      </c>
      <c r="DY66" s="199">
        <f t="shared" si="195"/>
        <v>-125.23113822360244</v>
      </c>
    </row>
    <row r="67" spans="2:129" x14ac:dyDescent="0.3">
      <c r="B67" s="204">
        <f t="shared" si="196"/>
        <v>5</v>
      </c>
      <c r="C67" s="219" t="s">
        <v>559</v>
      </c>
      <c r="D67" s="760">
        <f>'Arable Inputs'!$E$18</f>
        <v>3.1</v>
      </c>
      <c r="E67" s="760">
        <f>'Arable Inputs'!$E$25</f>
        <v>310.75</v>
      </c>
      <c r="H67" s="762">
        <f>D67*E67</f>
        <v>963.32500000000005</v>
      </c>
      <c r="I67" s="197">
        <f>'Arable NPV'!$E147</f>
        <v>330</v>
      </c>
      <c r="J67" s="197">
        <f t="shared" si="145"/>
        <v>1293.325</v>
      </c>
      <c r="K67" s="197">
        <f>'Arable NPV'!$G147</f>
        <v>300.32802631578949</v>
      </c>
      <c r="L67" s="197">
        <f>'Arable NPV'!$H147</f>
        <v>547.62448399999994</v>
      </c>
      <c r="M67" s="197">
        <f t="shared" si="146"/>
        <v>847.95251031578937</v>
      </c>
      <c r="N67" s="197">
        <f t="shared" si="147"/>
        <v>115.37248968421068</v>
      </c>
      <c r="O67" s="197">
        <f t="shared" si="148"/>
        <v>445.37248968421068</v>
      </c>
      <c r="P67" s="196">
        <f t="shared" si="149"/>
        <v>855.90178543338106</v>
      </c>
      <c r="Q67" s="197">
        <f t="shared" si="150"/>
        <v>293.20072581217738</v>
      </c>
      <c r="R67" s="197">
        <f t="shared" si="151"/>
        <v>753.3948226631735</v>
      </c>
      <c r="S67" s="197">
        <f t="shared" si="152"/>
        <v>102.50696277020762</v>
      </c>
      <c r="T67" s="199">
        <f t="shared" si="153"/>
        <v>395.707688582385</v>
      </c>
      <c r="U67" s="196">
        <f t="shared" si="154"/>
        <v>4182.5511434150958</v>
      </c>
      <c r="V67" s="197">
        <f t="shared" si="154"/>
        <v>1556.642472927422</v>
      </c>
      <c r="W67" s="197">
        <f t="shared" si="154"/>
        <v>5453.4043270550364</v>
      </c>
      <c r="X67" s="197">
        <f t="shared" si="154"/>
        <v>-1270.8531836399395</v>
      </c>
      <c r="Y67" s="199">
        <f t="shared" si="154"/>
        <v>285.78928928748252</v>
      </c>
      <c r="AB67" s="204">
        <f t="shared" si="197"/>
        <v>5</v>
      </c>
      <c r="AC67" s="219" t="s">
        <v>559</v>
      </c>
      <c r="AD67" s="760">
        <f>'Arable Inputs'!$E$18</f>
        <v>3.1</v>
      </c>
      <c r="AE67" s="760">
        <f>'Arable Inputs'!$E$25</f>
        <v>310.75</v>
      </c>
      <c r="AH67" s="762">
        <f>AD67*AE67</f>
        <v>963.32500000000005</v>
      </c>
      <c r="AI67" s="197">
        <f>'Arable NPV'!$E147</f>
        <v>330</v>
      </c>
      <c r="AJ67" s="197">
        <f t="shared" si="155"/>
        <v>1293.325</v>
      </c>
      <c r="AK67" s="197">
        <f>'Arable NPV'!$G147</f>
        <v>300.32802631578949</v>
      </c>
      <c r="AL67" s="197">
        <f>'Arable NPV'!$H147</f>
        <v>547.62448399999994</v>
      </c>
      <c r="AM67" s="197">
        <f t="shared" si="156"/>
        <v>847.95251031578937</v>
      </c>
      <c r="AN67" s="197">
        <f t="shared" si="157"/>
        <v>115.37248968421068</v>
      </c>
      <c r="AO67" s="197">
        <f t="shared" si="158"/>
        <v>445.37248968421068</v>
      </c>
      <c r="AP67" s="196">
        <f t="shared" si="159"/>
        <v>807.80710631693375</v>
      </c>
      <c r="AQ67" s="197">
        <f t="shared" si="160"/>
        <v>276.7252433857609</v>
      </c>
      <c r="AR67" s="197">
        <f t="shared" si="161"/>
        <v>711.06019635364771</v>
      </c>
      <c r="AS67" s="197">
        <f t="shared" si="162"/>
        <v>96.746909963286029</v>
      </c>
      <c r="AT67" s="199">
        <f t="shared" si="163"/>
        <v>373.47215334904695</v>
      </c>
      <c r="AU67" s="196">
        <f t="shared" si="164"/>
        <v>4079.5768624647922</v>
      </c>
      <c r="AV67" s="197">
        <f t="shared" si="164"/>
        <v>1513.883480316427</v>
      </c>
      <c r="AW67" s="197">
        <f t="shared" si="164"/>
        <v>5322.7462181200281</v>
      </c>
      <c r="AX67" s="197">
        <f t="shared" si="164"/>
        <v>-1243.1693556552357</v>
      </c>
      <c r="AY67" s="199">
        <f t="shared" si="164"/>
        <v>270.71412466119114</v>
      </c>
      <c r="BB67" s="204">
        <f t="shared" si="198"/>
        <v>5</v>
      </c>
      <c r="BC67" s="219" t="s">
        <v>559</v>
      </c>
      <c r="BD67" s="760">
        <f>'Arable Inputs'!$E$18</f>
        <v>3.1</v>
      </c>
      <c r="BE67" s="760">
        <f>'Arable Inputs'!$E$25</f>
        <v>310.75</v>
      </c>
      <c r="BH67" s="762">
        <f>BD67*BE67</f>
        <v>963.32500000000005</v>
      </c>
      <c r="BI67" s="197">
        <f>'Arable NPV'!$E147</f>
        <v>330</v>
      </c>
      <c r="BJ67" s="197">
        <f t="shared" si="165"/>
        <v>1293.325</v>
      </c>
      <c r="BK67" s="197">
        <f>'Arable NPV'!$G147</f>
        <v>300.32802631578949</v>
      </c>
      <c r="BL67" s="197">
        <f>'Arable NPV'!$H147</f>
        <v>547.62448399999994</v>
      </c>
      <c r="BM67" s="197">
        <f t="shared" si="166"/>
        <v>847.95251031578937</v>
      </c>
      <c r="BN67" s="197">
        <f t="shared" si="167"/>
        <v>115.37248968421068</v>
      </c>
      <c r="BO67" s="197">
        <f t="shared" si="168"/>
        <v>445.37248968421068</v>
      </c>
      <c r="BP67" s="196">
        <f t="shared" si="169"/>
        <v>907.62962364095893</v>
      </c>
      <c r="BQ67" s="197">
        <f t="shared" si="170"/>
        <v>310.92079599461908</v>
      </c>
      <c r="BR67" s="197">
        <f t="shared" si="171"/>
        <v>798.92748325157777</v>
      </c>
      <c r="BS67" s="197">
        <f t="shared" si="172"/>
        <v>108.7021403893811</v>
      </c>
      <c r="BT67" s="199">
        <f t="shared" si="173"/>
        <v>419.62293638400018</v>
      </c>
      <c r="BU67" s="196">
        <f t="shared" si="174"/>
        <v>4291.8760171944505</v>
      </c>
      <c r="BV67" s="197">
        <f t="shared" si="174"/>
        <v>1601.9469336920733</v>
      </c>
      <c r="BW67" s="197">
        <f t="shared" si="174"/>
        <v>5591.6023949730525</v>
      </c>
      <c r="BX67" s="197">
        <f t="shared" si="174"/>
        <v>-1299.7263777786018</v>
      </c>
      <c r="BY67" s="199">
        <f t="shared" si="174"/>
        <v>302.22055591347134</v>
      </c>
      <c r="CB67" s="204">
        <f t="shared" si="199"/>
        <v>5</v>
      </c>
      <c r="CC67" s="219" t="s">
        <v>559</v>
      </c>
      <c r="CD67" s="760">
        <f>'Arable Inputs'!$E$18</f>
        <v>3.1</v>
      </c>
      <c r="CE67" s="760">
        <f>'Arable Inputs'!$E$25</f>
        <v>310.75</v>
      </c>
      <c r="CH67" s="762">
        <f>CD67*CE67</f>
        <v>963.32500000000005</v>
      </c>
      <c r="CI67" s="197">
        <f>'Arable NPV'!$E147</f>
        <v>330</v>
      </c>
      <c r="CJ67" s="197">
        <f t="shared" si="175"/>
        <v>1293.325</v>
      </c>
      <c r="CK67" s="197">
        <f>'Arable NPV'!$G147</f>
        <v>300.32802631578949</v>
      </c>
      <c r="CL67" s="197">
        <f>'Arable NPV'!$H147</f>
        <v>547.62448399999994</v>
      </c>
      <c r="CM67" s="197">
        <f t="shared" si="176"/>
        <v>847.95251031578937</v>
      </c>
      <c r="CN67" s="197">
        <f t="shared" si="177"/>
        <v>115.37248968421068</v>
      </c>
      <c r="CO67" s="197">
        <f t="shared" si="178"/>
        <v>445.37248968421068</v>
      </c>
      <c r="CP67" s="196">
        <f t="shared" si="179"/>
        <v>763.04362813876605</v>
      </c>
      <c r="CQ67" s="197">
        <f t="shared" si="180"/>
        <v>261.39090886854672</v>
      </c>
      <c r="CR67" s="197">
        <f t="shared" si="181"/>
        <v>671.65781014790889</v>
      </c>
      <c r="CS67" s="197">
        <f t="shared" si="182"/>
        <v>91.385817990857149</v>
      </c>
      <c r="CT67" s="199">
        <f t="shared" si="183"/>
        <v>352.77672685940388</v>
      </c>
      <c r="CU67" s="196">
        <f t="shared" si="184"/>
        <v>3982.4816402417578</v>
      </c>
      <c r="CV67" s="197">
        <f t="shared" si="184"/>
        <v>1473.4848521908866</v>
      </c>
      <c r="CW67" s="197">
        <f t="shared" si="184"/>
        <v>5199.0914939346776</v>
      </c>
      <c r="CX67" s="197">
        <f t="shared" si="184"/>
        <v>-1216.6098536929203</v>
      </c>
      <c r="CY67" s="199">
        <f t="shared" si="184"/>
        <v>256.8749984979662</v>
      </c>
      <c r="DB67" s="204">
        <f t="shared" si="185"/>
        <v>5</v>
      </c>
      <c r="DC67" s="219" t="s">
        <v>559</v>
      </c>
      <c r="DD67" s="760">
        <f>'Arable Inputs'!$E$18</f>
        <v>3.1</v>
      </c>
      <c r="DE67" s="760">
        <f>'Arable Inputs'!$E$25</f>
        <v>310.75</v>
      </c>
      <c r="DH67" s="762">
        <f>DD67*DE67</f>
        <v>963.32500000000005</v>
      </c>
      <c r="DI67" s="197">
        <f>'Arable NPV'!$E147</f>
        <v>330</v>
      </c>
      <c r="DJ67" s="197">
        <f t="shared" si="186"/>
        <v>1293.325</v>
      </c>
      <c r="DK67" s="197">
        <f>'Arable NPV'!$G147</f>
        <v>300.32802631578949</v>
      </c>
      <c r="DL67" s="197">
        <f>'Arable NPV'!$H147</f>
        <v>547.62448399999994</v>
      </c>
      <c r="DM67" s="197">
        <f t="shared" si="187"/>
        <v>847.95251031578937</v>
      </c>
      <c r="DN67" s="197">
        <f t="shared" si="188"/>
        <v>115.37248968421068</v>
      </c>
      <c r="DO67" s="197">
        <f t="shared" si="189"/>
        <v>445.37248968421068</v>
      </c>
      <c r="DP67" s="196">
        <f t="shared" si="190"/>
        <v>963.32500000000005</v>
      </c>
      <c r="DQ67" s="197">
        <f t="shared" si="191"/>
        <v>330</v>
      </c>
      <c r="DR67" s="197">
        <f t="shared" si="192"/>
        <v>847.95251031578937</v>
      </c>
      <c r="DS67" s="197">
        <f t="shared" si="193"/>
        <v>115.37248968421068</v>
      </c>
      <c r="DT67" s="199">
        <f t="shared" si="194"/>
        <v>445.37248968421068</v>
      </c>
      <c r="DU67" s="196">
        <f t="shared" si="195"/>
        <v>4408.0697142857143</v>
      </c>
      <c r="DV67" s="197">
        <f t="shared" si="195"/>
        <v>1650</v>
      </c>
      <c r="DW67" s="197">
        <f t="shared" si="195"/>
        <v>5737.928362825106</v>
      </c>
      <c r="DX67" s="197">
        <f t="shared" si="195"/>
        <v>-1329.8586485393919</v>
      </c>
      <c r="DY67" s="199">
        <f t="shared" si="195"/>
        <v>320.14135146060823</v>
      </c>
    </row>
    <row r="68" spans="2:129" x14ac:dyDescent="0.3">
      <c r="B68" s="204">
        <f t="shared" si="196"/>
        <v>6</v>
      </c>
      <c r="C68" s="219" t="s">
        <v>4</v>
      </c>
      <c r="D68" s="760">
        <f>'Arable Inputs'!$D$18</f>
        <v>5.5</v>
      </c>
      <c r="E68" s="760">
        <f>'Arable Inputs'!$D$25</f>
        <v>210</v>
      </c>
      <c r="F68" s="760">
        <f>'Arable Inputs'!$D$19</f>
        <v>3.9</v>
      </c>
      <c r="G68" s="760">
        <f>'Arable Inputs'!$D$26</f>
        <v>73.449999999999989</v>
      </c>
      <c r="H68" s="762">
        <f>D68*E68+F68*G68</f>
        <v>1441.4549999999999</v>
      </c>
      <c r="I68" s="197">
        <f>'Arable NPV'!$E148</f>
        <v>330</v>
      </c>
      <c r="J68" s="197">
        <f t="shared" si="145"/>
        <v>1771.4549999999999</v>
      </c>
      <c r="K68" s="197">
        <f>'Arable NPV'!$G148</f>
        <v>622.34710631578946</v>
      </c>
      <c r="L68" s="197">
        <f>'Arable NPV'!$H148</f>
        <v>943.00233600000001</v>
      </c>
      <c r="M68" s="197">
        <f t="shared" si="146"/>
        <v>1565.3494423157895</v>
      </c>
      <c r="N68" s="197">
        <f t="shared" si="147"/>
        <v>-123.89444231578955</v>
      </c>
      <c r="O68" s="197">
        <f t="shared" si="148"/>
        <v>206.10555768421045</v>
      </c>
      <c r="P68" s="196">
        <f t="shared" si="149"/>
        <v>1243.4117452944752</v>
      </c>
      <c r="Q68" s="197">
        <f t="shared" si="150"/>
        <v>284.66089884677416</v>
      </c>
      <c r="R68" s="197">
        <f t="shared" si="151"/>
        <v>1350.2841795724523</v>
      </c>
      <c r="S68" s="197">
        <f t="shared" si="152"/>
        <v>-106.87243427797716</v>
      </c>
      <c r="T68" s="199">
        <f t="shared" si="153"/>
        <v>177.788464568797</v>
      </c>
      <c r="U68" s="196">
        <f t="shared" si="154"/>
        <v>5425.9628887095714</v>
      </c>
      <c r="V68" s="197">
        <f t="shared" si="154"/>
        <v>1841.3033717741962</v>
      </c>
      <c r="W68" s="197">
        <f t="shared" si="154"/>
        <v>6803.688506627489</v>
      </c>
      <c r="X68" s="197">
        <f t="shared" si="154"/>
        <v>-1377.7256179179167</v>
      </c>
      <c r="Y68" s="199">
        <f t="shared" si="154"/>
        <v>463.57775385627951</v>
      </c>
      <c r="AB68" s="204">
        <f t="shared" si="197"/>
        <v>6</v>
      </c>
      <c r="AC68" s="219" t="s">
        <v>4</v>
      </c>
      <c r="AD68" s="760">
        <f>'Arable Inputs'!$D$18</f>
        <v>5.5</v>
      </c>
      <c r="AE68" s="760">
        <f>'Arable Inputs'!$D$25</f>
        <v>210</v>
      </c>
      <c r="AF68" s="760">
        <f>'Arable Inputs'!$D$19</f>
        <v>3.9</v>
      </c>
      <c r="AG68" s="760">
        <f>'Arable Inputs'!$D$26</f>
        <v>73.449999999999989</v>
      </c>
      <c r="AH68" s="762">
        <f>AD68*AE68+AF68*AG68</f>
        <v>1441.4549999999999</v>
      </c>
      <c r="AI68" s="197">
        <f>'Arable NPV'!$E148</f>
        <v>330</v>
      </c>
      <c r="AJ68" s="197">
        <f t="shared" si="155"/>
        <v>1771.4549999999999</v>
      </c>
      <c r="AK68" s="197">
        <f>'Arable NPV'!$G148</f>
        <v>622.34710631578946</v>
      </c>
      <c r="AL68" s="197">
        <f>'Arable NPV'!$H148</f>
        <v>943.00233600000001</v>
      </c>
      <c r="AM68" s="197">
        <f t="shared" si="156"/>
        <v>1565.3494423157895</v>
      </c>
      <c r="AN68" s="197">
        <f t="shared" si="157"/>
        <v>-123.89444231578955</v>
      </c>
      <c r="AO68" s="197">
        <f t="shared" si="158"/>
        <v>206.10555768421045</v>
      </c>
      <c r="AP68" s="196">
        <f t="shared" si="159"/>
        <v>1156.6970732336436</v>
      </c>
      <c r="AQ68" s="197">
        <f t="shared" si="160"/>
        <v>264.80884534522573</v>
      </c>
      <c r="AR68" s="197">
        <f t="shared" si="161"/>
        <v>1256.1162981255675</v>
      </c>
      <c r="AS68" s="197">
        <f t="shared" si="162"/>
        <v>-99.41922489192396</v>
      </c>
      <c r="AT68" s="199">
        <f t="shared" si="163"/>
        <v>165.3896204533018</v>
      </c>
      <c r="AU68" s="196">
        <f t="shared" si="164"/>
        <v>5236.2739356984357</v>
      </c>
      <c r="AV68" s="197">
        <f t="shared" si="164"/>
        <v>1778.6923256616528</v>
      </c>
      <c r="AW68" s="197">
        <f t="shared" si="164"/>
        <v>6578.8625162455955</v>
      </c>
      <c r="AX68" s="197">
        <f t="shared" si="164"/>
        <v>-1342.5885805471596</v>
      </c>
      <c r="AY68" s="199">
        <f t="shared" si="164"/>
        <v>436.10374511449294</v>
      </c>
      <c r="BB68" s="204">
        <f t="shared" si="198"/>
        <v>6</v>
      </c>
      <c r="BC68" s="219" t="s">
        <v>4</v>
      </c>
      <c r="BD68" s="760">
        <f>'Arable Inputs'!$D$18</f>
        <v>5.5</v>
      </c>
      <c r="BE68" s="760">
        <f>'Arable Inputs'!$D$25</f>
        <v>210</v>
      </c>
      <c r="BF68" s="760">
        <f>'Arable Inputs'!$D$19</f>
        <v>3.9</v>
      </c>
      <c r="BG68" s="760">
        <f>'Arable Inputs'!$D$26</f>
        <v>73.449999999999989</v>
      </c>
      <c r="BH68" s="762">
        <f>BD68*BE68+BF68*BG68</f>
        <v>1441.4549999999999</v>
      </c>
      <c r="BI68" s="197">
        <f>'Arable NPV'!$E148</f>
        <v>330</v>
      </c>
      <c r="BJ68" s="197">
        <f t="shared" si="165"/>
        <v>1771.4549999999999</v>
      </c>
      <c r="BK68" s="197">
        <f>'Arable NPV'!$G148</f>
        <v>622.34710631578946</v>
      </c>
      <c r="BL68" s="197">
        <f>'Arable NPV'!$H148</f>
        <v>943.00233600000001</v>
      </c>
      <c r="BM68" s="197">
        <f t="shared" si="166"/>
        <v>1565.3494423157895</v>
      </c>
      <c r="BN68" s="197">
        <f t="shared" si="167"/>
        <v>-123.89444231578955</v>
      </c>
      <c r="BO68" s="197">
        <f t="shared" si="168"/>
        <v>206.10555768421045</v>
      </c>
      <c r="BP68" s="196">
        <f t="shared" si="169"/>
        <v>1338.0454873575868</v>
      </c>
      <c r="BQ68" s="197">
        <f t="shared" si="170"/>
        <v>306.32590738386119</v>
      </c>
      <c r="BR68" s="197">
        <f t="shared" si="171"/>
        <v>1453.0517826975918</v>
      </c>
      <c r="BS68" s="197">
        <f t="shared" si="172"/>
        <v>-115.0062953400051</v>
      </c>
      <c r="BT68" s="199">
        <f t="shared" si="173"/>
        <v>191.3196120438561</v>
      </c>
      <c r="BU68" s="196">
        <f t="shared" si="174"/>
        <v>5629.9215045520377</v>
      </c>
      <c r="BV68" s="197">
        <f t="shared" si="174"/>
        <v>1908.2728410759346</v>
      </c>
      <c r="BW68" s="197">
        <f t="shared" si="174"/>
        <v>7044.6541776706445</v>
      </c>
      <c r="BX68" s="197">
        <f t="shared" si="174"/>
        <v>-1414.732673118607</v>
      </c>
      <c r="BY68" s="199">
        <f t="shared" si="174"/>
        <v>493.54016795732741</v>
      </c>
      <c r="CB68" s="204">
        <f t="shared" si="199"/>
        <v>6</v>
      </c>
      <c r="CC68" s="219" t="s">
        <v>4</v>
      </c>
      <c r="CD68" s="760">
        <f>'Arable Inputs'!$D$18</f>
        <v>5.5</v>
      </c>
      <c r="CE68" s="760">
        <f>'Arable Inputs'!$D$25</f>
        <v>210</v>
      </c>
      <c r="CF68" s="760">
        <f>'Arable Inputs'!$D$19</f>
        <v>3.9</v>
      </c>
      <c r="CG68" s="760">
        <f>'Arable Inputs'!$D$26</f>
        <v>73.449999999999989</v>
      </c>
      <c r="CH68" s="762">
        <f>CD68*CE68+CF68*CG68</f>
        <v>1441.4549999999999</v>
      </c>
      <c r="CI68" s="197">
        <f>'Arable NPV'!$E148</f>
        <v>330</v>
      </c>
      <c r="CJ68" s="197">
        <f t="shared" si="175"/>
        <v>1771.4549999999999</v>
      </c>
      <c r="CK68" s="197">
        <f>'Arable NPV'!$G148</f>
        <v>622.34710631578946</v>
      </c>
      <c r="CL68" s="197">
        <f>'Arable NPV'!$H148</f>
        <v>943.00233600000001</v>
      </c>
      <c r="CM68" s="197">
        <f t="shared" si="176"/>
        <v>1565.3494423157895</v>
      </c>
      <c r="CN68" s="197">
        <f t="shared" si="177"/>
        <v>-123.89444231578955</v>
      </c>
      <c r="CO68" s="197">
        <f t="shared" si="178"/>
        <v>206.10555768421045</v>
      </c>
      <c r="CP68" s="196">
        <f t="shared" si="179"/>
        <v>1077.1390295686419</v>
      </c>
      <c r="CQ68" s="197">
        <f t="shared" si="180"/>
        <v>246.59519704579878</v>
      </c>
      <c r="CR68" s="197">
        <f t="shared" si="181"/>
        <v>1169.720164161798</v>
      </c>
      <c r="CS68" s="197">
        <f t="shared" si="182"/>
        <v>-92.58113459315598</v>
      </c>
      <c r="CT68" s="199">
        <f t="shared" si="183"/>
        <v>154.0140624526428</v>
      </c>
      <c r="CU68" s="196">
        <f t="shared" si="184"/>
        <v>5059.6206698103997</v>
      </c>
      <c r="CV68" s="197">
        <f t="shared" si="184"/>
        <v>1720.0800492366855</v>
      </c>
      <c r="CW68" s="197">
        <f t="shared" si="184"/>
        <v>6368.8116580964761</v>
      </c>
      <c r="CX68" s="197">
        <f t="shared" si="184"/>
        <v>-1309.1909882860764</v>
      </c>
      <c r="CY68" s="199">
        <f t="shared" si="184"/>
        <v>410.88906095060901</v>
      </c>
      <c r="DB68" s="204">
        <f t="shared" si="185"/>
        <v>6</v>
      </c>
      <c r="DC68" s="219" t="s">
        <v>4</v>
      </c>
      <c r="DD68" s="760">
        <f>'Arable Inputs'!$D$18</f>
        <v>5.5</v>
      </c>
      <c r="DE68" s="760">
        <f>'Arable Inputs'!$D$25</f>
        <v>210</v>
      </c>
      <c r="DF68" s="760">
        <f>'Arable Inputs'!$D$19</f>
        <v>3.9</v>
      </c>
      <c r="DG68" s="760">
        <f>'Arable Inputs'!$D$26</f>
        <v>73.449999999999989</v>
      </c>
      <c r="DH68" s="762">
        <f>DD68*DE68+DF68*DG68</f>
        <v>1441.4549999999999</v>
      </c>
      <c r="DI68" s="197">
        <f>'Arable NPV'!$E148</f>
        <v>330</v>
      </c>
      <c r="DJ68" s="197">
        <f t="shared" si="186"/>
        <v>1771.4549999999999</v>
      </c>
      <c r="DK68" s="197">
        <f>'Arable NPV'!$G148</f>
        <v>622.34710631578946</v>
      </c>
      <c r="DL68" s="197">
        <f>'Arable NPV'!$H148</f>
        <v>943.00233600000001</v>
      </c>
      <c r="DM68" s="197">
        <f t="shared" si="187"/>
        <v>1565.3494423157895</v>
      </c>
      <c r="DN68" s="197">
        <f t="shared" si="188"/>
        <v>-123.89444231578955</v>
      </c>
      <c r="DO68" s="197">
        <f t="shared" si="189"/>
        <v>206.10555768421045</v>
      </c>
      <c r="DP68" s="196">
        <f t="shared" si="190"/>
        <v>1441.4549999999999</v>
      </c>
      <c r="DQ68" s="197">
        <f t="shared" si="191"/>
        <v>330</v>
      </c>
      <c r="DR68" s="197">
        <f t="shared" si="192"/>
        <v>1565.3494423157895</v>
      </c>
      <c r="DS68" s="197">
        <f t="shared" si="193"/>
        <v>-123.89444231578955</v>
      </c>
      <c r="DT68" s="199">
        <f t="shared" si="194"/>
        <v>206.10555768421045</v>
      </c>
      <c r="DU68" s="196">
        <f t="shared" si="195"/>
        <v>5849.5247142857143</v>
      </c>
      <c r="DV68" s="197">
        <f t="shared" si="195"/>
        <v>1980</v>
      </c>
      <c r="DW68" s="197">
        <f t="shared" si="195"/>
        <v>7303.277805140895</v>
      </c>
      <c r="DX68" s="197">
        <f t="shared" si="195"/>
        <v>-1453.7530908551814</v>
      </c>
      <c r="DY68" s="199">
        <f t="shared" si="195"/>
        <v>526.24690914481869</v>
      </c>
    </row>
    <row r="69" spans="2:129" x14ac:dyDescent="0.3">
      <c r="B69" s="204">
        <f t="shared" si="196"/>
        <v>7</v>
      </c>
      <c r="C69" s="219" t="s">
        <v>560</v>
      </c>
      <c r="D69" s="760">
        <f>'Arable Inputs'!$G$18</f>
        <v>2.1</v>
      </c>
      <c r="E69" s="760">
        <f>'Arable Inputs'!$G$25</f>
        <v>235.55</v>
      </c>
      <c r="H69" s="762">
        <f>D69*E69</f>
        <v>494.65500000000003</v>
      </c>
      <c r="I69" s="197">
        <f>'Arable NPV'!$E149</f>
        <v>330</v>
      </c>
      <c r="J69" s="197">
        <f t="shared" si="145"/>
        <v>824.65499999999997</v>
      </c>
      <c r="K69" s="197">
        <f>'Arable NPV'!$G149</f>
        <v>255.07731473684206</v>
      </c>
      <c r="L69" s="197">
        <f>'Arable NPV'!$H149</f>
        <v>778.68036799999993</v>
      </c>
      <c r="M69" s="197">
        <f t="shared" si="146"/>
        <v>1033.7576827368421</v>
      </c>
      <c r="N69" s="197">
        <f t="shared" si="147"/>
        <v>-539.1026827368421</v>
      </c>
      <c r="O69" s="197">
        <f t="shared" si="148"/>
        <v>-209.1026827368421</v>
      </c>
      <c r="P69" s="196">
        <f t="shared" si="149"/>
        <v>414.26577498985313</v>
      </c>
      <c r="Q69" s="197">
        <f t="shared" si="150"/>
        <v>276.36980470560593</v>
      </c>
      <c r="R69" s="197">
        <f t="shared" si="151"/>
        <v>865.75578451788124</v>
      </c>
      <c r="S69" s="197">
        <f t="shared" si="152"/>
        <v>-451.49000952802817</v>
      </c>
      <c r="T69" s="199">
        <f t="shared" si="153"/>
        <v>-175.12020482242221</v>
      </c>
      <c r="U69" s="196">
        <f t="shared" si="154"/>
        <v>5840.2286636994249</v>
      </c>
      <c r="V69" s="197">
        <f t="shared" si="154"/>
        <v>2117.6731764798024</v>
      </c>
      <c r="W69" s="197">
        <f t="shared" si="154"/>
        <v>7669.4442911453698</v>
      </c>
      <c r="X69" s="197">
        <f t="shared" si="154"/>
        <v>-1829.2156274459448</v>
      </c>
      <c r="Y69" s="199">
        <f t="shared" si="154"/>
        <v>288.45754903385728</v>
      </c>
      <c r="AB69" s="204">
        <f t="shared" si="197"/>
        <v>7</v>
      </c>
      <c r="AC69" s="219" t="s">
        <v>560</v>
      </c>
      <c r="AD69" s="760">
        <f>'Arable Inputs'!$G$18</f>
        <v>2.1</v>
      </c>
      <c r="AE69" s="760">
        <f>'Arable Inputs'!$G$25</f>
        <v>235.55</v>
      </c>
      <c r="AH69" s="762">
        <f>AD69*AE69</f>
        <v>494.65500000000003</v>
      </c>
      <c r="AI69" s="197">
        <f>'Arable NPV'!$E149</f>
        <v>330</v>
      </c>
      <c r="AJ69" s="197">
        <f t="shared" si="155"/>
        <v>824.65499999999997</v>
      </c>
      <c r="AK69" s="197">
        <f>'Arable NPV'!$G149</f>
        <v>255.07731473684206</v>
      </c>
      <c r="AL69" s="197">
        <f>'Arable NPV'!$H149</f>
        <v>778.68036799999993</v>
      </c>
      <c r="AM69" s="197">
        <f t="shared" si="156"/>
        <v>1033.7576827368421</v>
      </c>
      <c r="AN69" s="197">
        <f t="shared" si="157"/>
        <v>-539.1026827368421</v>
      </c>
      <c r="AO69" s="197">
        <f t="shared" si="158"/>
        <v>-209.1026827368421</v>
      </c>
      <c r="AP69" s="196">
        <f t="shared" si="159"/>
        <v>379.84346641798663</v>
      </c>
      <c r="AQ69" s="197">
        <f t="shared" si="160"/>
        <v>253.40559363179506</v>
      </c>
      <c r="AR69" s="197">
        <f t="shared" si="161"/>
        <v>793.81811898593423</v>
      </c>
      <c r="AS69" s="197">
        <f t="shared" si="162"/>
        <v>-413.97465256794771</v>
      </c>
      <c r="AT69" s="199">
        <f t="shared" si="163"/>
        <v>-160.56905893615266</v>
      </c>
      <c r="AU69" s="196">
        <f t="shared" si="164"/>
        <v>5616.1174021164225</v>
      </c>
      <c r="AV69" s="197">
        <f t="shared" si="164"/>
        <v>2032.0979192934478</v>
      </c>
      <c r="AW69" s="197">
        <f t="shared" si="164"/>
        <v>7372.6806352315298</v>
      </c>
      <c r="AX69" s="197">
        <f t="shared" si="164"/>
        <v>-1756.5632331151073</v>
      </c>
      <c r="AY69" s="199">
        <f t="shared" si="164"/>
        <v>275.53468617834028</v>
      </c>
      <c r="BB69" s="204">
        <f t="shared" si="198"/>
        <v>7</v>
      </c>
      <c r="BC69" s="219" t="s">
        <v>560</v>
      </c>
      <c r="BD69" s="760">
        <f>'Arable Inputs'!$G$18</f>
        <v>2.1</v>
      </c>
      <c r="BE69" s="760">
        <f>'Arable Inputs'!$G$25</f>
        <v>235.55</v>
      </c>
      <c r="BH69" s="762">
        <f>BD69*BE69</f>
        <v>494.65500000000003</v>
      </c>
      <c r="BI69" s="197">
        <f>'Arable NPV'!$E149</f>
        <v>330</v>
      </c>
      <c r="BJ69" s="197">
        <f t="shared" si="165"/>
        <v>824.65499999999997</v>
      </c>
      <c r="BK69" s="197">
        <f>'Arable NPV'!$G149</f>
        <v>255.07731473684206</v>
      </c>
      <c r="BL69" s="197">
        <f>'Arable NPV'!$H149</f>
        <v>778.68036799999993</v>
      </c>
      <c r="BM69" s="197">
        <f t="shared" si="166"/>
        <v>1033.7576827368421</v>
      </c>
      <c r="BN69" s="197">
        <f t="shared" si="167"/>
        <v>-539.1026827368421</v>
      </c>
      <c r="BO69" s="197">
        <f t="shared" si="168"/>
        <v>-209.1026827368421</v>
      </c>
      <c r="BP69" s="196">
        <f t="shared" si="169"/>
        <v>452.38286823992803</v>
      </c>
      <c r="BQ69" s="197">
        <f t="shared" si="170"/>
        <v>301.79892353089781</v>
      </c>
      <c r="BR69" s="197">
        <f t="shared" si="171"/>
        <v>945.4150177023464</v>
      </c>
      <c r="BS69" s="197">
        <f t="shared" si="172"/>
        <v>-493.03214946241837</v>
      </c>
      <c r="BT69" s="199">
        <f t="shared" si="173"/>
        <v>-191.23322593152056</v>
      </c>
      <c r="BU69" s="196">
        <f t="shared" si="174"/>
        <v>6082.3043727919658</v>
      </c>
      <c r="BV69" s="197">
        <f t="shared" si="174"/>
        <v>2210.0717646068324</v>
      </c>
      <c r="BW69" s="197">
        <f t="shared" si="174"/>
        <v>7990.0691953729911</v>
      </c>
      <c r="BX69" s="197">
        <f t="shared" si="174"/>
        <v>-1907.7648225810253</v>
      </c>
      <c r="BY69" s="199">
        <f t="shared" si="174"/>
        <v>302.30694202580685</v>
      </c>
      <c r="CB69" s="204">
        <f t="shared" si="199"/>
        <v>7</v>
      </c>
      <c r="CC69" s="219" t="s">
        <v>560</v>
      </c>
      <c r="CD69" s="760">
        <f>'Arable Inputs'!$G$18</f>
        <v>2.1</v>
      </c>
      <c r="CE69" s="760">
        <f>'Arable Inputs'!$G$25</f>
        <v>235.55</v>
      </c>
      <c r="CH69" s="762">
        <f>CD69*CE69</f>
        <v>494.65500000000003</v>
      </c>
      <c r="CI69" s="197">
        <f>'Arable NPV'!$E149</f>
        <v>330</v>
      </c>
      <c r="CJ69" s="197">
        <f t="shared" si="175"/>
        <v>824.65499999999997</v>
      </c>
      <c r="CK69" s="197">
        <f>'Arable NPV'!$G149</f>
        <v>255.07731473684206</v>
      </c>
      <c r="CL69" s="197">
        <f>'Arable NPV'!$H149</f>
        <v>778.68036799999993</v>
      </c>
      <c r="CM69" s="197">
        <f t="shared" si="176"/>
        <v>1033.7576827368421</v>
      </c>
      <c r="CN69" s="197">
        <f t="shared" si="177"/>
        <v>-539.1026827368421</v>
      </c>
      <c r="CO69" s="197">
        <f t="shared" si="178"/>
        <v>-209.1026827368421</v>
      </c>
      <c r="CP69" s="196">
        <f t="shared" si="179"/>
        <v>348.7122561311881</v>
      </c>
      <c r="CQ69" s="197">
        <f t="shared" si="180"/>
        <v>232.63697834509318</v>
      </c>
      <c r="CR69" s="197">
        <f t="shared" si="181"/>
        <v>728.75837470583156</v>
      </c>
      <c r="CS69" s="197">
        <f t="shared" si="182"/>
        <v>-380.04611857464357</v>
      </c>
      <c r="CT69" s="199">
        <f t="shared" si="183"/>
        <v>-147.40914022955036</v>
      </c>
      <c r="CU69" s="196">
        <f t="shared" si="184"/>
        <v>5408.3329259415877</v>
      </c>
      <c r="CV69" s="197">
        <f t="shared" si="184"/>
        <v>1952.7170275817787</v>
      </c>
      <c r="CW69" s="197">
        <f t="shared" si="184"/>
        <v>7097.5700328023077</v>
      </c>
      <c r="CX69" s="197">
        <f t="shared" si="184"/>
        <v>-1689.2371068607199</v>
      </c>
      <c r="CY69" s="199">
        <f t="shared" si="184"/>
        <v>263.47992072105865</v>
      </c>
      <c r="DB69" s="204">
        <f t="shared" si="185"/>
        <v>7</v>
      </c>
      <c r="DC69" s="219" t="s">
        <v>560</v>
      </c>
      <c r="DD69" s="760">
        <f>'Arable Inputs'!$G$18</f>
        <v>2.1</v>
      </c>
      <c r="DE69" s="760">
        <f>'Arable Inputs'!$G$25</f>
        <v>235.55</v>
      </c>
      <c r="DH69" s="762">
        <f>DD69*DE69</f>
        <v>494.65500000000003</v>
      </c>
      <c r="DI69" s="197">
        <f>'Arable NPV'!$E149</f>
        <v>330</v>
      </c>
      <c r="DJ69" s="197">
        <f t="shared" si="186"/>
        <v>824.65499999999997</v>
      </c>
      <c r="DK69" s="197">
        <f>'Arable NPV'!$G149</f>
        <v>255.07731473684206</v>
      </c>
      <c r="DL69" s="197">
        <f>'Arable NPV'!$H149</f>
        <v>778.68036799999993</v>
      </c>
      <c r="DM69" s="197">
        <f t="shared" si="187"/>
        <v>1033.7576827368421</v>
      </c>
      <c r="DN69" s="197">
        <f t="shared" si="188"/>
        <v>-539.1026827368421</v>
      </c>
      <c r="DO69" s="197">
        <f t="shared" si="189"/>
        <v>-209.1026827368421</v>
      </c>
      <c r="DP69" s="196">
        <f t="shared" si="190"/>
        <v>494.65500000000003</v>
      </c>
      <c r="DQ69" s="197">
        <f t="shared" si="191"/>
        <v>330</v>
      </c>
      <c r="DR69" s="197">
        <f t="shared" si="192"/>
        <v>1033.7576827368421</v>
      </c>
      <c r="DS69" s="197">
        <f t="shared" si="193"/>
        <v>-539.1026827368421</v>
      </c>
      <c r="DT69" s="199">
        <f t="shared" si="194"/>
        <v>-209.1026827368421</v>
      </c>
      <c r="DU69" s="196">
        <f t="shared" si="195"/>
        <v>6344.179714285714</v>
      </c>
      <c r="DV69" s="197">
        <f t="shared" si="195"/>
        <v>2310</v>
      </c>
      <c r="DW69" s="197">
        <f t="shared" si="195"/>
        <v>8337.0354878777362</v>
      </c>
      <c r="DX69" s="197">
        <f t="shared" si="195"/>
        <v>-1992.8557735920235</v>
      </c>
      <c r="DY69" s="199">
        <f t="shared" si="195"/>
        <v>317.14422640797659</v>
      </c>
    </row>
    <row r="70" spans="2:129" x14ac:dyDescent="0.3">
      <c r="B70" s="204">
        <f t="shared" si="196"/>
        <v>8</v>
      </c>
      <c r="C70" s="219" t="s">
        <v>28</v>
      </c>
      <c r="D70" s="760">
        <f>'Arable Inputs'!$H$18</f>
        <v>9.4</v>
      </c>
      <c r="E70" s="760">
        <f>'Arable Inputs'!$H$25</f>
        <v>94.285714285714292</v>
      </c>
      <c r="H70" s="762">
        <f>D70*E70</f>
        <v>886.28571428571433</v>
      </c>
      <c r="I70" s="197">
        <f>'Arable NPV'!$E150</f>
        <v>330</v>
      </c>
      <c r="J70" s="197">
        <f t="shared" si="145"/>
        <v>1216.2857142857142</v>
      </c>
      <c r="K70" s="197">
        <f>'Arable NPV'!$G150</f>
        <v>566.71194999999989</v>
      </c>
      <c r="L70" s="197">
        <f>'Arable NPV'!$H150</f>
        <v>691.46913599999993</v>
      </c>
      <c r="M70" s="197">
        <f t="shared" si="146"/>
        <v>1258.1810859999998</v>
      </c>
      <c r="N70" s="197">
        <f t="shared" si="147"/>
        <v>-371.89537171428549</v>
      </c>
      <c r="O70" s="197">
        <f t="shared" si="148"/>
        <v>-41.895371714285602</v>
      </c>
      <c r="P70" s="196">
        <f t="shared" si="149"/>
        <v>720.63139091059531</v>
      </c>
      <c r="Q70" s="197">
        <f t="shared" si="150"/>
        <v>268.32019874330672</v>
      </c>
      <c r="R70" s="197">
        <f t="shared" si="151"/>
        <v>1023.016360759362</v>
      </c>
      <c r="S70" s="197">
        <f t="shared" si="152"/>
        <v>-302.38496984876673</v>
      </c>
      <c r="T70" s="199">
        <f t="shared" si="153"/>
        <v>-34.064771105460075</v>
      </c>
      <c r="U70" s="196">
        <f t="shared" si="154"/>
        <v>6560.8600546100206</v>
      </c>
      <c r="V70" s="197">
        <f t="shared" si="154"/>
        <v>2385.9933752231091</v>
      </c>
      <c r="W70" s="197">
        <f t="shared" si="154"/>
        <v>8692.460651904732</v>
      </c>
      <c r="X70" s="197">
        <f t="shared" si="154"/>
        <v>-2131.6005972947114</v>
      </c>
      <c r="Y70" s="199">
        <f t="shared" si="154"/>
        <v>254.39277792839721</v>
      </c>
      <c r="AB70" s="204">
        <f t="shared" si="197"/>
        <v>8</v>
      </c>
      <c r="AC70" s="219" t="s">
        <v>28</v>
      </c>
      <c r="AD70" s="760">
        <f>'Arable Inputs'!$H$18</f>
        <v>9.4</v>
      </c>
      <c r="AE70" s="760">
        <f>'Arable Inputs'!$H$25</f>
        <v>94.285714285714292</v>
      </c>
      <c r="AH70" s="762">
        <f>AD70*AE70</f>
        <v>886.28571428571433</v>
      </c>
      <c r="AI70" s="197">
        <f>'Arable NPV'!$E150</f>
        <v>330</v>
      </c>
      <c r="AJ70" s="197">
        <f t="shared" si="155"/>
        <v>1216.2857142857142</v>
      </c>
      <c r="AK70" s="197">
        <f>'Arable NPV'!$G150</f>
        <v>566.71194999999989</v>
      </c>
      <c r="AL70" s="197">
        <f>'Arable NPV'!$H150</f>
        <v>691.46913599999993</v>
      </c>
      <c r="AM70" s="197">
        <f t="shared" si="156"/>
        <v>1258.1810859999998</v>
      </c>
      <c r="AN70" s="197">
        <f t="shared" si="157"/>
        <v>-371.89537171428549</v>
      </c>
      <c r="AO70" s="197">
        <f t="shared" si="158"/>
        <v>-41.895371714285602</v>
      </c>
      <c r="AP70" s="196">
        <f t="shared" si="159"/>
        <v>651.26796449456549</v>
      </c>
      <c r="AQ70" s="197">
        <f t="shared" si="160"/>
        <v>242.49339103521055</v>
      </c>
      <c r="AR70" s="197">
        <f t="shared" si="161"/>
        <v>924.54726691061762</v>
      </c>
      <c r="AS70" s="197">
        <f t="shared" si="162"/>
        <v>-273.27930241605213</v>
      </c>
      <c r="AT70" s="199">
        <f t="shared" si="163"/>
        <v>-30.785911380841689</v>
      </c>
      <c r="AU70" s="196">
        <f t="shared" si="164"/>
        <v>6267.3853666109881</v>
      </c>
      <c r="AV70" s="197">
        <f t="shared" si="164"/>
        <v>2274.5913103286584</v>
      </c>
      <c r="AW70" s="197">
        <f t="shared" si="164"/>
        <v>8297.2279021421473</v>
      </c>
      <c r="AX70" s="197">
        <f t="shared" si="164"/>
        <v>-2029.8425355311595</v>
      </c>
      <c r="AY70" s="199">
        <f t="shared" si="164"/>
        <v>244.74877479749858</v>
      </c>
      <c r="BB70" s="204">
        <f t="shared" si="198"/>
        <v>8</v>
      </c>
      <c r="BC70" s="219" t="s">
        <v>28</v>
      </c>
      <c r="BD70" s="760">
        <f>'Arable Inputs'!$H$18</f>
        <v>9.4</v>
      </c>
      <c r="BE70" s="760">
        <f>'Arable Inputs'!$H$25</f>
        <v>94.285714285714292</v>
      </c>
      <c r="BH70" s="762">
        <f>BD70*BE70</f>
        <v>886.28571428571433</v>
      </c>
      <c r="BI70" s="197">
        <f>'Arable NPV'!$E150</f>
        <v>330</v>
      </c>
      <c r="BJ70" s="197">
        <f t="shared" si="165"/>
        <v>1216.2857142857142</v>
      </c>
      <c r="BK70" s="197">
        <f>'Arable NPV'!$G150</f>
        <v>566.71194999999989</v>
      </c>
      <c r="BL70" s="197">
        <f>'Arable NPV'!$H150</f>
        <v>691.46913599999993</v>
      </c>
      <c r="BM70" s="197">
        <f t="shared" si="166"/>
        <v>1258.1810859999998</v>
      </c>
      <c r="BN70" s="197">
        <f t="shared" si="167"/>
        <v>-371.89537171428549</v>
      </c>
      <c r="BO70" s="197">
        <f t="shared" si="168"/>
        <v>-41.895371714285602</v>
      </c>
      <c r="BP70" s="196">
        <f t="shared" si="169"/>
        <v>798.56717274889229</v>
      </c>
      <c r="BQ70" s="197">
        <f t="shared" si="170"/>
        <v>297.33884091714071</v>
      </c>
      <c r="BR70" s="197">
        <f t="shared" si="171"/>
        <v>1133.6548659851796</v>
      </c>
      <c r="BS70" s="197">
        <f t="shared" si="172"/>
        <v>-335.08769323628741</v>
      </c>
      <c r="BT70" s="199">
        <f t="shared" si="173"/>
        <v>-37.748852319146799</v>
      </c>
      <c r="BU70" s="196">
        <f t="shared" si="174"/>
        <v>6880.8715455408583</v>
      </c>
      <c r="BV70" s="197">
        <f t="shared" si="174"/>
        <v>2507.4106055239731</v>
      </c>
      <c r="BW70" s="197">
        <f t="shared" si="174"/>
        <v>9123.7240613581707</v>
      </c>
      <c r="BX70" s="197">
        <f t="shared" si="174"/>
        <v>-2242.8525158173129</v>
      </c>
      <c r="BY70" s="199">
        <f t="shared" si="174"/>
        <v>264.55808970666004</v>
      </c>
      <c r="CB70" s="204">
        <f t="shared" si="199"/>
        <v>8</v>
      </c>
      <c r="CC70" s="219" t="s">
        <v>28</v>
      </c>
      <c r="CD70" s="760">
        <f>'Arable Inputs'!$H$18</f>
        <v>9.4</v>
      </c>
      <c r="CE70" s="760">
        <f>'Arable Inputs'!$H$25</f>
        <v>94.285714285714292</v>
      </c>
      <c r="CH70" s="762">
        <f>CD70*CE70</f>
        <v>886.28571428571433</v>
      </c>
      <c r="CI70" s="197">
        <f>'Arable NPV'!$E150</f>
        <v>330</v>
      </c>
      <c r="CJ70" s="197">
        <f t="shared" si="175"/>
        <v>1216.2857142857142</v>
      </c>
      <c r="CK70" s="197">
        <f>'Arable NPV'!$G150</f>
        <v>566.71194999999989</v>
      </c>
      <c r="CL70" s="197">
        <f>'Arable NPV'!$H150</f>
        <v>691.46913599999993</v>
      </c>
      <c r="CM70" s="197">
        <f t="shared" si="176"/>
        <v>1258.1810859999998</v>
      </c>
      <c r="CN70" s="197">
        <f t="shared" si="177"/>
        <v>-371.89537171428549</v>
      </c>
      <c r="CO70" s="197">
        <f t="shared" si="178"/>
        <v>-41.895371714285602</v>
      </c>
      <c r="CP70" s="196">
        <f t="shared" si="179"/>
        <v>589.43061898756753</v>
      </c>
      <c r="CQ70" s="197">
        <f t="shared" si="180"/>
        <v>219.46884749537088</v>
      </c>
      <c r="CR70" s="197">
        <f t="shared" si="181"/>
        <v>836.76228146937603</v>
      </c>
      <c r="CS70" s="197">
        <f t="shared" si="182"/>
        <v>-247.33166248180845</v>
      </c>
      <c r="CT70" s="199">
        <f t="shared" si="183"/>
        <v>-27.862814986437641</v>
      </c>
      <c r="CU70" s="196">
        <f t="shared" si="184"/>
        <v>5997.7635449291556</v>
      </c>
      <c r="CV70" s="197">
        <f t="shared" si="184"/>
        <v>2172.1858750771494</v>
      </c>
      <c r="CW70" s="197">
        <f t="shared" si="184"/>
        <v>7934.3323142716836</v>
      </c>
      <c r="CX70" s="197">
        <f t="shared" si="184"/>
        <v>-1936.5687693425284</v>
      </c>
      <c r="CY70" s="199">
        <f t="shared" si="184"/>
        <v>235.61710573462102</v>
      </c>
      <c r="DB70" s="204">
        <f t="shared" si="185"/>
        <v>8</v>
      </c>
      <c r="DC70" s="219" t="s">
        <v>28</v>
      </c>
      <c r="DD70" s="760">
        <f>'Arable Inputs'!$H$18</f>
        <v>9.4</v>
      </c>
      <c r="DE70" s="760">
        <f>'Arable Inputs'!$H$25</f>
        <v>94.285714285714292</v>
      </c>
      <c r="DH70" s="762">
        <f>DD70*DE70</f>
        <v>886.28571428571433</v>
      </c>
      <c r="DI70" s="197">
        <f>'Arable NPV'!$E150</f>
        <v>330</v>
      </c>
      <c r="DJ70" s="197">
        <f t="shared" si="186"/>
        <v>1216.2857142857142</v>
      </c>
      <c r="DK70" s="197">
        <f>'Arable NPV'!$G150</f>
        <v>566.71194999999989</v>
      </c>
      <c r="DL70" s="197">
        <f>'Arable NPV'!$H150</f>
        <v>691.46913599999993</v>
      </c>
      <c r="DM70" s="197">
        <f t="shared" si="187"/>
        <v>1258.1810859999998</v>
      </c>
      <c r="DN70" s="197">
        <f t="shared" si="188"/>
        <v>-371.89537171428549</v>
      </c>
      <c r="DO70" s="197">
        <f t="shared" si="189"/>
        <v>-41.895371714285602</v>
      </c>
      <c r="DP70" s="196">
        <f t="shared" si="190"/>
        <v>886.28571428571433</v>
      </c>
      <c r="DQ70" s="197">
        <f t="shared" si="191"/>
        <v>330</v>
      </c>
      <c r="DR70" s="197">
        <f t="shared" si="192"/>
        <v>1258.1810859999998</v>
      </c>
      <c r="DS70" s="197">
        <f t="shared" si="193"/>
        <v>-371.89537171428549</v>
      </c>
      <c r="DT70" s="199">
        <f t="shared" si="194"/>
        <v>-41.895371714285602</v>
      </c>
      <c r="DU70" s="196">
        <f t="shared" si="195"/>
        <v>7230.4654285714287</v>
      </c>
      <c r="DV70" s="197">
        <f t="shared" si="195"/>
        <v>2640</v>
      </c>
      <c r="DW70" s="197">
        <f t="shared" si="195"/>
        <v>9595.2165738777367</v>
      </c>
      <c r="DX70" s="197">
        <f t="shared" si="195"/>
        <v>-2364.7511453063089</v>
      </c>
      <c r="DY70" s="199">
        <f t="shared" si="195"/>
        <v>275.24885469369099</v>
      </c>
    </row>
    <row r="71" spans="2:129" x14ac:dyDescent="0.3">
      <c r="B71" s="204">
        <f t="shared" si="196"/>
        <v>9</v>
      </c>
      <c r="C71" s="219" t="s">
        <v>5</v>
      </c>
      <c r="D71" s="760">
        <f>'Arable Inputs'!$F$18</f>
        <v>2.6</v>
      </c>
      <c r="E71" s="760">
        <f>'Arable Inputs'!$F$25</f>
        <v>196.99</v>
      </c>
      <c r="F71" s="760">
        <f>'Arable Inputs'!$F$19</f>
        <v>2.6</v>
      </c>
      <c r="G71" s="760">
        <f>'Arable Inputs'!$F$26</f>
        <v>42.374999999999993</v>
      </c>
      <c r="H71" s="762">
        <f>D71*E71+F71*G71</f>
        <v>622.34900000000005</v>
      </c>
      <c r="I71" s="197">
        <f>'Arable NPV'!$E151</f>
        <v>330</v>
      </c>
      <c r="J71" s="197">
        <f t="shared" si="145"/>
        <v>952.34900000000005</v>
      </c>
      <c r="K71" s="197">
        <f>'Arable NPV'!$G151</f>
        <v>327.77441459954235</v>
      </c>
      <c r="L71" s="197">
        <f>'Arable NPV'!$H151</f>
        <v>704.91322685714283</v>
      </c>
      <c r="M71" s="197">
        <f t="shared" si="146"/>
        <v>1032.6876414566852</v>
      </c>
      <c r="N71" s="197">
        <f t="shared" si="147"/>
        <v>-410.3386414566852</v>
      </c>
      <c r="O71" s="197">
        <f t="shared" si="148"/>
        <v>-80.338641456685195</v>
      </c>
      <c r="P71" s="196">
        <f t="shared" si="149"/>
        <v>491.28804756604364</v>
      </c>
      <c r="Q71" s="197">
        <f t="shared" si="150"/>
        <v>260.50504732359883</v>
      </c>
      <c r="R71" s="197">
        <f t="shared" si="151"/>
        <v>815.21316032778611</v>
      </c>
      <c r="S71" s="197">
        <f t="shared" si="152"/>
        <v>-323.92511276174247</v>
      </c>
      <c r="T71" s="199">
        <f t="shared" si="153"/>
        <v>-63.420065438143681</v>
      </c>
      <c r="U71" s="196">
        <f t="shared" si="154"/>
        <v>7052.1481021760646</v>
      </c>
      <c r="V71" s="197">
        <f t="shared" si="154"/>
        <v>2646.4984225467078</v>
      </c>
      <c r="W71" s="197">
        <f t="shared" si="154"/>
        <v>9507.6738122325187</v>
      </c>
      <c r="X71" s="197">
        <f t="shared" si="154"/>
        <v>-2455.525710056454</v>
      </c>
      <c r="Y71" s="199">
        <f t="shared" si="154"/>
        <v>190.97271249025351</v>
      </c>
      <c r="AB71" s="204">
        <f t="shared" si="197"/>
        <v>9</v>
      </c>
      <c r="AC71" s="219" t="s">
        <v>5</v>
      </c>
      <c r="AD71" s="760">
        <f>'Arable Inputs'!$F$18</f>
        <v>2.6</v>
      </c>
      <c r="AE71" s="760">
        <f>'Arable Inputs'!$F$25</f>
        <v>196.99</v>
      </c>
      <c r="AF71" s="760">
        <f>'Arable Inputs'!$F$19</f>
        <v>2.6</v>
      </c>
      <c r="AG71" s="760">
        <f>'Arable Inputs'!$F$26</f>
        <v>42.374999999999993</v>
      </c>
      <c r="AH71" s="762">
        <f>AD71*AE71+AF71*AG71</f>
        <v>622.34900000000005</v>
      </c>
      <c r="AI71" s="197">
        <f>'Arable NPV'!$E151</f>
        <v>330</v>
      </c>
      <c r="AJ71" s="197">
        <f t="shared" si="155"/>
        <v>952.34900000000005</v>
      </c>
      <c r="AK71" s="197">
        <f>'Arable NPV'!$G151</f>
        <v>327.77441459954235</v>
      </c>
      <c r="AL71" s="197">
        <f>'Arable NPV'!$H151</f>
        <v>704.91322685714283</v>
      </c>
      <c r="AM71" s="197">
        <f t="shared" si="156"/>
        <v>1032.6876414566852</v>
      </c>
      <c r="AN71" s="197">
        <f t="shared" si="157"/>
        <v>-410.3386414566852</v>
      </c>
      <c r="AO71" s="197">
        <f t="shared" si="158"/>
        <v>-80.338641456685195</v>
      </c>
      <c r="AP71" s="196">
        <f t="shared" si="159"/>
        <v>437.62656058394174</v>
      </c>
      <c r="AQ71" s="197">
        <f t="shared" si="160"/>
        <v>232.05109189972308</v>
      </c>
      <c r="AR71" s="197">
        <f t="shared" si="161"/>
        <v>726.17059027688958</v>
      </c>
      <c r="AS71" s="197">
        <f t="shared" si="162"/>
        <v>-288.54402969294779</v>
      </c>
      <c r="AT71" s="199">
        <f t="shared" si="163"/>
        <v>-56.492937793224726</v>
      </c>
      <c r="AU71" s="196">
        <f t="shared" si="164"/>
        <v>6705.0119271949297</v>
      </c>
      <c r="AV71" s="197">
        <f t="shared" si="164"/>
        <v>2506.6424022283813</v>
      </c>
      <c r="AW71" s="197">
        <f t="shared" si="164"/>
        <v>9023.3984924190372</v>
      </c>
      <c r="AX71" s="197">
        <f t="shared" si="164"/>
        <v>-2318.3865652241075</v>
      </c>
      <c r="AY71" s="199">
        <f t="shared" si="164"/>
        <v>188.25583700427387</v>
      </c>
      <c r="BB71" s="204">
        <f t="shared" si="198"/>
        <v>9</v>
      </c>
      <c r="BC71" s="219" t="s">
        <v>5</v>
      </c>
      <c r="BD71" s="760">
        <f>'Arable Inputs'!$F$18</f>
        <v>2.6</v>
      </c>
      <c r="BE71" s="760">
        <f>'Arable Inputs'!$F$25</f>
        <v>196.99</v>
      </c>
      <c r="BF71" s="760">
        <f>'Arable Inputs'!$F$19</f>
        <v>2.6</v>
      </c>
      <c r="BG71" s="760">
        <f>'Arable Inputs'!$F$26</f>
        <v>42.374999999999993</v>
      </c>
      <c r="BH71" s="762">
        <f>BD71*BE71+BF71*BG71</f>
        <v>622.34900000000005</v>
      </c>
      <c r="BI71" s="197">
        <f>'Arable NPV'!$E151</f>
        <v>330</v>
      </c>
      <c r="BJ71" s="197">
        <f t="shared" si="165"/>
        <v>952.34900000000005</v>
      </c>
      <c r="BK71" s="197">
        <f>'Arable NPV'!$G151</f>
        <v>327.77441459954235</v>
      </c>
      <c r="BL71" s="197">
        <f>'Arable NPV'!$H151</f>
        <v>704.91322685714283</v>
      </c>
      <c r="BM71" s="197">
        <f t="shared" si="166"/>
        <v>1032.6876414566852</v>
      </c>
      <c r="BN71" s="197">
        <f t="shared" si="167"/>
        <v>-410.3386414566852</v>
      </c>
      <c r="BO71" s="197">
        <f t="shared" si="168"/>
        <v>-80.338641456685195</v>
      </c>
      <c r="BP71" s="196">
        <f t="shared" si="169"/>
        <v>552.46613018642074</v>
      </c>
      <c r="BQ71" s="197">
        <f t="shared" si="170"/>
        <v>292.94467085432586</v>
      </c>
      <c r="BR71" s="197">
        <f t="shared" si="171"/>
        <v>916.72830673290525</v>
      </c>
      <c r="BS71" s="197">
        <f t="shared" si="172"/>
        <v>-364.26217654648445</v>
      </c>
      <c r="BT71" s="199">
        <f t="shared" si="173"/>
        <v>-71.317505692158619</v>
      </c>
      <c r="BU71" s="196">
        <f t="shared" si="174"/>
        <v>7433.337675727279</v>
      </c>
      <c r="BV71" s="197">
        <f t="shared" si="174"/>
        <v>2800.3552763782991</v>
      </c>
      <c r="BW71" s="197">
        <f t="shared" si="174"/>
        <v>10040.452368091075</v>
      </c>
      <c r="BX71" s="197">
        <f t="shared" si="174"/>
        <v>-2607.1146923637975</v>
      </c>
      <c r="BY71" s="199">
        <f t="shared" si="174"/>
        <v>193.24058401450142</v>
      </c>
      <c r="CB71" s="204">
        <f t="shared" si="199"/>
        <v>9</v>
      </c>
      <c r="CC71" s="219" t="s">
        <v>5</v>
      </c>
      <c r="CD71" s="760">
        <f>'Arable Inputs'!$F$18</f>
        <v>2.6</v>
      </c>
      <c r="CE71" s="760">
        <f>'Arable Inputs'!$F$25</f>
        <v>196.99</v>
      </c>
      <c r="CF71" s="760">
        <f>'Arable Inputs'!$F$19</f>
        <v>2.6</v>
      </c>
      <c r="CG71" s="760">
        <f>'Arable Inputs'!$F$26</f>
        <v>42.374999999999993</v>
      </c>
      <c r="CH71" s="762">
        <f>CD71*CE71+CF71*CG71</f>
        <v>622.34900000000005</v>
      </c>
      <c r="CI71" s="197">
        <f>'Arable NPV'!$E151</f>
        <v>330</v>
      </c>
      <c r="CJ71" s="197">
        <f t="shared" si="175"/>
        <v>952.34900000000005</v>
      </c>
      <c r="CK71" s="197">
        <f>'Arable NPV'!$G151</f>
        <v>327.77441459954235</v>
      </c>
      <c r="CL71" s="197">
        <f>'Arable NPV'!$H151</f>
        <v>704.91322685714283</v>
      </c>
      <c r="CM71" s="197">
        <f t="shared" si="176"/>
        <v>1032.6876414566852</v>
      </c>
      <c r="CN71" s="197">
        <f t="shared" si="177"/>
        <v>-410.3386414566852</v>
      </c>
      <c r="CO71" s="197">
        <f t="shared" si="178"/>
        <v>-80.338641456685195</v>
      </c>
      <c r="CP71" s="196">
        <f t="shared" si="179"/>
        <v>390.46946189221438</v>
      </c>
      <c r="CQ71" s="197">
        <f t="shared" si="180"/>
        <v>207.04608254280274</v>
      </c>
      <c r="CR71" s="197">
        <f t="shared" si="181"/>
        <v>647.92100198173682</v>
      </c>
      <c r="CS71" s="197">
        <f t="shared" si="182"/>
        <v>-257.45154008952238</v>
      </c>
      <c r="CT71" s="199">
        <f t="shared" si="183"/>
        <v>-50.405457546719632</v>
      </c>
      <c r="CU71" s="196">
        <f t="shared" si="184"/>
        <v>6388.2330068213696</v>
      </c>
      <c r="CV71" s="197">
        <f t="shared" si="184"/>
        <v>2379.231957619952</v>
      </c>
      <c r="CW71" s="197">
        <f t="shared" si="184"/>
        <v>8582.2533162534201</v>
      </c>
      <c r="CX71" s="197">
        <f t="shared" si="184"/>
        <v>-2194.0203094320509</v>
      </c>
      <c r="CY71" s="199">
        <f t="shared" si="184"/>
        <v>185.2116481879014</v>
      </c>
      <c r="DB71" s="204">
        <f t="shared" si="185"/>
        <v>9</v>
      </c>
      <c r="DC71" s="219" t="s">
        <v>5</v>
      </c>
      <c r="DD71" s="760">
        <f>'Arable Inputs'!$F$18</f>
        <v>2.6</v>
      </c>
      <c r="DE71" s="760">
        <f>'Arable Inputs'!$F$25</f>
        <v>196.99</v>
      </c>
      <c r="DF71" s="760">
        <f>'Arable Inputs'!$F$19</f>
        <v>2.6</v>
      </c>
      <c r="DG71" s="760">
        <f>'Arable Inputs'!$F$26</f>
        <v>42.374999999999993</v>
      </c>
      <c r="DH71" s="762">
        <f>DD71*DE71+DF71*DG71</f>
        <v>622.34900000000005</v>
      </c>
      <c r="DI71" s="197">
        <f>'Arable NPV'!$E151</f>
        <v>330</v>
      </c>
      <c r="DJ71" s="197">
        <f t="shared" si="186"/>
        <v>952.34900000000005</v>
      </c>
      <c r="DK71" s="197">
        <f>'Arable NPV'!$G151</f>
        <v>327.77441459954235</v>
      </c>
      <c r="DL71" s="197">
        <f>'Arable NPV'!$H151</f>
        <v>704.91322685714283</v>
      </c>
      <c r="DM71" s="197">
        <f t="shared" si="187"/>
        <v>1032.6876414566852</v>
      </c>
      <c r="DN71" s="197">
        <f t="shared" si="188"/>
        <v>-410.3386414566852</v>
      </c>
      <c r="DO71" s="197">
        <f t="shared" si="189"/>
        <v>-80.338641456685195</v>
      </c>
      <c r="DP71" s="196">
        <f t="shared" si="190"/>
        <v>622.34900000000005</v>
      </c>
      <c r="DQ71" s="197">
        <f t="shared" si="191"/>
        <v>330</v>
      </c>
      <c r="DR71" s="197">
        <f t="shared" si="192"/>
        <v>1032.6876414566852</v>
      </c>
      <c r="DS71" s="197">
        <f t="shared" si="193"/>
        <v>-410.3386414566852</v>
      </c>
      <c r="DT71" s="199">
        <f t="shared" si="194"/>
        <v>-80.338641456685195</v>
      </c>
      <c r="DU71" s="196">
        <f t="shared" si="195"/>
        <v>7852.8144285714288</v>
      </c>
      <c r="DV71" s="197">
        <f t="shared" si="195"/>
        <v>2970</v>
      </c>
      <c r="DW71" s="197">
        <f t="shared" si="195"/>
        <v>10627.904215334422</v>
      </c>
      <c r="DX71" s="197">
        <f t="shared" si="195"/>
        <v>-2775.0897867629942</v>
      </c>
      <c r="DY71" s="199">
        <f t="shared" si="195"/>
        <v>194.91021323700579</v>
      </c>
    </row>
    <row r="72" spans="2:129" x14ac:dyDescent="0.3">
      <c r="B72" s="204">
        <f t="shared" si="196"/>
        <v>10</v>
      </c>
      <c r="C72" s="219" t="s">
        <v>559</v>
      </c>
      <c r="D72" s="760">
        <f>'Arable Inputs'!$E$18</f>
        <v>3.1</v>
      </c>
      <c r="E72" s="760">
        <f>'Arable Inputs'!$E$25</f>
        <v>310.75</v>
      </c>
      <c r="H72" s="762">
        <f>D72*E72</f>
        <v>963.32500000000005</v>
      </c>
      <c r="I72" s="197">
        <f>'Arable NPV'!$E152</f>
        <v>330</v>
      </c>
      <c r="J72" s="197">
        <f t="shared" si="145"/>
        <v>1293.325</v>
      </c>
      <c r="K72" s="197">
        <f>'Arable NPV'!$G152</f>
        <v>300.32802631578949</v>
      </c>
      <c r="L72" s="197">
        <f>'Arable NPV'!$H152</f>
        <v>547.62448399999994</v>
      </c>
      <c r="M72" s="197">
        <f t="shared" si="146"/>
        <v>847.95251031578937</v>
      </c>
      <c r="N72" s="197">
        <f t="shared" si="147"/>
        <v>115.37248968421068</v>
      </c>
      <c r="O72" s="197">
        <f t="shared" si="148"/>
        <v>445.37248968421068</v>
      </c>
      <c r="P72" s="196">
        <f t="shared" si="149"/>
        <v>738.30839868492444</v>
      </c>
      <c r="Q72" s="197">
        <f t="shared" si="150"/>
        <v>252.91752167339689</v>
      </c>
      <c r="R72" s="197">
        <f t="shared" si="151"/>
        <v>649.88499213880289</v>
      </c>
      <c r="S72" s="197">
        <f t="shared" si="152"/>
        <v>88.423406546121555</v>
      </c>
      <c r="T72" s="199">
        <f t="shared" si="153"/>
        <v>341.34092821951845</v>
      </c>
      <c r="U72" s="196">
        <f t="shared" si="154"/>
        <v>7790.4565008609889</v>
      </c>
      <c r="V72" s="197">
        <f t="shared" si="154"/>
        <v>2899.4159442201048</v>
      </c>
      <c r="W72" s="197">
        <f t="shared" si="154"/>
        <v>10157.558804371321</v>
      </c>
      <c r="X72" s="197">
        <f t="shared" si="154"/>
        <v>-2367.1023035103326</v>
      </c>
      <c r="Y72" s="199">
        <f t="shared" si="154"/>
        <v>532.31364070977202</v>
      </c>
      <c r="AB72" s="204">
        <f t="shared" si="197"/>
        <v>10</v>
      </c>
      <c r="AC72" s="219" t="s">
        <v>559</v>
      </c>
      <c r="AD72" s="760">
        <f>'Arable Inputs'!$E$18</f>
        <v>3.1</v>
      </c>
      <c r="AE72" s="760">
        <f>'Arable Inputs'!$E$25</f>
        <v>310.75</v>
      </c>
      <c r="AH72" s="762">
        <f>AD72*AE72</f>
        <v>963.32500000000005</v>
      </c>
      <c r="AI72" s="197">
        <f>'Arable NPV'!$E152</f>
        <v>330</v>
      </c>
      <c r="AJ72" s="197">
        <f t="shared" si="155"/>
        <v>1293.325</v>
      </c>
      <c r="AK72" s="197">
        <f>'Arable NPV'!$G152</f>
        <v>300.32802631578949</v>
      </c>
      <c r="AL72" s="197">
        <f>'Arable NPV'!$H152</f>
        <v>547.62448399999994</v>
      </c>
      <c r="AM72" s="197">
        <f t="shared" si="156"/>
        <v>847.95251031578937</v>
      </c>
      <c r="AN72" s="197">
        <f t="shared" si="157"/>
        <v>115.37248968421068</v>
      </c>
      <c r="AO72" s="197">
        <f t="shared" si="158"/>
        <v>445.37248968421068</v>
      </c>
      <c r="AP72" s="196">
        <f t="shared" si="159"/>
        <v>648.22565783471293</v>
      </c>
      <c r="AQ72" s="197">
        <f t="shared" si="160"/>
        <v>222.05846114806039</v>
      </c>
      <c r="AR72" s="197">
        <f t="shared" si="161"/>
        <v>570.59099868896658</v>
      </c>
      <c r="AS72" s="197">
        <f t="shared" si="162"/>
        <v>77.63465914574634</v>
      </c>
      <c r="AT72" s="199">
        <f t="shared" si="163"/>
        <v>299.69312029380671</v>
      </c>
      <c r="AU72" s="196">
        <f t="shared" si="164"/>
        <v>7353.237585029643</v>
      </c>
      <c r="AV72" s="197">
        <f t="shared" si="164"/>
        <v>2728.7008633764417</v>
      </c>
      <c r="AW72" s="197">
        <f t="shared" si="164"/>
        <v>9593.9894911080046</v>
      </c>
      <c r="AX72" s="197">
        <f t="shared" si="164"/>
        <v>-2240.7519060783611</v>
      </c>
      <c r="AY72" s="199">
        <f t="shared" si="164"/>
        <v>487.94895729808059</v>
      </c>
      <c r="BB72" s="204">
        <f t="shared" si="198"/>
        <v>10</v>
      </c>
      <c r="BC72" s="219" t="s">
        <v>559</v>
      </c>
      <c r="BD72" s="760">
        <f>'Arable Inputs'!$E$18</f>
        <v>3.1</v>
      </c>
      <c r="BE72" s="760">
        <f>'Arable Inputs'!$E$25</f>
        <v>310.75</v>
      </c>
      <c r="BH72" s="762">
        <f>BD72*BE72</f>
        <v>963.32500000000005</v>
      </c>
      <c r="BI72" s="197">
        <f>'Arable NPV'!$E152</f>
        <v>330</v>
      </c>
      <c r="BJ72" s="197">
        <f t="shared" si="165"/>
        <v>1293.325</v>
      </c>
      <c r="BK72" s="197">
        <f>'Arable NPV'!$G152</f>
        <v>300.32802631578949</v>
      </c>
      <c r="BL72" s="197">
        <f>'Arable NPV'!$H152</f>
        <v>547.62448399999994</v>
      </c>
      <c r="BM72" s="197">
        <f t="shared" si="166"/>
        <v>847.95251031578937</v>
      </c>
      <c r="BN72" s="197">
        <f t="shared" si="167"/>
        <v>115.37248968421068</v>
      </c>
      <c r="BO72" s="197">
        <f t="shared" si="168"/>
        <v>445.37248968421068</v>
      </c>
      <c r="BP72" s="196">
        <f t="shared" si="169"/>
        <v>842.51656978875508</v>
      </c>
      <c r="BQ72" s="197">
        <f t="shared" si="170"/>
        <v>288.61543926534569</v>
      </c>
      <c r="BR72" s="197">
        <f t="shared" si="171"/>
        <v>741.61268557861865</v>
      </c>
      <c r="BS72" s="197">
        <f t="shared" si="172"/>
        <v>100.90388421013645</v>
      </c>
      <c r="BT72" s="199">
        <f t="shared" si="173"/>
        <v>389.51932347548217</v>
      </c>
      <c r="BU72" s="196">
        <f t="shared" si="174"/>
        <v>8275.854245516035</v>
      </c>
      <c r="BV72" s="197">
        <f t="shared" si="174"/>
        <v>3088.9707156436448</v>
      </c>
      <c r="BW72" s="197">
        <f t="shared" si="174"/>
        <v>10782.065053669694</v>
      </c>
      <c r="BX72" s="197">
        <f t="shared" si="174"/>
        <v>-2506.2108081536612</v>
      </c>
      <c r="BY72" s="199">
        <f t="shared" si="174"/>
        <v>582.75990748998356</v>
      </c>
      <c r="CB72" s="204">
        <f t="shared" si="199"/>
        <v>10</v>
      </c>
      <c r="CC72" s="219" t="s">
        <v>559</v>
      </c>
      <c r="CD72" s="760">
        <f>'Arable Inputs'!$E$18</f>
        <v>3.1</v>
      </c>
      <c r="CE72" s="760">
        <f>'Arable Inputs'!$E$25</f>
        <v>310.75</v>
      </c>
      <c r="CH72" s="762">
        <f>CD72*CE72</f>
        <v>963.32500000000005</v>
      </c>
      <c r="CI72" s="197">
        <f>'Arable NPV'!$E152</f>
        <v>330</v>
      </c>
      <c r="CJ72" s="197">
        <f t="shared" si="175"/>
        <v>1293.325</v>
      </c>
      <c r="CK72" s="197">
        <f>'Arable NPV'!$G152</f>
        <v>300.32802631578949</v>
      </c>
      <c r="CL72" s="197">
        <f>'Arable NPV'!$H152</f>
        <v>547.62448399999994</v>
      </c>
      <c r="CM72" s="197">
        <f t="shared" si="176"/>
        <v>847.95251031578937</v>
      </c>
      <c r="CN72" s="197">
        <f t="shared" si="177"/>
        <v>115.37248968421068</v>
      </c>
      <c r="CO72" s="197">
        <f t="shared" si="178"/>
        <v>445.37248968421068</v>
      </c>
      <c r="CP72" s="196">
        <f t="shared" si="179"/>
        <v>570.1905873800614</v>
      </c>
      <c r="CQ72" s="197">
        <f t="shared" si="180"/>
        <v>195.32649296490825</v>
      </c>
      <c r="CR72" s="197">
        <f t="shared" si="181"/>
        <v>501.90178800234338</v>
      </c>
      <c r="CS72" s="197">
        <f t="shared" si="182"/>
        <v>68.288799377717964</v>
      </c>
      <c r="CT72" s="199">
        <f t="shared" si="183"/>
        <v>263.61529234262622</v>
      </c>
      <c r="CU72" s="196">
        <f t="shared" si="184"/>
        <v>6958.4235942014311</v>
      </c>
      <c r="CV72" s="197">
        <f t="shared" si="184"/>
        <v>2574.5584505848601</v>
      </c>
      <c r="CW72" s="197">
        <f t="shared" si="184"/>
        <v>9084.1551042557639</v>
      </c>
      <c r="CX72" s="197">
        <f t="shared" si="184"/>
        <v>-2125.7315100543328</v>
      </c>
      <c r="CY72" s="199">
        <f t="shared" si="184"/>
        <v>448.82694053052762</v>
      </c>
      <c r="DB72" s="204">
        <f t="shared" si="185"/>
        <v>10</v>
      </c>
      <c r="DC72" s="219" t="s">
        <v>559</v>
      </c>
      <c r="DD72" s="760">
        <f>'Arable Inputs'!$E$18</f>
        <v>3.1</v>
      </c>
      <c r="DE72" s="760">
        <f>'Arable Inputs'!$E$25</f>
        <v>310.75</v>
      </c>
      <c r="DH72" s="762">
        <f>DD72*DE72</f>
        <v>963.32500000000005</v>
      </c>
      <c r="DI72" s="197">
        <f>'Arable NPV'!$E152</f>
        <v>330</v>
      </c>
      <c r="DJ72" s="197">
        <f t="shared" si="186"/>
        <v>1293.325</v>
      </c>
      <c r="DK72" s="197">
        <f>'Arable NPV'!$G152</f>
        <v>300.32802631578949</v>
      </c>
      <c r="DL72" s="197">
        <f>'Arable NPV'!$H152</f>
        <v>547.62448399999994</v>
      </c>
      <c r="DM72" s="197">
        <f t="shared" si="187"/>
        <v>847.95251031578937</v>
      </c>
      <c r="DN72" s="197">
        <f t="shared" si="188"/>
        <v>115.37248968421068</v>
      </c>
      <c r="DO72" s="197">
        <f t="shared" si="189"/>
        <v>445.37248968421068</v>
      </c>
      <c r="DP72" s="196">
        <f t="shared" si="190"/>
        <v>963.32500000000005</v>
      </c>
      <c r="DQ72" s="197">
        <f t="shared" si="191"/>
        <v>330</v>
      </c>
      <c r="DR72" s="197">
        <f t="shared" si="192"/>
        <v>847.95251031578937</v>
      </c>
      <c r="DS72" s="197">
        <f t="shared" si="193"/>
        <v>115.37248968421068</v>
      </c>
      <c r="DT72" s="199">
        <f t="shared" si="194"/>
        <v>445.37248968421068</v>
      </c>
      <c r="DU72" s="196">
        <f t="shared" si="195"/>
        <v>8816.1394285714287</v>
      </c>
      <c r="DV72" s="197">
        <f t="shared" si="195"/>
        <v>3300</v>
      </c>
      <c r="DW72" s="197">
        <f t="shared" si="195"/>
        <v>11475.85672565021</v>
      </c>
      <c r="DX72" s="197">
        <f t="shared" si="195"/>
        <v>-2659.7172970787833</v>
      </c>
      <c r="DY72" s="199">
        <f t="shared" si="195"/>
        <v>640.28270292121647</v>
      </c>
    </row>
    <row r="73" spans="2:129" x14ac:dyDescent="0.3">
      <c r="B73" s="204">
        <f t="shared" si="196"/>
        <v>11</v>
      </c>
      <c r="C73" s="219" t="s">
        <v>4</v>
      </c>
      <c r="D73" s="760">
        <f>'Arable Inputs'!$D$18</f>
        <v>5.5</v>
      </c>
      <c r="E73" s="760">
        <f>'Arable Inputs'!$D$25</f>
        <v>210</v>
      </c>
      <c r="F73" s="760">
        <f>'Arable Inputs'!$D$19</f>
        <v>3.9</v>
      </c>
      <c r="G73" s="760">
        <f>'Arable Inputs'!$D$26</f>
        <v>73.449999999999989</v>
      </c>
      <c r="H73" s="762">
        <f>D73*E73+F73*G73</f>
        <v>1441.4549999999999</v>
      </c>
      <c r="I73" s="197">
        <f>'Arable NPV'!$E153</f>
        <v>330</v>
      </c>
      <c r="J73" s="197">
        <f t="shared" si="145"/>
        <v>1771.4549999999999</v>
      </c>
      <c r="K73" s="197">
        <f>'Arable NPV'!$G153</f>
        <v>622.34710631578946</v>
      </c>
      <c r="L73" s="197">
        <f>'Arable NPV'!$H153</f>
        <v>943.00233600000001</v>
      </c>
      <c r="M73" s="197">
        <f t="shared" si="146"/>
        <v>1565.3494423157895</v>
      </c>
      <c r="N73" s="197">
        <f t="shared" si="147"/>
        <v>-123.89444231578955</v>
      </c>
      <c r="O73" s="197">
        <f t="shared" si="148"/>
        <v>206.10555768421045</v>
      </c>
      <c r="P73" s="196">
        <f t="shared" si="149"/>
        <v>1072.577894097459</v>
      </c>
      <c r="Q73" s="197">
        <f t="shared" si="150"/>
        <v>245.55099191591933</v>
      </c>
      <c r="R73" s="197">
        <f t="shared" si="151"/>
        <v>1164.7669947141612</v>
      </c>
      <c r="S73" s="197">
        <f t="shared" si="152"/>
        <v>-92.189100616702333</v>
      </c>
      <c r="T73" s="199">
        <f t="shared" si="153"/>
        <v>153.36189129921698</v>
      </c>
      <c r="U73" s="196">
        <f t="shared" si="154"/>
        <v>8863.0343949584476</v>
      </c>
      <c r="V73" s="197">
        <f t="shared" si="154"/>
        <v>3144.9669361360243</v>
      </c>
      <c r="W73" s="197">
        <f t="shared" si="154"/>
        <v>11322.325799085484</v>
      </c>
      <c r="X73" s="197">
        <f t="shared" si="154"/>
        <v>-2459.2914041270351</v>
      </c>
      <c r="Y73" s="199">
        <f t="shared" si="154"/>
        <v>685.67553200898897</v>
      </c>
      <c r="AB73" s="204">
        <f t="shared" si="197"/>
        <v>11</v>
      </c>
      <c r="AC73" s="219" t="s">
        <v>4</v>
      </c>
      <c r="AD73" s="760">
        <f>'Arable Inputs'!$D$18</f>
        <v>5.5</v>
      </c>
      <c r="AE73" s="760">
        <f>'Arable Inputs'!$D$25</f>
        <v>210</v>
      </c>
      <c r="AF73" s="760">
        <f>'Arable Inputs'!$D$19</f>
        <v>3.9</v>
      </c>
      <c r="AG73" s="760">
        <f>'Arable Inputs'!$D$26</f>
        <v>73.449999999999989</v>
      </c>
      <c r="AH73" s="762">
        <f>AD73*AE73+AF73*AG73</f>
        <v>1441.4549999999999</v>
      </c>
      <c r="AI73" s="197">
        <f>'Arable NPV'!$E153</f>
        <v>330</v>
      </c>
      <c r="AJ73" s="197">
        <f t="shared" si="155"/>
        <v>1771.4549999999999</v>
      </c>
      <c r="AK73" s="197">
        <f>'Arable NPV'!$G153</f>
        <v>622.34710631578946</v>
      </c>
      <c r="AL73" s="197">
        <f>'Arable NPV'!$H153</f>
        <v>943.00233600000001</v>
      </c>
      <c r="AM73" s="197">
        <f t="shared" si="156"/>
        <v>1565.3494423157895</v>
      </c>
      <c r="AN73" s="197">
        <f t="shared" si="157"/>
        <v>-123.89444231578955</v>
      </c>
      <c r="AO73" s="197">
        <f t="shared" si="158"/>
        <v>206.10555768421045</v>
      </c>
      <c r="AP73" s="196">
        <f t="shared" si="159"/>
        <v>928.19277690061597</v>
      </c>
      <c r="AQ73" s="197">
        <f t="shared" si="160"/>
        <v>212.49613506991429</v>
      </c>
      <c r="AR73" s="197">
        <f t="shared" si="161"/>
        <v>1007.9718379574273</v>
      </c>
      <c r="AS73" s="197">
        <f t="shared" si="162"/>
        <v>-79.779061056811273</v>
      </c>
      <c r="AT73" s="199">
        <f t="shared" si="163"/>
        <v>132.717074013103</v>
      </c>
      <c r="AU73" s="196">
        <f t="shared" si="164"/>
        <v>8281.4303619302591</v>
      </c>
      <c r="AV73" s="197">
        <f t="shared" si="164"/>
        <v>2941.1969984463558</v>
      </c>
      <c r="AW73" s="197">
        <f t="shared" si="164"/>
        <v>10601.961329065432</v>
      </c>
      <c r="AX73" s="197">
        <f t="shared" si="164"/>
        <v>-2320.5309671351724</v>
      </c>
      <c r="AY73" s="199">
        <f t="shared" si="164"/>
        <v>620.66603131118359</v>
      </c>
      <c r="BB73" s="204">
        <f t="shared" si="198"/>
        <v>11</v>
      </c>
      <c r="BC73" s="219" t="s">
        <v>4</v>
      </c>
      <c r="BD73" s="760">
        <f>'Arable Inputs'!$D$18</f>
        <v>5.5</v>
      </c>
      <c r="BE73" s="760">
        <f>'Arable Inputs'!$D$25</f>
        <v>210</v>
      </c>
      <c r="BF73" s="760">
        <f>'Arable Inputs'!$D$19</f>
        <v>3.9</v>
      </c>
      <c r="BG73" s="760">
        <f>'Arable Inputs'!$D$26</f>
        <v>73.449999999999989</v>
      </c>
      <c r="BH73" s="762">
        <f>BD73*BE73+BF73*BG73</f>
        <v>1441.4549999999999</v>
      </c>
      <c r="BI73" s="197">
        <f>'Arable NPV'!$E153</f>
        <v>330</v>
      </c>
      <c r="BJ73" s="197">
        <f t="shared" si="165"/>
        <v>1771.4549999999999</v>
      </c>
      <c r="BK73" s="197">
        <f>'Arable NPV'!$G153</f>
        <v>622.34710631578946</v>
      </c>
      <c r="BL73" s="197">
        <f>'Arable NPV'!$H153</f>
        <v>943.00233600000001</v>
      </c>
      <c r="BM73" s="197">
        <f t="shared" si="166"/>
        <v>1565.3494423157895</v>
      </c>
      <c r="BN73" s="197">
        <f t="shared" si="167"/>
        <v>-123.89444231578955</v>
      </c>
      <c r="BO73" s="197">
        <f t="shared" si="168"/>
        <v>206.10555768421045</v>
      </c>
      <c r="BP73" s="196">
        <f t="shared" si="169"/>
        <v>1242.0545395021015</v>
      </c>
      <c r="BQ73" s="197">
        <f t="shared" si="170"/>
        <v>284.35018646832094</v>
      </c>
      <c r="BR73" s="197">
        <f t="shared" si="171"/>
        <v>1348.8103206381118</v>
      </c>
      <c r="BS73" s="197">
        <f t="shared" si="172"/>
        <v>-106.75578113601027</v>
      </c>
      <c r="BT73" s="199">
        <f t="shared" si="173"/>
        <v>177.59440533231066</v>
      </c>
      <c r="BU73" s="196">
        <f t="shared" si="174"/>
        <v>9517.9087850181368</v>
      </c>
      <c r="BV73" s="197">
        <f t="shared" si="174"/>
        <v>3373.3209021119656</v>
      </c>
      <c r="BW73" s="197">
        <f t="shared" si="174"/>
        <v>12130.875374307805</v>
      </c>
      <c r="BX73" s="197">
        <f t="shared" si="174"/>
        <v>-2612.9665892896714</v>
      </c>
      <c r="BY73" s="199">
        <f t="shared" si="174"/>
        <v>760.35431282229422</v>
      </c>
      <c r="CB73" s="204">
        <f t="shared" si="199"/>
        <v>11</v>
      </c>
      <c r="CC73" s="219" t="s">
        <v>4</v>
      </c>
      <c r="CD73" s="760">
        <f>'Arable Inputs'!$D$18</f>
        <v>5.5</v>
      </c>
      <c r="CE73" s="760">
        <f>'Arable Inputs'!$D$25</f>
        <v>210</v>
      </c>
      <c r="CF73" s="760">
        <f>'Arable Inputs'!$D$19</f>
        <v>3.9</v>
      </c>
      <c r="CG73" s="760">
        <f>'Arable Inputs'!$D$26</f>
        <v>73.449999999999989</v>
      </c>
      <c r="CH73" s="762">
        <f>CD73*CE73+CF73*CG73</f>
        <v>1441.4549999999999</v>
      </c>
      <c r="CI73" s="197">
        <f>'Arable NPV'!$E153</f>
        <v>330</v>
      </c>
      <c r="CJ73" s="197">
        <f t="shared" si="175"/>
        <v>1771.4549999999999</v>
      </c>
      <c r="CK73" s="197">
        <f>'Arable NPV'!$G153</f>
        <v>622.34710631578946</v>
      </c>
      <c r="CL73" s="197">
        <f>'Arable NPV'!$H153</f>
        <v>943.00233600000001</v>
      </c>
      <c r="CM73" s="197">
        <f t="shared" si="176"/>
        <v>1565.3494423157895</v>
      </c>
      <c r="CN73" s="197">
        <f t="shared" si="177"/>
        <v>-123.89444231578955</v>
      </c>
      <c r="CO73" s="197">
        <f t="shared" si="178"/>
        <v>206.10555768421045</v>
      </c>
      <c r="CP73" s="196">
        <f t="shared" si="179"/>
        <v>804.90094315818124</v>
      </c>
      <c r="CQ73" s="197">
        <f t="shared" si="180"/>
        <v>184.27027638198891</v>
      </c>
      <c r="CR73" s="197">
        <f t="shared" si="181"/>
        <v>874.08295263612945</v>
      </c>
      <c r="CS73" s="197">
        <f t="shared" si="182"/>
        <v>-69.182009477948242</v>
      </c>
      <c r="CT73" s="199">
        <f t="shared" si="183"/>
        <v>115.08826690404065</v>
      </c>
      <c r="CU73" s="196">
        <f t="shared" si="184"/>
        <v>7763.3245373596128</v>
      </c>
      <c r="CV73" s="197">
        <f t="shared" si="184"/>
        <v>2758.828726966849</v>
      </c>
      <c r="CW73" s="197">
        <f t="shared" si="184"/>
        <v>9958.2380568918925</v>
      </c>
      <c r="CX73" s="197">
        <f t="shared" si="184"/>
        <v>-2194.913519532281</v>
      </c>
      <c r="CY73" s="199">
        <f t="shared" si="184"/>
        <v>563.91520743456829</v>
      </c>
      <c r="DB73" s="204">
        <f t="shared" si="185"/>
        <v>11</v>
      </c>
      <c r="DC73" s="219" t="s">
        <v>4</v>
      </c>
      <c r="DD73" s="760">
        <f>'Arable Inputs'!$D$18</f>
        <v>5.5</v>
      </c>
      <c r="DE73" s="760">
        <f>'Arable Inputs'!$D$25</f>
        <v>210</v>
      </c>
      <c r="DF73" s="760">
        <f>'Arable Inputs'!$D$19</f>
        <v>3.9</v>
      </c>
      <c r="DG73" s="760">
        <f>'Arable Inputs'!$D$26</f>
        <v>73.449999999999989</v>
      </c>
      <c r="DH73" s="762">
        <f>DD73*DE73+DF73*DG73</f>
        <v>1441.4549999999999</v>
      </c>
      <c r="DI73" s="197">
        <f>'Arable NPV'!$E153</f>
        <v>330</v>
      </c>
      <c r="DJ73" s="197">
        <f t="shared" si="186"/>
        <v>1771.4549999999999</v>
      </c>
      <c r="DK73" s="197">
        <f>'Arable NPV'!$G153</f>
        <v>622.34710631578946</v>
      </c>
      <c r="DL73" s="197">
        <f>'Arable NPV'!$H153</f>
        <v>943.00233600000001</v>
      </c>
      <c r="DM73" s="197">
        <f t="shared" si="187"/>
        <v>1565.3494423157895</v>
      </c>
      <c r="DN73" s="197">
        <f t="shared" si="188"/>
        <v>-123.89444231578955</v>
      </c>
      <c r="DO73" s="197">
        <f t="shared" si="189"/>
        <v>206.10555768421045</v>
      </c>
      <c r="DP73" s="196">
        <f t="shared" si="190"/>
        <v>1441.4549999999999</v>
      </c>
      <c r="DQ73" s="197">
        <f t="shared" si="191"/>
        <v>330</v>
      </c>
      <c r="DR73" s="197">
        <f t="shared" si="192"/>
        <v>1565.3494423157895</v>
      </c>
      <c r="DS73" s="197">
        <f t="shared" si="193"/>
        <v>-123.89444231578955</v>
      </c>
      <c r="DT73" s="199">
        <f t="shared" si="194"/>
        <v>206.10555768421045</v>
      </c>
      <c r="DU73" s="196">
        <f t="shared" si="195"/>
        <v>10257.594428571429</v>
      </c>
      <c r="DV73" s="197">
        <f t="shared" si="195"/>
        <v>3630</v>
      </c>
      <c r="DW73" s="197">
        <f t="shared" si="195"/>
        <v>13041.206167966</v>
      </c>
      <c r="DX73" s="197">
        <f t="shared" si="195"/>
        <v>-2783.6117393945729</v>
      </c>
      <c r="DY73" s="199">
        <f t="shared" si="195"/>
        <v>846.38826060542692</v>
      </c>
    </row>
    <row r="74" spans="2:129" x14ac:dyDescent="0.3">
      <c r="B74" s="204">
        <f t="shared" si="196"/>
        <v>12</v>
      </c>
      <c r="C74" s="219" t="s">
        <v>560</v>
      </c>
      <c r="D74" s="760">
        <f>'Arable Inputs'!$G$18</f>
        <v>2.1</v>
      </c>
      <c r="E74" s="760">
        <f>'Arable Inputs'!$G$25</f>
        <v>235.55</v>
      </c>
      <c r="H74" s="762">
        <f>D74*E74</f>
        <v>494.65500000000003</v>
      </c>
      <c r="I74" s="197">
        <f>'Arable NPV'!$E154</f>
        <v>330</v>
      </c>
      <c r="J74" s="197">
        <f t="shared" si="145"/>
        <v>824.65499999999997</v>
      </c>
      <c r="K74" s="197">
        <f>'Arable NPV'!$G154</f>
        <v>255.07731473684206</v>
      </c>
      <c r="L74" s="197">
        <f>'Arable NPV'!$H154</f>
        <v>778.68036799999993</v>
      </c>
      <c r="M74" s="197">
        <f t="shared" si="146"/>
        <v>1033.7576827368421</v>
      </c>
      <c r="N74" s="197">
        <f t="shared" si="147"/>
        <v>-539.1026827368421</v>
      </c>
      <c r="O74" s="197">
        <f t="shared" si="148"/>
        <v>-209.1026827368421</v>
      </c>
      <c r="P74" s="196">
        <f t="shared" si="149"/>
        <v>357.34929657596081</v>
      </c>
      <c r="Q74" s="197">
        <f t="shared" si="150"/>
        <v>238.39902127759154</v>
      </c>
      <c r="R74" s="197">
        <f t="shared" si="151"/>
        <v>746.80854485652776</v>
      </c>
      <c r="S74" s="197">
        <f t="shared" si="152"/>
        <v>-389.45924828056701</v>
      </c>
      <c r="T74" s="199">
        <f t="shared" si="153"/>
        <v>-151.06022700297544</v>
      </c>
      <c r="U74" s="196">
        <f t="shared" si="154"/>
        <v>9220.3836915344091</v>
      </c>
      <c r="V74" s="197">
        <f t="shared" si="154"/>
        <v>3383.3659574136159</v>
      </c>
      <c r="W74" s="197">
        <f t="shared" si="154"/>
        <v>12069.134343942011</v>
      </c>
      <c r="X74" s="197">
        <f t="shared" si="154"/>
        <v>-2848.750652407602</v>
      </c>
      <c r="Y74" s="199">
        <f t="shared" si="154"/>
        <v>534.6153050060135</v>
      </c>
      <c r="AB74" s="204">
        <f t="shared" si="197"/>
        <v>12</v>
      </c>
      <c r="AC74" s="219" t="s">
        <v>560</v>
      </c>
      <c r="AD74" s="760">
        <f>'Arable Inputs'!$G$18</f>
        <v>2.1</v>
      </c>
      <c r="AE74" s="760">
        <f>'Arable Inputs'!$G$25</f>
        <v>235.55</v>
      </c>
      <c r="AH74" s="762">
        <f>AD74*AE74</f>
        <v>494.65500000000003</v>
      </c>
      <c r="AI74" s="197">
        <f>'Arable NPV'!$E154</f>
        <v>330</v>
      </c>
      <c r="AJ74" s="197">
        <f t="shared" si="155"/>
        <v>824.65499999999997</v>
      </c>
      <c r="AK74" s="197">
        <f>'Arable NPV'!$G154</f>
        <v>255.07731473684206</v>
      </c>
      <c r="AL74" s="197">
        <f>'Arable NPV'!$H154</f>
        <v>778.68036799999993</v>
      </c>
      <c r="AM74" s="197">
        <f t="shared" si="156"/>
        <v>1033.7576827368421</v>
      </c>
      <c r="AN74" s="197">
        <f t="shared" si="157"/>
        <v>-539.1026827368421</v>
      </c>
      <c r="AO74" s="197">
        <f t="shared" si="158"/>
        <v>-209.1026827368421</v>
      </c>
      <c r="AP74" s="196">
        <f t="shared" si="159"/>
        <v>304.80578713356084</v>
      </c>
      <c r="AQ74" s="197">
        <f t="shared" si="160"/>
        <v>203.34558379896103</v>
      </c>
      <c r="AR74" s="197">
        <f t="shared" si="161"/>
        <v>637.0001803114676</v>
      </c>
      <c r="AS74" s="197">
        <f t="shared" si="162"/>
        <v>-332.19439317790676</v>
      </c>
      <c r="AT74" s="199">
        <f t="shared" si="163"/>
        <v>-128.84880937894573</v>
      </c>
      <c r="AU74" s="196">
        <f t="shared" si="164"/>
        <v>8586.2361490638195</v>
      </c>
      <c r="AV74" s="197">
        <f t="shared" si="164"/>
        <v>3144.5425822453167</v>
      </c>
      <c r="AW74" s="197">
        <f t="shared" si="164"/>
        <v>11238.961509376901</v>
      </c>
      <c r="AX74" s="197">
        <f t="shared" si="164"/>
        <v>-2652.7253603130794</v>
      </c>
      <c r="AY74" s="199">
        <f t="shared" si="164"/>
        <v>491.81722193223789</v>
      </c>
      <c r="BB74" s="204">
        <f t="shared" si="198"/>
        <v>12</v>
      </c>
      <c r="BC74" s="219" t="s">
        <v>560</v>
      </c>
      <c r="BD74" s="760">
        <f>'Arable Inputs'!$G$18</f>
        <v>2.1</v>
      </c>
      <c r="BE74" s="760">
        <f>'Arable Inputs'!$G$25</f>
        <v>235.55</v>
      </c>
      <c r="BH74" s="762">
        <f>BD74*BE74</f>
        <v>494.65500000000003</v>
      </c>
      <c r="BI74" s="197">
        <f>'Arable NPV'!$E154</f>
        <v>330</v>
      </c>
      <c r="BJ74" s="197">
        <f t="shared" si="165"/>
        <v>824.65499999999997</v>
      </c>
      <c r="BK74" s="197">
        <f>'Arable NPV'!$G154</f>
        <v>255.07731473684206</v>
      </c>
      <c r="BL74" s="197">
        <f>'Arable NPV'!$H154</f>
        <v>778.68036799999993</v>
      </c>
      <c r="BM74" s="197">
        <f t="shared" si="166"/>
        <v>1033.7576827368421</v>
      </c>
      <c r="BN74" s="197">
        <f t="shared" si="167"/>
        <v>-539.1026827368421</v>
      </c>
      <c r="BO74" s="197">
        <f t="shared" si="168"/>
        <v>-209.1026827368421</v>
      </c>
      <c r="BP74" s="196">
        <f t="shared" si="169"/>
        <v>419.92906848033232</v>
      </c>
      <c r="BQ74" s="197">
        <f t="shared" si="170"/>
        <v>280.14796696386304</v>
      </c>
      <c r="BR74" s="197">
        <f t="shared" si="171"/>
        <v>877.59125197575884</v>
      </c>
      <c r="BS74" s="197">
        <f t="shared" si="172"/>
        <v>-457.66218349542658</v>
      </c>
      <c r="BT74" s="199">
        <f t="shared" si="173"/>
        <v>-177.51421653156353</v>
      </c>
      <c r="BU74" s="196">
        <f t="shared" si="174"/>
        <v>9937.8378534984695</v>
      </c>
      <c r="BV74" s="197">
        <f t="shared" si="174"/>
        <v>3653.4688690758285</v>
      </c>
      <c r="BW74" s="197">
        <f t="shared" si="174"/>
        <v>13008.466626283564</v>
      </c>
      <c r="BX74" s="197">
        <f t="shared" si="174"/>
        <v>-3070.6287727850981</v>
      </c>
      <c r="BY74" s="199">
        <f t="shared" si="174"/>
        <v>582.84009629073068</v>
      </c>
      <c r="CB74" s="204">
        <f t="shared" si="199"/>
        <v>12</v>
      </c>
      <c r="CC74" s="219" t="s">
        <v>560</v>
      </c>
      <c r="CD74" s="760">
        <f>'Arable Inputs'!$G$18</f>
        <v>2.1</v>
      </c>
      <c r="CE74" s="760">
        <f>'Arable Inputs'!$G$25</f>
        <v>235.55</v>
      </c>
      <c r="CH74" s="762">
        <f>CD74*CE74</f>
        <v>494.65500000000003</v>
      </c>
      <c r="CI74" s="197">
        <f>'Arable NPV'!$E154</f>
        <v>330</v>
      </c>
      <c r="CJ74" s="197">
        <f t="shared" si="175"/>
        <v>824.65499999999997</v>
      </c>
      <c r="CK74" s="197">
        <f>'Arable NPV'!$G154</f>
        <v>255.07731473684206</v>
      </c>
      <c r="CL74" s="197">
        <f>'Arable NPV'!$H154</f>
        <v>778.68036799999993</v>
      </c>
      <c r="CM74" s="197">
        <f t="shared" si="176"/>
        <v>1033.7576827368421</v>
      </c>
      <c r="CN74" s="197">
        <f t="shared" si="177"/>
        <v>-539.1026827368421</v>
      </c>
      <c r="CO74" s="197">
        <f t="shared" si="178"/>
        <v>-209.1026827368421</v>
      </c>
      <c r="CP74" s="196">
        <f t="shared" si="179"/>
        <v>260.57808337259206</v>
      </c>
      <c r="CQ74" s="197">
        <f t="shared" si="180"/>
        <v>173.83988337923478</v>
      </c>
      <c r="CR74" s="197">
        <f t="shared" si="181"/>
        <v>544.57065154351699</v>
      </c>
      <c r="CS74" s="197">
        <f t="shared" si="182"/>
        <v>-283.99256817092498</v>
      </c>
      <c r="CT74" s="199">
        <f t="shared" si="183"/>
        <v>-110.15268479169018</v>
      </c>
      <c r="CU74" s="196">
        <f t="shared" si="184"/>
        <v>8023.9026207322049</v>
      </c>
      <c r="CV74" s="197">
        <f t="shared" si="184"/>
        <v>2932.6686103460838</v>
      </c>
      <c r="CW74" s="197">
        <f t="shared" si="184"/>
        <v>10502.80870843541</v>
      </c>
      <c r="CX74" s="197">
        <f t="shared" si="184"/>
        <v>-2478.9060877032061</v>
      </c>
      <c r="CY74" s="199">
        <f t="shared" si="184"/>
        <v>453.76252264287814</v>
      </c>
      <c r="DB74" s="204">
        <f t="shared" si="185"/>
        <v>12</v>
      </c>
      <c r="DC74" s="219" t="s">
        <v>560</v>
      </c>
      <c r="DD74" s="760">
        <f>'Arable Inputs'!$G$18</f>
        <v>2.1</v>
      </c>
      <c r="DE74" s="760">
        <f>'Arable Inputs'!$G$25</f>
        <v>235.55</v>
      </c>
      <c r="DH74" s="762">
        <f>DD74*DE74</f>
        <v>494.65500000000003</v>
      </c>
      <c r="DI74" s="197">
        <f>'Arable NPV'!$E154</f>
        <v>330</v>
      </c>
      <c r="DJ74" s="197">
        <f t="shared" si="186"/>
        <v>824.65499999999997</v>
      </c>
      <c r="DK74" s="197">
        <f>'Arable NPV'!$G154</f>
        <v>255.07731473684206</v>
      </c>
      <c r="DL74" s="197">
        <f>'Arable NPV'!$H154</f>
        <v>778.68036799999993</v>
      </c>
      <c r="DM74" s="197">
        <f t="shared" si="187"/>
        <v>1033.7576827368421</v>
      </c>
      <c r="DN74" s="197">
        <f t="shared" si="188"/>
        <v>-539.1026827368421</v>
      </c>
      <c r="DO74" s="197">
        <f t="shared" si="189"/>
        <v>-209.1026827368421</v>
      </c>
      <c r="DP74" s="196">
        <f t="shared" si="190"/>
        <v>494.65500000000003</v>
      </c>
      <c r="DQ74" s="197">
        <f t="shared" si="191"/>
        <v>330</v>
      </c>
      <c r="DR74" s="197">
        <f t="shared" si="192"/>
        <v>1033.7576827368421</v>
      </c>
      <c r="DS74" s="197">
        <f t="shared" si="193"/>
        <v>-539.1026827368421</v>
      </c>
      <c r="DT74" s="199">
        <f t="shared" si="194"/>
        <v>-209.1026827368421</v>
      </c>
      <c r="DU74" s="196">
        <f t="shared" si="195"/>
        <v>10752.249428571429</v>
      </c>
      <c r="DV74" s="197">
        <f t="shared" si="195"/>
        <v>3960</v>
      </c>
      <c r="DW74" s="197">
        <f t="shared" si="195"/>
        <v>14074.963850702843</v>
      </c>
      <c r="DX74" s="197">
        <f t="shared" si="195"/>
        <v>-3322.7144221314147</v>
      </c>
      <c r="DY74" s="199">
        <f t="shared" si="195"/>
        <v>637.28557786858482</v>
      </c>
    </row>
    <row r="75" spans="2:129" x14ac:dyDescent="0.3">
      <c r="B75" s="204">
        <f t="shared" si="196"/>
        <v>13</v>
      </c>
      <c r="C75" s="219" t="s">
        <v>28</v>
      </c>
      <c r="D75" s="760">
        <f>'Arable Inputs'!$H$18</f>
        <v>9.4</v>
      </c>
      <c r="E75" s="760">
        <f>'Arable Inputs'!$H$25</f>
        <v>94.285714285714292</v>
      </c>
      <c r="H75" s="762">
        <f>D75*E75</f>
        <v>886.28571428571433</v>
      </c>
      <c r="I75" s="197">
        <f>'Arable NPV'!$E155</f>
        <v>330</v>
      </c>
      <c r="J75" s="197">
        <f t="shared" si="145"/>
        <v>1216.2857142857142</v>
      </c>
      <c r="K75" s="197">
        <f>'Arable NPV'!$G155</f>
        <v>566.71194999999989</v>
      </c>
      <c r="L75" s="197">
        <f>'Arable NPV'!$H155</f>
        <v>691.46913599999993</v>
      </c>
      <c r="M75" s="197">
        <f t="shared" si="146"/>
        <v>1258.1810859999998</v>
      </c>
      <c r="N75" s="197">
        <f t="shared" si="147"/>
        <v>-371.89537171428549</v>
      </c>
      <c r="O75" s="197">
        <f t="shared" si="148"/>
        <v>-41.895371714285602</v>
      </c>
      <c r="P75" s="196">
        <f t="shared" si="149"/>
        <v>621.622968102458</v>
      </c>
      <c r="Q75" s="197">
        <f t="shared" si="150"/>
        <v>231.45536046368116</v>
      </c>
      <c r="R75" s="197">
        <f t="shared" si="151"/>
        <v>882.46289935974482</v>
      </c>
      <c r="S75" s="197">
        <f t="shared" si="152"/>
        <v>-260.83993125728682</v>
      </c>
      <c r="T75" s="199">
        <f t="shared" si="153"/>
        <v>-29.384570793605715</v>
      </c>
      <c r="U75" s="196">
        <f t="shared" si="154"/>
        <v>9842.006659636867</v>
      </c>
      <c r="V75" s="197">
        <f t="shared" si="154"/>
        <v>3614.8213178772971</v>
      </c>
      <c r="W75" s="197">
        <f t="shared" si="154"/>
        <v>12951.597243301756</v>
      </c>
      <c r="X75" s="197">
        <f t="shared" si="154"/>
        <v>-3109.590583664889</v>
      </c>
      <c r="Y75" s="199">
        <f t="shared" si="154"/>
        <v>505.23073421240781</v>
      </c>
      <c r="AB75" s="204">
        <f t="shared" si="197"/>
        <v>13</v>
      </c>
      <c r="AC75" s="219" t="s">
        <v>28</v>
      </c>
      <c r="AD75" s="760">
        <f>'Arable Inputs'!$H$18</f>
        <v>9.4</v>
      </c>
      <c r="AE75" s="760">
        <f>'Arable Inputs'!$H$25</f>
        <v>94.285714285714292</v>
      </c>
      <c r="AH75" s="762">
        <f>AD75*AE75</f>
        <v>886.28571428571433</v>
      </c>
      <c r="AI75" s="197">
        <f>'Arable NPV'!$E155</f>
        <v>330</v>
      </c>
      <c r="AJ75" s="197">
        <f t="shared" si="155"/>
        <v>1216.2857142857142</v>
      </c>
      <c r="AK75" s="197">
        <f>'Arable NPV'!$G155</f>
        <v>566.71194999999989</v>
      </c>
      <c r="AL75" s="197">
        <f>'Arable NPV'!$H155</f>
        <v>691.46913599999993</v>
      </c>
      <c r="AM75" s="197">
        <f t="shared" si="156"/>
        <v>1258.1810859999998</v>
      </c>
      <c r="AN75" s="197">
        <f t="shared" si="157"/>
        <v>-371.89537171428549</v>
      </c>
      <c r="AO75" s="197">
        <f t="shared" si="158"/>
        <v>-41.895371714285602</v>
      </c>
      <c r="AP75" s="196">
        <f t="shared" si="159"/>
        <v>522.61065966103467</v>
      </c>
      <c r="AQ75" s="197">
        <f t="shared" si="160"/>
        <v>194.58907540570439</v>
      </c>
      <c r="AR75" s="197">
        <f t="shared" si="161"/>
        <v>741.9039218717727</v>
      </c>
      <c r="AS75" s="197">
        <f t="shared" si="162"/>
        <v>-219.29326221073805</v>
      </c>
      <c r="AT75" s="199">
        <f t="shared" si="163"/>
        <v>-24.704186805033743</v>
      </c>
      <c r="AU75" s="196">
        <f t="shared" si="164"/>
        <v>9108.8468087248548</v>
      </c>
      <c r="AV75" s="197">
        <f t="shared" si="164"/>
        <v>3339.1316576510212</v>
      </c>
      <c r="AW75" s="197">
        <f t="shared" si="164"/>
        <v>11980.865431248674</v>
      </c>
      <c r="AX75" s="197">
        <f t="shared" si="164"/>
        <v>-2872.0186225238176</v>
      </c>
      <c r="AY75" s="199">
        <f t="shared" si="164"/>
        <v>467.11303512720417</v>
      </c>
      <c r="BB75" s="204">
        <f t="shared" si="198"/>
        <v>13</v>
      </c>
      <c r="BC75" s="219" t="s">
        <v>28</v>
      </c>
      <c r="BD75" s="760">
        <f>'Arable Inputs'!$H$18</f>
        <v>9.4</v>
      </c>
      <c r="BE75" s="760">
        <f>'Arable Inputs'!$H$25</f>
        <v>94.285714285714292</v>
      </c>
      <c r="BH75" s="762">
        <f>BD75*BE75</f>
        <v>886.28571428571433</v>
      </c>
      <c r="BI75" s="197">
        <f>'Arable NPV'!$E155</f>
        <v>330</v>
      </c>
      <c r="BJ75" s="197">
        <f t="shared" si="165"/>
        <v>1216.2857142857142</v>
      </c>
      <c r="BK75" s="197">
        <f>'Arable NPV'!$G155</f>
        <v>566.71194999999989</v>
      </c>
      <c r="BL75" s="197">
        <f>'Arable NPV'!$H155</f>
        <v>691.46913599999993</v>
      </c>
      <c r="BM75" s="197">
        <f t="shared" si="166"/>
        <v>1258.1810859999998</v>
      </c>
      <c r="BN75" s="197">
        <f t="shared" si="167"/>
        <v>-371.89537171428549</v>
      </c>
      <c r="BO75" s="197">
        <f t="shared" si="168"/>
        <v>-41.895371714285602</v>
      </c>
      <c r="BP75" s="196">
        <f t="shared" si="169"/>
        <v>741.27822363414862</v>
      </c>
      <c r="BQ75" s="197">
        <f t="shared" si="170"/>
        <v>276.00784922548087</v>
      </c>
      <c r="BR75" s="197">
        <f t="shared" si="171"/>
        <v>1052.32683479709</v>
      </c>
      <c r="BS75" s="197">
        <f t="shared" si="172"/>
        <v>-311.04861116294143</v>
      </c>
      <c r="BT75" s="199">
        <f t="shared" si="173"/>
        <v>-35.040761937460658</v>
      </c>
      <c r="BU75" s="196">
        <f t="shared" si="174"/>
        <v>10679.116077132618</v>
      </c>
      <c r="BV75" s="197">
        <f t="shared" si="174"/>
        <v>3929.4767183013091</v>
      </c>
      <c r="BW75" s="197">
        <f t="shared" si="174"/>
        <v>14060.793461080653</v>
      </c>
      <c r="BX75" s="197">
        <f t="shared" si="174"/>
        <v>-3381.6773839480397</v>
      </c>
      <c r="BY75" s="199">
        <f t="shared" si="174"/>
        <v>547.79933435327007</v>
      </c>
      <c r="CB75" s="204">
        <f t="shared" si="199"/>
        <v>13</v>
      </c>
      <c r="CC75" s="219" t="s">
        <v>28</v>
      </c>
      <c r="CD75" s="760">
        <f>'Arable Inputs'!$H$18</f>
        <v>9.4</v>
      </c>
      <c r="CE75" s="760">
        <f>'Arable Inputs'!$H$25</f>
        <v>94.285714285714292</v>
      </c>
      <c r="CH75" s="762">
        <f>CD75*CE75</f>
        <v>886.28571428571433</v>
      </c>
      <c r="CI75" s="197">
        <f>'Arable NPV'!$E155</f>
        <v>330</v>
      </c>
      <c r="CJ75" s="197">
        <f t="shared" si="175"/>
        <v>1216.2857142857142</v>
      </c>
      <c r="CK75" s="197">
        <f>'Arable NPV'!$G155</f>
        <v>566.71194999999989</v>
      </c>
      <c r="CL75" s="197">
        <f>'Arable NPV'!$H155</f>
        <v>691.46913599999993</v>
      </c>
      <c r="CM75" s="197">
        <f t="shared" si="176"/>
        <v>1258.1810859999998</v>
      </c>
      <c r="CN75" s="197">
        <f t="shared" si="177"/>
        <v>-371.89537171428549</v>
      </c>
      <c r="CO75" s="197">
        <f t="shared" si="178"/>
        <v>-41.895371714285602</v>
      </c>
      <c r="CP75" s="196">
        <f t="shared" si="179"/>
        <v>440.45684737595877</v>
      </c>
      <c r="CQ75" s="197">
        <f t="shared" si="180"/>
        <v>163.99988998041016</v>
      </c>
      <c r="CR75" s="197">
        <f t="shared" si="181"/>
        <v>625.27745357403921</v>
      </c>
      <c r="CS75" s="197">
        <f t="shared" si="182"/>
        <v>-184.8206061980805</v>
      </c>
      <c r="CT75" s="199">
        <f t="shared" si="183"/>
        <v>-20.820716217670384</v>
      </c>
      <c r="CU75" s="196">
        <f t="shared" si="184"/>
        <v>8464.3594681081631</v>
      </c>
      <c r="CV75" s="197">
        <f t="shared" si="184"/>
        <v>3096.6685003264938</v>
      </c>
      <c r="CW75" s="197">
        <f t="shared" si="184"/>
        <v>11128.086162009449</v>
      </c>
      <c r="CX75" s="197">
        <f t="shared" si="184"/>
        <v>-2663.7266939012866</v>
      </c>
      <c r="CY75" s="199">
        <f t="shared" si="184"/>
        <v>432.94180642520774</v>
      </c>
      <c r="DB75" s="204">
        <f t="shared" si="185"/>
        <v>13</v>
      </c>
      <c r="DC75" s="219" t="s">
        <v>28</v>
      </c>
      <c r="DD75" s="760">
        <f>'Arable Inputs'!$H$18</f>
        <v>9.4</v>
      </c>
      <c r="DE75" s="760">
        <f>'Arable Inputs'!$H$25</f>
        <v>94.285714285714292</v>
      </c>
      <c r="DH75" s="762">
        <f>DD75*DE75</f>
        <v>886.28571428571433</v>
      </c>
      <c r="DI75" s="197">
        <f>'Arable NPV'!$E155</f>
        <v>330</v>
      </c>
      <c r="DJ75" s="197">
        <f t="shared" si="186"/>
        <v>1216.2857142857142</v>
      </c>
      <c r="DK75" s="197">
        <f>'Arable NPV'!$G155</f>
        <v>566.71194999999989</v>
      </c>
      <c r="DL75" s="197">
        <f>'Arable NPV'!$H155</f>
        <v>691.46913599999993</v>
      </c>
      <c r="DM75" s="197">
        <f t="shared" si="187"/>
        <v>1258.1810859999998</v>
      </c>
      <c r="DN75" s="197">
        <f t="shared" si="188"/>
        <v>-371.89537171428549</v>
      </c>
      <c r="DO75" s="197">
        <f t="shared" si="189"/>
        <v>-41.895371714285602</v>
      </c>
      <c r="DP75" s="196">
        <f t="shared" si="190"/>
        <v>886.28571428571433</v>
      </c>
      <c r="DQ75" s="197">
        <f t="shared" si="191"/>
        <v>330</v>
      </c>
      <c r="DR75" s="197">
        <f t="shared" si="192"/>
        <v>1258.1810859999998</v>
      </c>
      <c r="DS75" s="197">
        <f t="shared" si="193"/>
        <v>-371.89537171428549</v>
      </c>
      <c r="DT75" s="199">
        <f t="shared" si="194"/>
        <v>-41.895371714285602</v>
      </c>
      <c r="DU75" s="196">
        <f t="shared" si="195"/>
        <v>11638.535142857143</v>
      </c>
      <c r="DV75" s="197">
        <f t="shared" si="195"/>
        <v>4290</v>
      </c>
      <c r="DW75" s="197">
        <f t="shared" si="195"/>
        <v>15333.144936702844</v>
      </c>
      <c r="DX75" s="197">
        <f t="shared" si="195"/>
        <v>-3694.6097938457001</v>
      </c>
      <c r="DY75" s="199">
        <f t="shared" si="195"/>
        <v>595.39020615429922</v>
      </c>
    </row>
    <row r="76" spans="2:129" x14ac:dyDescent="0.3">
      <c r="B76" s="204">
        <f t="shared" si="196"/>
        <v>14</v>
      </c>
      <c r="C76" s="219" t="s">
        <v>5</v>
      </c>
      <c r="D76" s="760">
        <f>'Arable Inputs'!$F$18</f>
        <v>2.6</v>
      </c>
      <c r="E76" s="760">
        <f>'Arable Inputs'!$F$25</f>
        <v>196.99</v>
      </c>
      <c r="F76" s="760">
        <f>'Arable Inputs'!$F$19</f>
        <v>2.6</v>
      </c>
      <c r="G76" s="760">
        <f>'Arable Inputs'!$F$26</f>
        <v>42.374999999999993</v>
      </c>
      <c r="H76" s="762">
        <f>D76*E76+F76*G76</f>
        <v>622.34900000000005</v>
      </c>
      <c r="I76" s="197">
        <f>'Arable NPV'!$E156</f>
        <v>330</v>
      </c>
      <c r="J76" s="197">
        <f t="shared" si="145"/>
        <v>952.34900000000005</v>
      </c>
      <c r="K76" s="197">
        <f>'Arable NPV'!$G156</f>
        <v>327.77441459954235</v>
      </c>
      <c r="L76" s="197">
        <f>'Arable NPV'!$H156</f>
        <v>704.91322685714283</v>
      </c>
      <c r="M76" s="197">
        <f t="shared" si="146"/>
        <v>1032.6876414566852</v>
      </c>
      <c r="N76" s="197">
        <f t="shared" si="147"/>
        <v>-410.3386414566852</v>
      </c>
      <c r="O76" s="197">
        <f t="shared" si="148"/>
        <v>-80.338641456685195</v>
      </c>
      <c r="P76" s="196">
        <f t="shared" si="149"/>
        <v>423.78938549341433</v>
      </c>
      <c r="Q76" s="197">
        <f t="shared" si="150"/>
        <v>224.71394219774871</v>
      </c>
      <c r="R76" s="197">
        <f t="shared" si="151"/>
        <v>703.21003324432422</v>
      </c>
      <c r="S76" s="197">
        <f t="shared" si="152"/>
        <v>-279.42064775090995</v>
      </c>
      <c r="T76" s="199">
        <f t="shared" si="153"/>
        <v>-54.706705553161257</v>
      </c>
      <c r="U76" s="196">
        <f t="shared" si="154"/>
        <v>10265.796045130281</v>
      </c>
      <c r="V76" s="197">
        <f t="shared" si="154"/>
        <v>3839.5352600750457</v>
      </c>
      <c r="W76" s="197">
        <f t="shared" si="154"/>
        <v>13654.80727654608</v>
      </c>
      <c r="X76" s="197">
        <f t="shared" si="154"/>
        <v>-3389.0112314157991</v>
      </c>
      <c r="Y76" s="199">
        <f t="shared" si="154"/>
        <v>450.52402865924654</v>
      </c>
      <c r="AB76" s="204">
        <f t="shared" si="197"/>
        <v>14</v>
      </c>
      <c r="AC76" s="219" t="s">
        <v>5</v>
      </c>
      <c r="AD76" s="760">
        <f>'Arable Inputs'!$F$18</f>
        <v>2.6</v>
      </c>
      <c r="AE76" s="760">
        <f>'Arable Inputs'!$F$25</f>
        <v>196.99</v>
      </c>
      <c r="AF76" s="760">
        <f>'Arable Inputs'!$F$19</f>
        <v>2.6</v>
      </c>
      <c r="AG76" s="760">
        <f>'Arable Inputs'!$F$26</f>
        <v>42.374999999999993</v>
      </c>
      <c r="AH76" s="762">
        <f>AD76*AE76+AF76*AG76</f>
        <v>622.34900000000005</v>
      </c>
      <c r="AI76" s="197">
        <f>'Arable NPV'!$E156</f>
        <v>330</v>
      </c>
      <c r="AJ76" s="197">
        <f t="shared" si="155"/>
        <v>952.34900000000005</v>
      </c>
      <c r="AK76" s="197">
        <f>'Arable NPV'!$G156</f>
        <v>327.77441459954235</v>
      </c>
      <c r="AL76" s="197">
        <f>'Arable NPV'!$H156</f>
        <v>704.91322685714283</v>
      </c>
      <c r="AM76" s="197">
        <f t="shared" si="156"/>
        <v>1032.6876414566852</v>
      </c>
      <c r="AN76" s="197">
        <f t="shared" si="157"/>
        <v>-410.3386414566852</v>
      </c>
      <c r="AO76" s="197">
        <f t="shared" si="158"/>
        <v>-80.338641456685195</v>
      </c>
      <c r="AP76" s="196">
        <f t="shared" si="159"/>
        <v>351.17389151707908</v>
      </c>
      <c r="AQ76" s="197">
        <f t="shared" si="160"/>
        <v>186.20964153655922</v>
      </c>
      <c r="AR76" s="197">
        <f t="shared" si="161"/>
        <v>582.71635010570947</v>
      </c>
      <c r="AS76" s="197">
        <f t="shared" si="162"/>
        <v>-231.54245858863044</v>
      </c>
      <c r="AT76" s="199">
        <f t="shared" si="163"/>
        <v>-45.332817052071228</v>
      </c>
      <c r="AU76" s="196">
        <f t="shared" si="164"/>
        <v>9460.0207002419338</v>
      </c>
      <c r="AV76" s="197">
        <f t="shared" si="164"/>
        <v>3525.3412991875803</v>
      </c>
      <c r="AW76" s="197">
        <f t="shared" si="164"/>
        <v>12563.581781354384</v>
      </c>
      <c r="AX76" s="197">
        <f t="shared" si="164"/>
        <v>-3103.5610811124479</v>
      </c>
      <c r="AY76" s="199">
        <f t="shared" si="164"/>
        <v>421.78021807513295</v>
      </c>
      <c r="BB76" s="204">
        <f t="shared" si="198"/>
        <v>14</v>
      </c>
      <c r="BC76" s="219" t="s">
        <v>5</v>
      </c>
      <c r="BD76" s="760">
        <f>'Arable Inputs'!$F$18</f>
        <v>2.6</v>
      </c>
      <c r="BE76" s="760">
        <f>'Arable Inputs'!$F$25</f>
        <v>196.99</v>
      </c>
      <c r="BF76" s="760">
        <f>'Arable Inputs'!$F$19</f>
        <v>2.6</v>
      </c>
      <c r="BG76" s="760">
        <f>'Arable Inputs'!$F$26</f>
        <v>42.374999999999993</v>
      </c>
      <c r="BH76" s="762">
        <f>BD76*BE76+BF76*BG76</f>
        <v>622.34900000000005</v>
      </c>
      <c r="BI76" s="197">
        <f>'Arable NPV'!$E156</f>
        <v>330</v>
      </c>
      <c r="BJ76" s="197">
        <f t="shared" si="165"/>
        <v>952.34900000000005</v>
      </c>
      <c r="BK76" s="197">
        <f>'Arable NPV'!$G156</f>
        <v>327.77441459954235</v>
      </c>
      <c r="BL76" s="197">
        <f>'Arable NPV'!$H156</f>
        <v>704.91322685714283</v>
      </c>
      <c r="BM76" s="197">
        <f t="shared" si="166"/>
        <v>1032.6876414566852</v>
      </c>
      <c r="BN76" s="197">
        <f t="shared" si="167"/>
        <v>-410.3386414566852</v>
      </c>
      <c r="BO76" s="197">
        <f t="shared" si="168"/>
        <v>-80.338641456685195</v>
      </c>
      <c r="BP76" s="196">
        <f t="shared" si="169"/>
        <v>512.83238978244162</v>
      </c>
      <c r="BQ76" s="197">
        <f t="shared" si="170"/>
        <v>271.92891549308462</v>
      </c>
      <c r="BR76" s="197">
        <f t="shared" si="171"/>
        <v>850.96251631644793</v>
      </c>
      <c r="BS76" s="197">
        <f t="shared" si="172"/>
        <v>-338.13012653400637</v>
      </c>
      <c r="BT76" s="199">
        <f t="shared" si="173"/>
        <v>-66.201211040921734</v>
      </c>
      <c r="BU76" s="196">
        <f t="shared" si="174"/>
        <v>11191.948466915059</v>
      </c>
      <c r="BV76" s="197">
        <f t="shared" si="174"/>
        <v>4201.4056337943939</v>
      </c>
      <c r="BW76" s="197">
        <f t="shared" si="174"/>
        <v>14911.755977397101</v>
      </c>
      <c r="BX76" s="197">
        <f t="shared" si="174"/>
        <v>-3719.8075104820459</v>
      </c>
      <c r="BY76" s="199">
        <f t="shared" si="174"/>
        <v>481.59812331234832</v>
      </c>
      <c r="CB76" s="204">
        <f t="shared" si="199"/>
        <v>14</v>
      </c>
      <c r="CC76" s="219" t="s">
        <v>5</v>
      </c>
      <c r="CD76" s="760">
        <f>'Arable Inputs'!$F$18</f>
        <v>2.6</v>
      </c>
      <c r="CE76" s="760">
        <f>'Arable Inputs'!$F$25</f>
        <v>196.99</v>
      </c>
      <c r="CF76" s="760">
        <f>'Arable Inputs'!$F$19</f>
        <v>2.6</v>
      </c>
      <c r="CG76" s="760">
        <f>'Arable Inputs'!$F$26</f>
        <v>42.374999999999993</v>
      </c>
      <c r="CH76" s="762">
        <f>CD76*CE76+CF76*CG76</f>
        <v>622.34900000000005</v>
      </c>
      <c r="CI76" s="197">
        <f>'Arable NPV'!$E156</f>
        <v>330</v>
      </c>
      <c r="CJ76" s="197">
        <f t="shared" si="175"/>
        <v>952.34900000000005</v>
      </c>
      <c r="CK76" s="197">
        <f>'Arable NPV'!$G156</f>
        <v>327.77441459954235</v>
      </c>
      <c r="CL76" s="197">
        <f>'Arable NPV'!$H156</f>
        <v>704.91322685714283</v>
      </c>
      <c r="CM76" s="197">
        <f t="shared" si="176"/>
        <v>1032.6876414566852</v>
      </c>
      <c r="CN76" s="197">
        <f t="shared" si="177"/>
        <v>-410.3386414566852</v>
      </c>
      <c r="CO76" s="197">
        <f t="shared" si="178"/>
        <v>-80.338641456685195</v>
      </c>
      <c r="CP76" s="196">
        <f t="shared" si="179"/>
        <v>291.78149665356858</v>
      </c>
      <c r="CQ76" s="197">
        <f t="shared" si="180"/>
        <v>154.71687734000957</v>
      </c>
      <c r="CR76" s="197">
        <f t="shared" si="181"/>
        <v>484.16426410241746</v>
      </c>
      <c r="CS76" s="197">
        <f t="shared" si="182"/>
        <v>-192.38276744884888</v>
      </c>
      <c r="CT76" s="199">
        <f t="shared" si="183"/>
        <v>-37.665890108839307</v>
      </c>
      <c r="CU76" s="196">
        <f t="shared" si="184"/>
        <v>8756.1409647617311</v>
      </c>
      <c r="CV76" s="197">
        <f t="shared" si="184"/>
        <v>3251.3853776665032</v>
      </c>
      <c r="CW76" s="197">
        <f t="shared" si="184"/>
        <v>11612.250426111867</v>
      </c>
      <c r="CX76" s="197">
        <f t="shared" si="184"/>
        <v>-2856.1094613501355</v>
      </c>
      <c r="CY76" s="199">
        <f t="shared" si="184"/>
        <v>395.27591631636847</v>
      </c>
      <c r="DB76" s="204">
        <f t="shared" si="185"/>
        <v>14</v>
      </c>
      <c r="DC76" s="219" t="s">
        <v>5</v>
      </c>
      <c r="DD76" s="760">
        <f>'Arable Inputs'!$F$18</f>
        <v>2.6</v>
      </c>
      <c r="DE76" s="760">
        <f>'Arable Inputs'!$F$25</f>
        <v>196.99</v>
      </c>
      <c r="DF76" s="760">
        <f>'Arable Inputs'!$F$19</f>
        <v>2.6</v>
      </c>
      <c r="DG76" s="760">
        <f>'Arable Inputs'!$F$26</f>
        <v>42.374999999999993</v>
      </c>
      <c r="DH76" s="762">
        <f>DD76*DE76+DF76*DG76</f>
        <v>622.34900000000005</v>
      </c>
      <c r="DI76" s="197">
        <f>'Arable NPV'!$E156</f>
        <v>330</v>
      </c>
      <c r="DJ76" s="197">
        <f t="shared" si="186"/>
        <v>952.34900000000005</v>
      </c>
      <c r="DK76" s="197">
        <f>'Arable NPV'!$G156</f>
        <v>327.77441459954235</v>
      </c>
      <c r="DL76" s="197">
        <f>'Arable NPV'!$H156</f>
        <v>704.91322685714283</v>
      </c>
      <c r="DM76" s="197">
        <f t="shared" si="187"/>
        <v>1032.6876414566852</v>
      </c>
      <c r="DN76" s="197">
        <f t="shared" si="188"/>
        <v>-410.3386414566852</v>
      </c>
      <c r="DO76" s="197">
        <f t="shared" si="189"/>
        <v>-80.338641456685195</v>
      </c>
      <c r="DP76" s="196">
        <f t="shared" si="190"/>
        <v>622.34900000000005</v>
      </c>
      <c r="DQ76" s="197">
        <f t="shared" si="191"/>
        <v>330</v>
      </c>
      <c r="DR76" s="197">
        <f t="shared" si="192"/>
        <v>1032.6876414566852</v>
      </c>
      <c r="DS76" s="197">
        <f t="shared" si="193"/>
        <v>-410.3386414566852</v>
      </c>
      <c r="DT76" s="199">
        <f t="shared" si="194"/>
        <v>-80.338641456685195</v>
      </c>
      <c r="DU76" s="196">
        <f t="shared" si="195"/>
        <v>12260.884142857143</v>
      </c>
      <c r="DV76" s="197">
        <f t="shared" si="195"/>
        <v>4620</v>
      </c>
      <c r="DW76" s="197">
        <f t="shared" si="195"/>
        <v>16365.832578159529</v>
      </c>
      <c r="DX76" s="197">
        <f t="shared" si="195"/>
        <v>-4104.9484353023854</v>
      </c>
      <c r="DY76" s="199">
        <f t="shared" si="195"/>
        <v>515.05156469761403</v>
      </c>
    </row>
    <row r="77" spans="2:129" x14ac:dyDescent="0.3">
      <c r="B77" s="204">
        <f t="shared" si="196"/>
        <v>15</v>
      </c>
      <c r="C77" s="219" t="s">
        <v>559</v>
      </c>
      <c r="D77" s="760">
        <f>'Arable Inputs'!$E$18</f>
        <v>3.1</v>
      </c>
      <c r="E77" s="760">
        <f>'Arable Inputs'!$E$25</f>
        <v>310.75</v>
      </c>
      <c r="H77" s="762">
        <f>D77*E77</f>
        <v>963.32500000000005</v>
      </c>
      <c r="I77" s="197">
        <f>'Arable NPV'!$E157</f>
        <v>330</v>
      </c>
      <c r="J77" s="197">
        <f t="shared" si="145"/>
        <v>1293.325</v>
      </c>
      <c r="K77" s="197">
        <f>'Arable NPV'!$G157</f>
        <v>300.32802631578949</v>
      </c>
      <c r="L77" s="197">
        <f>'Arable NPV'!$H157</f>
        <v>547.62448399999994</v>
      </c>
      <c r="M77" s="197">
        <f t="shared" si="146"/>
        <v>847.95251031578937</v>
      </c>
      <c r="N77" s="197">
        <f t="shared" si="147"/>
        <v>115.37248968421068</v>
      </c>
      <c r="O77" s="197">
        <f t="shared" si="148"/>
        <v>445.37248968421068</v>
      </c>
      <c r="P77" s="196">
        <f t="shared" si="149"/>
        <v>636.87131029022146</v>
      </c>
      <c r="Q77" s="197">
        <f t="shared" si="150"/>
        <v>218.16887592014436</v>
      </c>
      <c r="R77" s="197">
        <f t="shared" si="151"/>
        <v>560.59650305836476</v>
      </c>
      <c r="S77" s="197">
        <f t="shared" si="152"/>
        <v>76.274807231856641</v>
      </c>
      <c r="T77" s="199">
        <f t="shared" si="153"/>
        <v>294.44368315200097</v>
      </c>
      <c r="U77" s="196">
        <f t="shared" si="154"/>
        <v>10902.667355420503</v>
      </c>
      <c r="V77" s="197">
        <f t="shared" si="154"/>
        <v>4057.70413599519</v>
      </c>
      <c r="W77" s="197">
        <f t="shared" si="154"/>
        <v>14215.403779604445</v>
      </c>
      <c r="X77" s="197">
        <f t="shared" si="154"/>
        <v>-3312.7364241839423</v>
      </c>
      <c r="Y77" s="199">
        <f t="shared" si="154"/>
        <v>744.96771181124745</v>
      </c>
      <c r="AB77" s="204">
        <f t="shared" si="197"/>
        <v>15</v>
      </c>
      <c r="AC77" s="219" t="s">
        <v>559</v>
      </c>
      <c r="AD77" s="760">
        <f>'Arable Inputs'!$E$18</f>
        <v>3.1</v>
      </c>
      <c r="AE77" s="760">
        <f>'Arable Inputs'!$E$25</f>
        <v>310.75</v>
      </c>
      <c r="AH77" s="762">
        <f>AD77*AE77</f>
        <v>963.32500000000005</v>
      </c>
      <c r="AI77" s="197">
        <f>'Arable NPV'!$E157</f>
        <v>330</v>
      </c>
      <c r="AJ77" s="197">
        <f t="shared" si="155"/>
        <v>1293.325</v>
      </c>
      <c r="AK77" s="197">
        <f>'Arable NPV'!$G157</f>
        <v>300.32802631578949</v>
      </c>
      <c r="AL77" s="197">
        <f>'Arable NPV'!$H157</f>
        <v>547.62448399999994</v>
      </c>
      <c r="AM77" s="197">
        <f t="shared" si="156"/>
        <v>847.95251031578937</v>
      </c>
      <c r="AN77" s="197">
        <f t="shared" si="157"/>
        <v>115.37248968421068</v>
      </c>
      <c r="AO77" s="197">
        <f t="shared" si="158"/>
        <v>445.37248968421068</v>
      </c>
      <c r="AP77" s="196">
        <f t="shared" si="159"/>
        <v>520.16935749805987</v>
      </c>
      <c r="AQ77" s="197">
        <f t="shared" si="160"/>
        <v>178.1910445325926</v>
      </c>
      <c r="AR77" s="197">
        <f t="shared" si="161"/>
        <v>457.87134402183182</v>
      </c>
      <c r="AS77" s="197">
        <f t="shared" si="162"/>
        <v>62.298013476228071</v>
      </c>
      <c r="AT77" s="199">
        <f t="shared" si="163"/>
        <v>240.48905800882065</v>
      </c>
      <c r="AU77" s="196">
        <f t="shared" si="164"/>
        <v>9980.1900577399938</v>
      </c>
      <c r="AV77" s="197">
        <f t="shared" si="164"/>
        <v>3703.5323437201728</v>
      </c>
      <c r="AW77" s="197">
        <f t="shared" si="164"/>
        <v>13021.453125376216</v>
      </c>
      <c r="AX77" s="197">
        <f t="shared" si="164"/>
        <v>-3041.2630676362201</v>
      </c>
      <c r="AY77" s="199">
        <f t="shared" si="164"/>
        <v>662.26927608395363</v>
      </c>
      <c r="BB77" s="204">
        <f t="shared" si="198"/>
        <v>15</v>
      </c>
      <c r="BC77" s="219" t="s">
        <v>559</v>
      </c>
      <c r="BD77" s="760">
        <f>'Arable Inputs'!$E$18</f>
        <v>3.1</v>
      </c>
      <c r="BE77" s="760">
        <f>'Arable Inputs'!$E$25</f>
        <v>310.75</v>
      </c>
      <c r="BH77" s="762">
        <f>BD77*BE77</f>
        <v>963.32500000000005</v>
      </c>
      <c r="BI77" s="197">
        <f>'Arable NPV'!$E157</f>
        <v>330</v>
      </c>
      <c r="BJ77" s="197">
        <f t="shared" si="165"/>
        <v>1293.325</v>
      </c>
      <c r="BK77" s="197">
        <f>'Arable NPV'!$G157</f>
        <v>300.32802631578949</v>
      </c>
      <c r="BL77" s="197">
        <f>'Arable NPV'!$H157</f>
        <v>547.62448399999994</v>
      </c>
      <c r="BM77" s="197">
        <f t="shared" si="166"/>
        <v>847.95251031578937</v>
      </c>
      <c r="BN77" s="197">
        <f t="shared" si="167"/>
        <v>115.37248968421068</v>
      </c>
      <c r="BO77" s="197">
        <f t="shared" si="168"/>
        <v>445.37248968421068</v>
      </c>
      <c r="BP77" s="196">
        <f t="shared" si="169"/>
        <v>782.07470523175346</v>
      </c>
      <c r="BQ77" s="197">
        <f t="shared" si="170"/>
        <v>267.91026156954155</v>
      </c>
      <c r="BR77" s="197">
        <f t="shared" si="171"/>
        <v>688.40963284015913</v>
      </c>
      <c r="BS77" s="197">
        <f t="shared" si="172"/>
        <v>93.665072391594293</v>
      </c>
      <c r="BT77" s="199">
        <f t="shared" si="173"/>
        <v>361.57533396113587</v>
      </c>
      <c r="BU77" s="196">
        <f t="shared" si="174"/>
        <v>11974.023172146812</v>
      </c>
      <c r="BV77" s="197">
        <f t="shared" si="174"/>
        <v>4469.3158953639359</v>
      </c>
      <c r="BW77" s="197">
        <f t="shared" si="174"/>
        <v>15600.16561023726</v>
      </c>
      <c r="BX77" s="197">
        <f t="shared" si="174"/>
        <v>-3626.1424380904518</v>
      </c>
      <c r="BY77" s="199">
        <f t="shared" si="174"/>
        <v>843.17345727348425</v>
      </c>
      <c r="CB77" s="204">
        <f t="shared" si="199"/>
        <v>15</v>
      </c>
      <c r="CC77" s="219" t="s">
        <v>559</v>
      </c>
      <c r="CD77" s="760">
        <f>'Arable Inputs'!$E$18</f>
        <v>3.1</v>
      </c>
      <c r="CE77" s="760">
        <f>'Arable Inputs'!$E$25</f>
        <v>310.75</v>
      </c>
      <c r="CH77" s="762">
        <f>CD77*CE77</f>
        <v>963.32500000000005</v>
      </c>
      <c r="CI77" s="197">
        <f>'Arable NPV'!$E157</f>
        <v>330</v>
      </c>
      <c r="CJ77" s="197">
        <f t="shared" si="175"/>
        <v>1293.325</v>
      </c>
      <c r="CK77" s="197">
        <f>'Arable NPV'!$G157</f>
        <v>300.32802631578949</v>
      </c>
      <c r="CL77" s="197">
        <f>'Arable NPV'!$H157</f>
        <v>547.62448399999994</v>
      </c>
      <c r="CM77" s="197">
        <f t="shared" si="176"/>
        <v>847.95251031578937</v>
      </c>
      <c r="CN77" s="197">
        <f t="shared" si="177"/>
        <v>115.37248968421068</v>
      </c>
      <c r="CO77" s="197">
        <f t="shared" si="178"/>
        <v>445.37248968421068</v>
      </c>
      <c r="CP77" s="196">
        <f t="shared" si="179"/>
        <v>426.0795765110484</v>
      </c>
      <c r="CQ77" s="197">
        <f t="shared" si="180"/>
        <v>145.95931824529205</v>
      </c>
      <c r="CR77" s="197">
        <f t="shared" si="181"/>
        <v>375.05021306083819</v>
      </c>
      <c r="CS77" s="197">
        <f t="shared" si="182"/>
        <v>51.029363450210248</v>
      </c>
      <c r="CT77" s="199">
        <f t="shared" si="183"/>
        <v>196.98868169550229</v>
      </c>
      <c r="CU77" s="196">
        <f t="shared" si="184"/>
        <v>9182.2205412727799</v>
      </c>
      <c r="CV77" s="197">
        <f t="shared" si="184"/>
        <v>3397.3446959117955</v>
      </c>
      <c r="CW77" s="197">
        <f t="shared" si="184"/>
        <v>11987.300639172705</v>
      </c>
      <c r="CX77" s="197">
        <f t="shared" si="184"/>
        <v>-2805.080097899925</v>
      </c>
      <c r="CY77" s="199">
        <f t="shared" si="184"/>
        <v>592.2645980118707</v>
      </c>
      <c r="DB77" s="204">
        <f t="shared" si="185"/>
        <v>15</v>
      </c>
      <c r="DC77" s="219" t="s">
        <v>559</v>
      </c>
      <c r="DD77" s="760">
        <f>'Arable Inputs'!$E$18</f>
        <v>3.1</v>
      </c>
      <c r="DE77" s="760">
        <f>'Arable Inputs'!$E$25</f>
        <v>310.75</v>
      </c>
      <c r="DH77" s="762">
        <f>DD77*DE77</f>
        <v>963.32500000000005</v>
      </c>
      <c r="DI77" s="197">
        <f>'Arable NPV'!$E157</f>
        <v>330</v>
      </c>
      <c r="DJ77" s="197">
        <f t="shared" si="186"/>
        <v>1293.325</v>
      </c>
      <c r="DK77" s="197">
        <f>'Arable NPV'!$G157</f>
        <v>300.32802631578949</v>
      </c>
      <c r="DL77" s="197">
        <f>'Arable NPV'!$H157</f>
        <v>547.62448399999994</v>
      </c>
      <c r="DM77" s="197">
        <f t="shared" si="187"/>
        <v>847.95251031578937</v>
      </c>
      <c r="DN77" s="197">
        <f t="shared" si="188"/>
        <v>115.37248968421068</v>
      </c>
      <c r="DO77" s="197">
        <f t="shared" si="189"/>
        <v>445.37248968421068</v>
      </c>
      <c r="DP77" s="196">
        <f t="shared" si="190"/>
        <v>963.32500000000005</v>
      </c>
      <c r="DQ77" s="197">
        <f t="shared" si="191"/>
        <v>330</v>
      </c>
      <c r="DR77" s="197">
        <f t="shared" si="192"/>
        <v>847.95251031578937</v>
      </c>
      <c r="DS77" s="197">
        <f t="shared" si="193"/>
        <v>115.37248968421068</v>
      </c>
      <c r="DT77" s="199">
        <f t="shared" si="194"/>
        <v>445.37248968421068</v>
      </c>
      <c r="DU77" s="196">
        <f t="shared" si="195"/>
        <v>13224.209142857144</v>
      </c>
      <c r="DV77" s="197">
        <f t="shared" si="195"/>
        <v>4950</v>
      </c>
      <c r="DW77" s="197">
        <f t="shared" si="195"/>
        <v>17213.785088475317</v>
      </c>
      <c r="DX77" s="197">
        <f t="shared" si="195"/>
        <v>-3989.575945618175</v>
      </c>
      <c r="DY77" s="199">
        <f t="shared" si="195"/>
        <v>960.4240543818247</v>
      </c>
    </row>
    <row r="78" spans="2:129" x14ac:dyDescent="0.3">
      <c r="B78" s="206">
        <f t="shared" si="196"/>
        <v>16</v>
      </c>
      <c r="C78" s="220" t="s">
        <v>4</v>
      </c>
      <c r="D78" s="761">
        <f>'Arable Inputs'!$D$18</f>
        <v>5.5</v>
      </c>
      <c r="E78" s="761">
        <f>'Arable Inputs'!$D$25</f>
        <v>210</v>
      </c>
      <c r="F78" s="761">
        <f>'Arable Inputs'!$D$19</f>
        <v>3.9</v>
      </c>
      <c r="G78" s="761">
        <f>'Arable Inputs'!$D$26</f>
        <v>73.449999999999989</v>
      </c>
      <c r="H78" s="207">
        <f>D78*E78+F78*G78</f>
        <v>1441.4549999999999</v>
      </c>
      <c r="I78" s="207">
        <f>'Arable NPV'!$E158</f>
        <v>330</v>
      </c>
      <c r="J78" s="207">
        <f t="shared" si="145"/>
        <v>1771.4549999999999</v>
      </c>
      <c r="K78" s="207">
        <f>'Arable NPV'!$G158</f>
        <v>622.34710631578946</v>
      </c>
      <c r="L78" s="207">
        <f>'Arable NPV'!$H158</f>
        <v>943.00233600000001</v>
      </c>
      <c r="M78" s="207">
        <f t="shared" si="146"/>
        <v>1565.3494423157895</v>
      </c>
      <c r="N78" s="207">
        <f t="shared" si="147"/>
        <v>-123.89444231578955</v>
      </c>
      <c r="O78" s="207">
        <f t="shared" si="148"/>
        <v>206.10555768421045</v>
      </c>
      <c r="P78" s="208">
        <f t="shared" si="149"/>
        <v>925.21511338473567</v>
      </c>
      <c r="Q78" s="207">
        <f t="shared" si="150"/>
        <v>211.81444264091684</v>
      </c>
      <c r="R78" s="207">
        <f t="shared" si="151"/>
        <v>1004.7382414011786</v>
      </c>
      <c r="S78" s="207">
        <f t="shared" si="152"/>
        <v>-79.523128016442982</v>
      </c>
      <c r="T78" s="209">
        <f>O78/(1+$B$4)^(B78-1)</f>
        <v>132.29131462447384</v>
      </c>
      <c r="U78" s="208">
        <f t="shared" si="154"/>
        <v>11827.882468805239</v>
      </c>
      <c r="V78" s="207">
        <f t="shared" si="154"/>
        <v>4269.5185786361071</v>
      </c>
      <c r="W78" s="207">
        <f t="shared" si="154"/>
        <v>15220.142021005624</v>
      </c>
      <c r="X78" s="207">
        <f t="shared" si="154"/>
        <v>-3392.2595522003853</v>
      </c>
      <c r="Y78" s="209">
        <f t="shared" si="154"/>
        <v>877.25902643572135</v>
      </c>
      <c r="AB78" s="206">
        <f t="shared" si="197"/>
        <v>16</v>
      </c>
      <c r="AC78" s="220" t="s">
        <v>4</v>
      </c>
      <c r="AD78" s="761">
        <f>'Arable Inputs'!$D$18</f>
        <v>5.5</v>
      </c>
      <c r="AE78" s="761">
        <f>'Arable Inputs'!$D$25</f>
        <v>210</v>
      </c>
      <c r="AF78" s="761">
        <f>'Arable Inputs'!$D$19</f>
        <v>3.9</v>
      </c>
      <c r="AG78" s="761">
        <f>'Arable Inputs'!$D$26</f>
        <v>73.449999999999989</v>
      </c>
      <c r="AH78" s="207">
        <f>AD78*AE78+AF78*AG78</f>
        <v>1441.4549999999999</v>
      </c>
      <c r="AI78" s="207">
        <f>'Arable NPV'!$E158</f>
        <v>330</v>
      </c>
      <c r="AJ78" s="207">
        <f t="shared" si="155"/>
        <v>1771.4549999999999</v>
      </c>
      <c r="AK78" s="207">
        <f>'Arable NPV'!$G158</f>
        <v>622.34710631578946</v>
      </c>
      <c r="AL78" s="207">
        <f>'Arable NPV'!$H158</f>
        <v>943.00233600000001</v>
      </c>
      <c r="AM78" s="207">
        <f t="shared" si="156"/>
        <v>1565.3494423157895</v>
      </c>
      <c r="AN78" s="207">
        <f t="shared" si="157"/>
        <v>-123.89444231578955</v>
      </c>
      <c r="AO78" s="207">
        <f t="shared" si="158"/>
        <v>206.10555768421045</v>
      </c>
      <c r="AP78" s="208">
        <f t="shared" si="159"/>
        <v>744.82926517827525</v>
      </c>
      <c r="AQ78" s="207">
        <f t="shared" si="160"/>
        <v>170.51774596420341</v>
      </c>
      <c r="AR78" s="207">
        <f t="shared" si="161"/>
        <v>808.84805621215537</v>
      </c>
      <c r="AS78" s="207">
        <f t="shared" si="162"/>
        <v>-64.018791033880163</v>
      </c>
      <c r="AT78" s="209">
        <f t="shared" si="163"/>
        <v>106.49895493032325</v>
      </c>
      <c r="AU78" s="208">
        <f t="shared" si="164"/>
        <v>10725.01932291827</v>
      </c>
      <c r="AV78" s="207">
        <f t="shared" si="164"/>
        <v>3874.050089684376</v>
      </c>
      <c r="AW78" s="207">
        <f t="shared" si="164"/>
        <v>13830.301181588371</v>
      </c>
      <c r="AX78" s="207">
        <f t="shared" si="164"/>
        <v>-3105.2818586701001</v>
      </c>
      <c r="AY78" s="209">
        <f t="shared" si="164"/>
        <v>768.76823101427692</v>
      </c>
      <c r="BB78" s="206">
        <f t="shared" si="198"/>
        <v>16</v>
      </c>
      <c r="BC78" s="220" t="s">
        <v>4</v>
      </c>
      <c r="BD78" s="761">
        <f>'Arable Inputs'!$D$18</f>
        <v>5.5</v>
      </c>
      <c r="BE78" s="761">
        <f>'Arable Inputs'!$D$25</f>
        <v>210</v>
      </c>
      <c r="BF78" s="761">
        <f>'Arable Inputs'!$D$19</f>
        <v>3.9</v>
      </c>
      <c r="BG78" s="761">
        <f>'Arable Inputs'!$D$26</f>
        <v>73.449999999999989</v>
      </c>
      <c r="BH78" s="207">
        <f>BD78*BE78+BF78*BG78</f>
        <v>1441.4549999999999</v>
      </c>
      <c r="BI78" s="207">
        <f>'Arable NPV'!$E158</f>
        <v>330</v>
      </c>
      <c r="BJ78" s="207">
        <f t="shared" si="165"/>
        <v>1771.4549999999999</v>
      </c>
      <c r="BK78" s="207">
        <f>'Arable NPV'!$G158</f>
        <v>622.34710631578946</v>
      </c>
      <c r="BL78" s="207">
        <f>'Arable NPV'!$H158</f>
        <v>943.00233600000001</v>
      </c>
      <c r="BM78" s="207">
        <f t="shared" si="166"/>
        <v>1565.3494423157895</v>
      </c>
      <c r="BN78" s="207">
        <f t="shared" si="167"/>
        <v>-123.89444231578955</v>
      </c>
      <c r="BO78" s="207">
        <f t="shared" si="168"/>
        <v>206.10555768421045</v>
      </c>
      <c r="BP78" s="208">
        <f t="shared" si="169"/>
        <v>1152.9499510097733</v>
      </c>
      <c r="BQ78" s="207">
        <f t="shared" si="170"/>
        <v>263.95099662023802</v>
      </c>
      <c r="BR78" s="207">
        <f t="shared" si="171"/>
        <v>1252.0471071460195</v>
      </c>
      <c r="BS78" s="207">
        <f t="shared" si="172"/>
        <v>-99.097156136246184</v>
      </c>
      <c r="BT78" s="209">
        <f t="shared" si="173"/>
        <v>164.85384048399183</v>
      </c>
      <c r="BU78" s="208">
        <f t="shared" si="174"/>
        <v>13126.973123156586</v>
      </c>
      <c r="BV78" s="207">
        <f t="shared" si="174"/>
        <v>4733.2668919841735</v>
      </c>
      <c r="BW78" s="207">
        <f t="shared" si="174"/>
        <v>16852.212717383278</v>
      </c>
      <c r="BX78" s="207">
        <f t="shared" si="174"/>
        <v>-3725.239594226698</v>
      </c>
      <c r="BY78" s="209">
        <f t="shared" si="174"/>
        <v>1008.027297757476</v>
      </c>
      <c r="CB78" s="206">
        <f t="shared" si="199"/>
        <v>16</v>
      </c>
      <c r="CC78" s="220" t="s">
        <v>4</v>
      </c>
      <c r="CD78" s="761">
        <f>'Arable Inputs'!$D$18</f>
        <v>5.5</v>
      </c>
      <c r="CE78" s="761">
        <f>'Arable Inputs'!$D$25</f>
        <v>210</v>
      </c>
      <c r="CF78" s="761">
        <f>'Arable Inputs'!$D$19</f>
        <v>3.9</v>
      </c>
      <c r="CG78" s="761">
        <f>'Arable Inputs'!$D$26</f>
        <v>73.449999999999989</v>
      </c>
      <c r="CH78" s="207">
        <f>CD78*CE78+CF78*CG78</f>
        <v>1441.4549999999999</v>
      </c>
      <c r="CI78" s="207">
        <f>'Arable NPV'!$E158</f>
        <v>330</v>
      </c>
      <c r="CJ78" s="207">
        <f t="shared" si="175"/>
        <v>1771.4549999999999</v>
      </c>
      <c r="CK78" s="207">
        <f>'Arable NPV'!$G158</f>
        <v>622.34710631578946</v>
      </c>
      <c r="CL78" s="207">
        <f>'Arable NPV'!$H158</f>
        <v>943.00233600000001</v>
      </c>
      <c r="CM78" s="207">
        <f t="shared" si="176"/>
        <v>1565.3494423157895</v>
      </c>
      <c r="CN78" s="207">
        <f t="shared" si="177"/>
        <v>-123.89444231578955</v>
      </c>
      <c r="CO78" s="207">
        <f t="shared" si="178"/>
        <v>206.10555768421045</v>
      </c>
      <c r="CP78" s="208">
        <f t="shared" si="179"/>
        <v>601.46880812254824</v>
      </c>
      <c r="CQ78" s="207">
        <f t="shared" si="180"/>
        <v>137.69747004272833</v>
      </c>
      <c r="CR78" s="207">
        <f t="shared" si="181"/>
        <v>653.1656301202421</v>
      </c>
      <c r="CS78" s="207">
        <f t="shared" si="182"/>
        <v>-51.696821997693824</v>
      </c>
      <c r="CT78" s="209">
        <f t="shared" si="183"/>
        <v>86.000648045034495</v>
      </c>
      <c r="CU78" s="208">
        <f t="shared" si="184"/>
        <v>9783.6893493953285</v>
      </c>
      <c r="CV78" s="207">
        <f t="shared" si="184"/>
        <v>3535.0421659545236</v>
      </c>
      <c r="CW78" s="207">
        <f t="shared" si="184"/>
        <v>12640.466269292947</v>
      </c>
      <c r="CX78" s="207">
        <f t="shared" si="184"/>
        <v>-2856.7769198976189</v>
      </c>
      <c r="CY78" s="209">
        <f t="shared" si="184"/>
        <v>678.2652460569052</v>
      </c>
      <c r="DB78" s="206">
        <f t="shared" si="185"/>
        <v>16</v>
      </c>
      <c r="DC78" s="220" t="s">
        <v>4</v>
      </c>
      <c r="DD78" s="761">
        <f>'Arable Inputs'!$D$18</f>
        <v>5.5</v>
      </c>
      <c r="DE78" s="761">
        <f>'Arable Inputs'!$D$25</f>
        <v>210</v>
      </c>
      <c r="DF78" s="761">
        <f>'Arable Inputs'!$D$19</f>
        <v>3.9</v>
      </c>
      <c r="DG78" s="761">
        <f>'Arable Inputs'!$D$26</f>
        <v>73.449999999999989</v>
      </c>
      <c r="DH78" s="207">
        <f>DD78*DE78+DF78*DG78</f>
        <v>1441.4549999999999</v>
      </c>
      <c r="DI78" s="207">
        <f>'Arable NPV'!$E158</f>
        <v>330</v>
      </c>
      <c r="DJ78" s="207">
        <f t="shared" si="186"/>
        <v>1771.4549999999999</v>
      </c>
      <c r="DK78" s="207">
        <f>'Arable NPV'!$G158</f>
        <v>622.34710631578946</v>
      </c>
      <c r="DL78" s="207">
        <f>'Arable NPV'!$H158</f>
        <v>943.00233600000001</v>
      </c>
      <c r="DM78" s="207">
        <f t="shared" si="187"/>
        <v>1565.3494423157895</v>
      </c>
      <c r="DN78" s="207">
        <f t="shared" si="188"/>
        <v>-123.89444231578955</v>
      </c>
      <c r="DO78" s="207">
        <f t="shared" si="189"/>
        <v>206.10555768421045</v>
      </c>
      <c r="DP78" s="208">
        <f t="shared" si="190"/>
        <v>1441.4549999999999</v>
      </c>
      <c r="DQ78" s="207">
        <f t="shared" si="191"/>
        <v>330</v>
      </c>
      <c r="DR78" s="207">
        <f t="shared" si="192"/>
        <v>1565.3494423157895</v>
      </c>
      <c r="DS78" s="207">
        <f t="shared" si="193"/>
        <v>-123.89444231578955</v>
      </c>
      <c r="DT78" s="209">
        <f t="shared" si="194"/>
        <v>206.10555768421045</v>
      </c>
      <c r="DU78" s="208">
        <f t="shared" si="195"/>
        <v>14665.664142857144</v>
      </c>
      <c r="DV78" s="207">
        <f t="shared" si="195"/>
        <v>5280</v>
      </c>
      <c r="DW78" s="207">
        <f t="shared" si="195"/>
        <v>18779.134530791107</v>
      </c>
      <c r="DX78" s="207">
        <f t="shared" si="195"/>
        <v>-4113.470387933965</v>
      </c>
      <c r="DY78" s="209">
        <f t="shared" si="195"/>
        <v>1166.529612066035</v>
      </c>
    </row>
    <row r="84" spans="2:115" x14ac:dyDescent="0.3">
      <c r="B84" s="211" t="s">
        <v>91</v>
      </c>
      <c r="C84" s="763" t="s">
        <v>410</v>
      </c>
      <c r="D84" s="269" t="s">
        <v>395</v>
      </c>
      <c r="E84" s="194"/>
      <c r="F84" s="193"/>
      <c r="G84" s="102"/>
      <c r="H84" s="102"/>
      <c r="I84" s="102"/>
      <c r="J84" s="102"/>
      <c r="K84" s="102"/>
      <c r="L84" s="102"/>
      <c r="M84" s="102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Y84" s="211" t="s">
        <v>91</v>
      </c>
      <c r="Z84" s="211" t="s">
        <v>418</v>
      </c>
      <c r="AA84" s="769"/>
      <c r="AB84" s="194"/>
      <c r="AC84" s="193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V84" s="211" t="s">
        <v>91</v>
      </c>
      <c r="AW84" s="211" t="s">
        <v>417</v>
      </c>
      <c r="AX84" s="231"/>
      <c r="AY84" s="194"/>
      <c r="AZ84" s="193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S84" s="211" t="s">
        <v>91</v>
      </c>
      <c r="BT84" s="211" t="s">
        <v>416</v>
      </c>
      <c r="BU84" s="231"/>
      <c r="BV84" s="194"/>
      <c r="BW84" s="193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  <c r="CM84" s="102"/>
      <c r="CN84" s="102"/>
      <c r="CP84" s="211" t="s">
        <v>91</v>
      </c>
      <c r="CQ84" s="211" t="s">
        <v>415</v>
      </c>
      <c r="CR84" s="231"/>
      <c r="CS84" s="194"/>
      <c r="CT84" s="193"/>
      <c r="CU84" s="102"/>
      <c r="CV84" s="102"/>
      <c r="CW84" s="102"/>
      <c r="CX84" s="102"/>
      <c r="CY84" s="102"/>
      <c r="CZ84" s="102"/>
      <c r="DA84" s="102"/>
      <c r="DB84" s="102"/>
      <c r="DC84" s="102"/>
      <c r="DD84" s="102"/>
      <c r="DE84" s="102"/>
      <c r="DF84" s="102"/>
      <c r="DG84" s="102"/>
      <c r="DH84" s="102"/>
      <c r="DI84" s="102"/>
      <c r="DJ84" s="102"/>
      <c r="DK84" s="102"/>
    </row>
    <row r="85" spans="2:115" x14ac:dyDescent="0.3">
      <c r="B85" s="203"/>
      <c r="C85" s="148"/>
      <c r="D85" s="148"/>
      <c r="E85" s="1108"/>
      <c r="F85" s="1108"/>
      <c r="G85" s="1108"/>
      <c r="H85" s="148"/>
      <c r="I85" s="931"/>
      <c r="J85" s="1108"/>
      <c r="K85" s="1108"/>
      <c r="L85" s="148"/>
      <c r="M85" s="148"/>
      <c r="N85" s="1109" t="s">
        <v>270</v>
      </c>
      <c r="O85" s="1110"/>
      <c r="P85" s="1110"/>
      <c r="Q85" s="1110"/>
      <c r="R85" s="1111"/>
      <c r="S85" s="1109" t="s">
        <v>271</v>
      </c>
      <c r="T85" s="1110"/>
      <c r="U85" s="1110"/>
      <c r="V85" s="1110"/>
      <c r="W85" s="1111"/>
      <c r="Y85" s="203"/>
      <c r="Z85" s="148"/>
      <c r="AA85" s="148"/>
      <c r="AB85" s="1108"/>
      <c r="AC85" s="1108"/>
      <c r="AD85" s="1108"/>
      <c r="AE85" s="148"/>
      <c r="AF85" s="931"/>
      <c r="AG85" s="1108"/>
      <c r="AH85" s="1108"/>
      <c r="AI85" s="148"/>
      <c r="AJ85" s="148"/>
      <c r="AK85" s="1109" t="s">
        <v>270</v>
      </c>
      <c r="AL85" s="1110"/>
      <c r="AM85" s="1110"/>
      <c r="AN85" s="1110"/>
      <c r="AO85" s="1111"/>
      <c r="AP85" s="1109" t="s">
        <v>271</v>
      </c>
      <c r="AQ85" s="1110"/>
      <c r="AR85" s="1110"/>
      <c r="AS85" s="1110"/>
      <c r="AT85" s="1111"/>
      <c r="AV85" s="203"/>
      <c r="AW85" s="148"/>
      <c r="AX85" s="148"/>
      <c r="AY85" s="1108"/>
      <c r="AZ85" s="1108"/>
      <c r="BA85" s="1108"/>
      <c r="BB85" s="148"/>
      <c r="BC85" s="931"/>
      <c r="BD85" s="1108"/>
      <c r="BE85" s="1108"/>
      <c r="BF85" s="148"/>
      <c r="BG85" s="148"/>
      <c r="BH85" s="1109" t="s">
        <v>270</v>
      </c>
      <c r="BI85" s="1110"/>
      <c r="BJ85" s="1110"/>
      <c r="BK85" s="1110"/>
      <c r="BL85" s="1111"/>
      <c r="BM85" s="1109" t="s">
        <v>271</v>
      </c>
      <c r="BN85" s="1110"/>
      <c r="BO85" s="1110"/>
      <c r="BP85" s="1110"/>
      <c r="BQ85" s="1111"/>
      <c r="BS85" s="203"/>
      <c r="BT85" s="148"/>
      <c r="BU85" s="148"/>
      <c r="BV85" s="1108"/>
      <c r="BW85" s="1108"/>
      <c r="BX85" s="1108"/>
      <c r="BY85" s="148"/>
      <c r="BZ85" s="931"/>
      <c r="CA85" s="1108"/>
      <c r="CB85" s="1108"/>
      <c r="CC85" s="148"/>
      <c r="CD85" s="148"/>
      <c r="CE85" s="1109" t="s">
        <v>270</v>
      </c>
      <c r="CF85" s="1110"/>
      <c r="CG85" s="1110"/>
      <c r="CH85" s="1110"/>
      <c r="CI85" s="1111"/>
      <c r="CJ85" s="1109" t="s">
        <v>271</v>
      </c>
      <c r="CK85" s="1110"/>
      <c r="CL85" s="1110"/>
      <c r="CM85" s="1110"/>
      <c r="CN85" s="1111"/>
      <c r="CP85" s="203"/>
      <c r="CQ85" s="148"/>
      <c r="CR85" s="148"/>
      <c r="CS85" s="1108"/>
      <c r="CT85" s="1108"/>
      <c r="CU85" s="1108"/>
      <c r="CV85" s="148"/>
      <c r="CW85" s="931"/>
      <c r="CX85" s="1108"/>
      <c r="CY85" s="1108"/>
      <c r="CZ85" s="148"/>
      <c r="DA85" s="148"/>
      <c r="DB85" s="1109" t="s">
        <v>270</v>
      </c>
      <c r="DC85" s="1110"/>
      <c r="DD85" s="1110"/>
      <c r="DE85" s="1110"/>
      <c r="DF85" s="1111"/>
      <c r="DG85" s="1109" t="s">
        <v>271</v>
      </c>
      <c r="DH85" s="1110"/>
      <c r="DI85" s="1110"/>
      <c r="DJ85" s="1110"/>
      <c r="DK85" s="1111"/>
    </row>
    <row r="86" spans="2:115" ht="51" x14ac:dyDescent="0.3">
      <c r="B86" s="204" t="s">
        <v>272</v>
      </c>
      <c r="C86" s="205" t="s">
        <v>289</v>
      </c>
      <c r="D86" s="205" t="s">
        <v>290</v>
      </c>
      <c r="E86" s="171" t="s">
        <v>676</v>
      </c>
      <c r="F86" s="171" t="s">
        <v>672</v>
      </c>
      <c r="G86" s="171" t="s">
        <v>677</v>
      </c>
      <c r="H86" s="205" t="s">
        <v>287</v>
      </c>
      <c r="I86" s="935" t="s">
        <v>288</v>
      </c>
      <c r="J86" s="205" t="s">
        <v>291</v>
      </c>
      <c r="K86" s="171" t="s">
        <v>276</v>
      </c>
      <c r="L86" s="171" t="s">
        <v>678</v>
      </c>
      <c r="M86" s="171" t="s">
        <v>679</v>
      </c>
      <c r="N86" s="195" t="s">
        <v>277</v>
      </c>
      <c r="O86" s="171" t="s">
        <v>680</v>
      </c>
      <c r="P86" s="171" t="s">
        <v>278</v>
      </c>
      <c r="Q86" s="171" t="s">
        <v>681</v>
      </c>
      <c r="R86" s="198" t="s">
        <v>279</v>
      </c>
      <c r="S86" s="195" t="s">
        <v>280</v>
      </c>
      <c r="T86" s="171" t="s">
        <v>682</v>
      </c>
      <c r="U86" s="171" t="s">
        <v>281</v>
      </c>
      <c r="V86" s="171" t="s">
        <v>683</v>
      </c>
      <c r="W86" s="198" t="s">
        <v>282</v>
      </c>
      <c r="Y86" s="204" t="s">
        <v>272</v>
      </c>
      <c r="Z86" s="205" t="s">
        <v>289</v>
      </c>
      <c r="AA86" s="205" t="s">
        <v>290</v>
      </c>
      <c r="AB86" s="171" t="s">
        <v>676</v>
      </c>
      <c r="AC86" s="171" t="s">
        <v>672</v>
      </c>
      <c r="AD86" s="171" t="s">
        <v>677</v>
      </c>
      <c r="AE86" s="205" t="s">
        <v>287</v>
      </c>
      <c r="AF86" s="935" t="s">
        <v>288</v>
      </c>
      <c r="AG86" s="205" t="s">
        <v>291</v>
      </c>
      <c r="AH86" s="171" t="s">
        <v>276</v>
      </c>
      <c r="AI86" s="171" t="s">
        <v>678</v>
      </c>
      <c r="AJ86" s="171" t="s">
        <v>679</v>
      </c>
      <c r="AK86" s="195" t="s">
        <v>277</v>
      </c>
      <c r="AL86" s="171" t="s">
        <v>680</v>
      </c>
      <c r="AM86" s="171" t="s">
        <v>278</v>
      </c>
      <c r="AN86" s="171" t="s">
        <v>681</v>
      </c>
      <c r="AO86" s="198" t="s">
        <v>279</v>
      </c>
      <c r="AP86" s="195" t="s">
        <v>280</v>
      </c>
      <c r="AQ86" s="171" t="s">
        <v>682</v>
      </c>
      <c r="AR86" s="171" t="s">
        <v>281</v>
      </c>
      <c r="AS86" s="171" t="s">
        <v>683</v>
      </c>
      <c r="AT86" s="198" t="s">
        <v>282</v>
      </c>
      <c r="AV86" s="204" t="s">
        <v>272</v>
      </c>
      <c r="AW86" s="205" t="s">
        <v>289</v>
      </c>
      <c r="AX86" s="205" t="s">
        <v>290</v>
      </c>
      <c r="AY86" s="171" t="s">
        <v>676</v>
      </c>
      <c r="AZ86" s="171" t="s">
        <v>672</v>
      </c>
      <c r="BA86" s="171" t="s">
        <v>677</v>
      </c>
      <c r="BB86" s="205" t="s">
        <v>287</v>
      </c>
      <c r="BC86" s="935" t="s">
        <v>288</v>
      </c>
      <c r="BD86" s="205" t="s">
        <v>291</v>
      </c>
      <c r="BE86" s="171" t="s">
        <v>276</v>
      </c>
      <c r="BF86" s="171" t="s">
        <v>678</v>
      </c>
      <c r="BG86" s="171" t="s">
        <v>679</v>
      </c>
      <c r="BH86" s="195" t="s">
        <v>277</v>
      </c>
      <c r="BI86" s="171" t="s">
        <v>680</v>
      </c>
      <c r="BJ86" s="171" t="s">
        <v>278</v>
      </c>
      <c r="BK86" s="171" t="s">
        <v>681</v>
      </c>
      <c r="BL86" s="198" t="s">
        <v>279</v>
      </c>
      <c r="BM86" s="195" t="s">
        <v>280</v>
      </c>
      <c r="BN86" s="171" t="s">
        <v>682</v>
      </c>
      <c r="BO86" s="171" t="s">
        <v>281</v>
      </c>
      <c r="BP86" s="171" t="s">
        <v>683</v>
      </c>
      <c r="BQ86" s="198" t="s">
        <v>282</v>
      </c>
      <c r="BS86" s="204" t="s">
        <v>272</v>
      </c>
      <c r="BT86" s="205" t="s">
        <v>289</v>
      </c>
      <c r="BU86" s="205" t="s">
        <v>290</v>
      </c>
      <c r="BV86" s="171" t="s">
        <v>676</v>
      </c>
      <c r="BW86" s="171" t="s">
        <v>672</v>
      </c>
      <c r="BX86" s="171" t="s">
        <v>677</v>
      </c>
      <c r="BY86" s="205" t="s">
        <v>287</v>
      </c>
      <c r="BZ86" s="935" t="s">
        <v>288</v>
      </c>
      <c r="CA86" s="205" t="s">
        <v>291</v>
      </c>
      <c r="CB86" s="171" t="s">
        <v>276</v>
      </c>
      <c r="CC86" s="171" t="s">
        <v>678</v>
      </c>
      <c r="CD86" s="171" t="s">
        <v>679</v>
      </c>
      <c r="CE86" s="195" t="s">
        <v>277</v>
      </c>
      <c r="CF86" s="171" t="s">
        <v>680</v>
      </c>
      <c r="CG86" s="171" t="s">
        <v>278</v>
      </c>
      <c r="CH86" s="171" t="s">
        <v>681</v>
      </c>
      <c r="CI86" s="198" t="s">
        <v>279</v>
      </c>
      <c r="CJ86" s="195" t="s">
        <v>280</v>
      </c>
      <c r="CK86" s="171" t="s">
        <v>682</v>
      </c>
      <c r="CL86" s="171" t="s">
        <v>281</v>
      </c>
      <c r="CM86" s="171" t="s">
        <v>683</v>
      </c>
      <c r="CN86" s="198" t="s">
        <v>282</v>
      </c>
      <c r="CP86" s="204" t="s">
        <v>272</v>
      </c>
      <c r="CQ86" s="205" t="s">
        <v>289</v>
      </c>
      <c r="CR86" s="205" t="s">
        <v>290</v>
      </c>
      <c r="CS86" s="171" t="s">
        <v>676</v>
      </c>
      <c r="CT86" s="171" t="s">
        <v>672</v>
      </c>
      <c r="CU86" s="171" t="s">
        <v>677</v>
      </c>
      <c r="CV86" s="205" t="s">
        <v>287</v>
      </c>
      <c r="CW86" s="935" t="s">
        <v>288</v>
      </c>
      <c r="CX86" s="205" t="s">
        <v>291</v>
      </c>
      <c r="CY86" s="171" t="s">
        <v>276</v>
      </c>
      <c r="CZ86" s="171" t="s">
        <v>678</v>
      </c>
      <c r="DA86" s="171" t="s">
        <v>679</v>
      </c>
      <c r="DB86" s="195" t="s">
        <v>277</v>
      </c>
      <c r="DC86" s="171" t="s">
        <v>680</v>
      </c>
      <c r="DD86" s="171" t="s">
        <v>278</v>
      </c>
      <c r="DE86" s="171" t="s">
        <v>681</v>
      </c>
      <c r="DF86" s="198" t="s">
        <v>279</v>
      </c>
      <c r="DG86" s="195" t="s">
        <v>280</v>
      </c>
      <c r="DH86" s="171" t="s">
        <v>682</v>
      </c>
      <c r="DI86" s="171" t="s">
        <v>281</v>
      </c>
      <c r="DJ86" s="171" t="s">
        <v>683</v>
      </c>
      <c r="DK86" s="198" t="s">
        <v>282</v>
      </c>
    </row>
    <row r="87" spans="2:115" x14ac:dyDescent="0.3">
      <c r="B87" s="173"/>
      <c r="C87" s="226" t="s">
        <v>332</v>
      </c>
      <c r="D87" s="226" t="s">
        <v>569</v>
      </c>
      <c r="E87" s="201" t="s">
        <v>567</v>
      </c>
      <c r="F87" s="201" t="s">
        <v>567</v>
      </c>
      <c r="G87" s="201" t="s">
        <v>567</v>
      </c>
      <c r="H87" s="201" t="s">
        <v>567</v>
      </c>
      <c r="I87" s="969" t="s">
        <v>567</v>
      </c>
      <c r="J87" s="201" t="s">
        <v>567</v>
      </c>
      <c r="K87" s="201" t="s">
        <v>567</v>
      </c>
      <c r="L87" s="201" t="s">
        <v>567</v>
      </c>
      <c r="M87" s="202" t="s">
        <v>567</v>
      </c>
      <c r="N87" s="201" t="s">
        <v>567</v>
      </c>
      <c r="O87" s="201" t="s">
        <v>567</v>
      </c>
      <c r="P87" s="201" t="s">
        <v>567</v>
      </c>
      <c r="Q87" s="201" t="s">
        <v>567</v>
      </c>
      <c r="R87" s="202" t="s">
        <v>567</v>
      </c>
      <c r="S87" s="201" t="s">
        <v>567</v>
      </c>
      <c r="T87" s="201" t="s">
        <v>567</v>
      </c>
      <c r="U87" s="201" t="s">
        <v>567</v>
      </c>
      <c r="V87" s="201" t="s">
        <v>567</v>
      </c>
      <c r="W87" s="202" t="s">
        <v>567</v>
      </c>
      <c r="Y87" s="173"/>
      <c r="Z87" s="226" t="s">
        <v>332</v>
      </c>
      <c r="AA87" s="226" t="s">
        <v>569</v>
      </c>
      <c r="AB87" s="201" t="s">
        <v>567</v>
      </c>
      <c r="AC87" s="201" t="s">
        <v>567</v>
      </c>
      <c r="AD87" s="201" t="s">
        <v>567</v>
      </c>
      <c r="AE87" s="201" t="s">
        <v>567</v>
      </c>
      <c r="AF87" s="969" t="s">
        <v>567</v>
      </c>
      <c r="AG87" s="201" t="s">
        <v>567</v>
      </c>
      <c r="AH87" s="201" t="s">
        <v>567</v>
      </c>
      <c r="AI87" s="201" t="s">
        <v>567</v>
      </c>
      <c r="AJ87" s="202" t="s">
        <v>567</v>
      </c>
      <c r="AK87" s="201" t="s">
        <v>567</v>
      </c>
      <c r="AL87" s="201" t="s">
        <v>567</v>
      </c>
      <c r="AM87" s="201" t="s">
        <v>567</v>
      </c>
      <c r="AN87" s="201" t="s">
        <v>567</v>
      </c>
      <c r="AO87" s="202" t="s">
        <v>567</v>
      </c>
      <c r="AP87" s="201" t="s">
        <v>567</v>
      </c>
      <c r="AQ87" s="201" t="s">
        <v>567</v>
      </c>
      <c r="AR87" s="201" t="s">
        <v>567</v>
      </c>
      <c r="AS87" s="201" t="s">
        <v>567</v>
      </c>
      <c r="AT87" s="202" t="s">
        <v>567</v>
      </c>
      <c r="AV87" s="173"/>
      <c r="AW87" s="226" t="s">
        <v>332</v>
      </c>
      <c r="AX87" s="226" t="s">
        <v>569</v>
      </c>
      <c r="AY87" s="201" t="s">
        <v>567</v>
      </c>
      <c r="AZ87" s="201" t="s">
        <v>567</v>
      </c>
      <c r="BA87" s="201" t="s">
        <v>567</v>
      </c>
      <c r="BB87" s="201" t="s">
        <v>567</v>
      </c>
      <c r="BC87" s="969" t="s">
        <v>567</v>
      </c>
      <c r="BD87" s="201" t="s">
        <v>567</v>
      </c>
      <c r="BE87" s="201" t="s">
        <v>567</v>
      </c>
      <c r="BF87" s="201" t="s">
        <v>567</v>
      </c>
      <c r="BG87" s="202" t="s">
        <v>567</v>
      </c>
      <c r="BH87" s="201" t="s">
        <v>567</v>
      </c>
      <c r="BI87" s="201" t="s">
        <v>567</v>
      </c>
      <c r="BJ87" s="201" t="s">
        <v>567</v>
      </c>
      <c r="BK87" s="201" t="s">
        <v>567</v>
      </c>
      <c r="BL87" s="202" t="s">
        <v>567</v>
      </c>
      <c r="BM87" s="201" t="s">
        <v>567</v>
      </c>
      <c r="BN87" s="201" t="s">
        <v>567</v>
      </c>
      <c r="BO87" s="201" t="s">
        <v>567</v>
      </c>
      <c r="BP87" s="201" t="s">
        <v>567</v>
      </c>
      <c r="BQ87" s="202" t="s">
        <v>567</v>
      </c>
      <c r="BS87" s="173"/>
      <c r="BT87" s="226" t="s">
        <v>332</v>
      </c>
      <c r="BU87" s="226" t="s">
        <v>569</v>
      </c>
      <c r="BV87" s="201" t="s">
        <v>567</v>
      </c>
      <c r="BW87" s="201" t="s">
        <v>567</v>
      </c>
      <c r="BX87" s="201" t="s">
        <v>567</v>
      </c>
      <c r="BY87" s="201" t="s">
        <v>567</v>
      </c>
      <c r="BZ87" s="969" t="s">
        <v>567</v>
      </c>
      <c r="CA87" s="201" t="s">
        <v>567</v>
      </c>
      <c r="CB87" s="201" t="s">
        <v>567</v>
      </c>
      <c r="CC87" s="201" t="s">
        <v>567</v>
      </c>
      <c r="CD87" s="202" t="s">
        <v>567</v>
      </c>
      <c r="CE87" s="201" t="s">
        <v>567</v>
      </c>
      <c r="CF87" s="201" t="s">
        <v>567</v>
      </c>
      <c r="CG87" s="201" t="s">
        <v>567</v>
      </c>
      <c r="CH87" s="201" t="s">
        <v>567</v>
      </c>
      <c r="CI87" s="202" t="s">
        <v>567</v>
      </c>
      <c r="CJ87" s="201" t="s">
        <v>567</v>
      </c>
      <c r="CK87" s="201" t="s">
        <v>567</v>
      </c>
      <c r="CL87" s="201" t="s">
        <v>567</v>
      </c>
      <c r="CM87" s="201" t="s">
        <v>567</v>
      </c>
      <c r="CN87" s="202" t="s">
        <v>567</v>
      </c>
      <c r="CP87" s="173"/>
      <c r="CQ87" s="226" t="s">
        <v>332</v>
      </c>
      <c r="CR87" s="226" t="s">
        <v>569</v>
      </c>
      <c r="CS87" s="201" t="s">
        <v>567</v>
      </c>
      <c r="CT87" s="201" t="s">
        <v>567</v>
      </c>
      <c r="CU87" s="201" t="s">
        <v>567</v>
      </c>
      <c r="CV87" s="201" t="s">
        <v>567</v>
      </c>
      <c r="CW87" s="969" t="s">
        <v>567</v>
      </c>
      <c r="CX87" s="201" t="s">
        <v>567</v>
      </c>
      <c r="CY87" s="201" t="s">
        <v>567</v>
      </c>
      <c r="CZ87" s="201" t="s">
        <v>567</v>
      </c>
      <c r="DA87" s="202" t="s">
        <v>567</v>
      </c>
      <c r="DB87" s="201" t="s">
        <v>567</v>
      </c>
      <c r="DC87" s="201" t="s">
        <v>567</v>
      </c>
      <c r="DD87" s="201" t="s">
        <v>567</v>
      </c>
      <c r="DE87" s="201" t="s">
        <v>567</v>
      </c>
      <c r="DF87" s="202" t="s">
        <v>567</v>
      </c>
      <c r="DG87" s="201" t="s">
        <v>567</v>
      </c>
      <c r="DH87" s="201" t="s">
        <v>567</v>
      </c>
      <c r="DI87" s="201" t="s">
        <v>567</v>
      </c>
      <c r="DJ87" s="201" t="s">
        <v>567</v>
      </c>
      <c r="DK87" s="202" t="s">
        <v>567</v>
      </c>
    </row>
    <row r="88" spans="2:115" x14ac:dyDescent="0.3">
      <c r="B88" s="204">
        <v>1</v>
      </c>
      <c r="C88" s="759">
        <f>'Energy NPV'!$D13</f>
        <v>0</v>
      </c>
      <c r="D88" s="197">
        <f>'Energy margins'!$E$12</f>
        <v>43.75</v>
      </c>
      <c r="E88" s="197">
        <f>C88*D88</f>
        <v>0</v>
      </c>
      <c r="F88" s="197">
        <f>'Margins summary'!$Q$14</f>
        <v>330</v>
      </c>
      <c r="G88" s="197">
        <f>E88+F88</f>
        <v>330</v>
      </c>
      <c r="H88" s="197">
        <f>'Margins summary'!$P$20</f>
        <v>1887.233334</v>
      </c>
      <c r="I88" s="922">
        <f>'Energy NPV'!$U13</f>
        <v>0</v>
      </c>
      <c r="J88" s="197"/>
      <c r="K88" s="197">
        <f>H88+I88+J88</f>
        <v>1887.233334</v>
      </c>
      <c r="L88" s="197">
        <f t="shared" ref="L88:L103" si="200">E88-K88</f>
        <v>-1887.233334</v>
      </c>
      <c r="M88" s="197">
        <f t="shared" ref="M88:M103" si="201">G88-K88</f>
        <v>-1557.233334</v>
      </c>
      <c r="N88" s="1033">
        <f>E88/((1+$B$4)^(B88-1))</f>
        <v>0</v>
      </c>
      <c r="O88" s="213">
        <f>F88/((1+$B$4)^(B88-1))</f>
        <v>330</v>
      </c>
      <c r="P88" s="213">
        <f>K88/((1+$B$4)^(B88-1))</f>
        <v>1887.233334</v>
      </c>
      <c r="Q88" s="213">
        <f>L88/((1+$B$4)^(B88-1))</f>
        <v>-1887.233334</v>
      </c>
      <c r="R88" s="929">
        <f>M88/((1+$B$4)^(B88-1))</f>
        <v>-1557.233334</v>
      </c>
      <c r="S88" s="196">
        <f>N88</f>
        <v>0</v>
      </c>
      <c r="T88" s="197">
        <f>O88</f>
        <v>330</v>
      </c>
      <c r="U88" s="197">
        <f>P88</f>
        <v>1887.233334</v>
      </c>
      <c r="V88" s="197">
        <f>Q88</f>
        <v>-1887.233334</v>
      </c>
      <c r="W88" s="199">
        <f>R88</f>
        <v>-1557.233334</v>
      </c>
      <c r="Y88" s="204">
        <v>1</v>
      </c>
      <c r="Z88" s="759">
        <f>'Energy NPV'!$D13</f>
        <v>0</v>
      </c>
      <c r="AA88" s="197">
        <f>'Energy margins'!$E$12</f>
        <v>43.75</v>
      </c>
      <c r="AB88" s="197">
        <f>Z88*AA88</f>
        <v>0</v>
      </c>
      <c r="AC88" s="197">
        <f>'Margins summary'!$Q$14</f>
        <v>330</v>
      </c>
      <c r="AD88" s="197">
        <f>AB88+AC88</f>
        <v>330</v>
      </c>
      <c r="AE88" s="197">
        <f>'Margins summary'!$P$20</f>
        <v>1887.233334</v>
      </c>
      <c r="AF88" s="918">
        <f>'Energy NPV'!$U13</f>
        <v>0</v>
      </c>
      <c r="AG88" s="197"/>
      <c r="AH88" s="197">
        <f>AE88+AF88+AG88</f>
        <v>1887.233334</v>
      </c>
      <c r="AI88" s="197">
        <f t="shared" ref="AI88:AI103" si="202">AB88-AH88</f>
        <v>-1887.233334</v>
      </c>
      <c r="AJ88" s="197">
        <f t="shared" ref="AJ88:AJ103" si="203">AD88-AH88</f>
        <v>-1557.233334</v>
      </c>
      <c r="AK88" s="1033">
        <f>AB88/((1+$C$4)^(Y88-1))</f>
        <v>0</v>
      </c>
      <c r="AL88" s="213">
        <f>AC88/((1+$C$4)^(Y88-1))</f>
        <v>330</v>
      </c>
      <c r="AM88" s="213">
        <f>AH88/((1+$C$4)^(Y88-1))</f>
        <v>1887.233334</v>
      </c>
      <c r="AN88" s="213">
        <f>AI88/((1+$C$4)^(Y88-1))</f>
        <v>-1887.233334</v>
      </c>
      <c r="AO88" s="929">
        <f>AJ88/((1+$C$4)^(Y88-1))</f>
        <v>-1557.233334</v>
      </c>
      <c r="AP88" s="196">
        <f>AK88</f>
        <v>0</v>
      </c>
      <c r="AQ88" s="197">
        <f>AL88</f>
        <v>330</v>
      </c>
      <c r="AR88" s="197">
        <f>AM88</f>
        <v>1887.233334</v>
      </c>
      <c r="AS88" s="197">
        <f>AN88</f>
        <v>-1887.233334</v>
      </c>
      <c r="AT88" s="199">
        <f>AO88</f>
        <v>-1557.233334</v>
      </c>
      <c r="AV88" s="204">
        <v>1</v>
      </c>
      <c r="AW88" s="759">
        <f>'Energy NPV'!$D13</f>
        <v>0</v>
      </c>
      <c r="AX88" s="197">
        <f>'Energy margins'!$E$12</f>
        <v>43.75</v>
      </c>
      <c r="AY88" s="197">
        <f>AW88*AX88</f>
        <v>0</v>
      </c>
      <c r="AZ88" s="197">
        <f>'Margins summary'!$Q$14</f>
        <v>330</v>
      </c>
      <c r="BA88" s="197">
        <f>AY88+AZ88</f>
        <v>330</v>
      </c>
      <c r="BB88" s="197">
        <f>'Margins summary'!$P$20</f>
        <v>1887.233334</v>
      </c>
      <c r="BC88" s="918">
        <f>'Energy NPV'!$U13</f>
        <v>0</v>
      </c>
      <c r="BD88" s="197"/>
      <c r="BE88" s="197">
        <f>BB88+BC88+BD88</f>
        <v>1887.233334</v>
      </c>
      <c r="BF88" s="197">
        <f t="shared" ref="BF88:BF103" si="204">AY88-BE88</f>
        <v>-1887.233334</v>
      </c>
      <c r="BG88" s="197">
        <f t="shared" ref="BG88:BG103" si="205">BA88-BE88</f>
        <v>-1557.233334</v>
      </c>
      <c r="BH88" s="1033">
        <f>AY88/((1+$D$4)^(AV88-1))</f>
        <v>0</v>
      </c>
      <c r="BI88" s="213">
        <f>AZ88/((1+$D$4)^(AV88-1))</f>
        <v>330</v>
      </c>
      <c r="BJ88" s="213">
        <f>BE88/((1+$D$4)^(AV88-1))</f>
        <v>1887.233334</v>
      </c>
      <c r="BK88" s="213">
        <f>BF88/((1+$D$4)^(AV88-1))</f>
        <v>-1887.233334</v>
      </c>
      <c r="BL88" s="929">
        <f>BG88/((1+$D$4)^(AV88-1))</f>
        <v>-1557.233334</v>
      </c>
      <c r="BM88" s="196">
        <f>BH88</f>
        <v>0</v>
      </c>
      <c r="BN88" s="197">
        <f>BI88</f>
        <v>330</v>
      </c>
      <c r="BO88" s="197">
        <f>BJ88</f>
        <v>1887.233334</v>
      </c>
      <c r="BP88" s="197">
        <f>BK88</f>
        <v>-1887.233334</v>
      </c>
      <c r="BQ88" s="199">
        <f>BL88</f>
        <v>-1557.233334</v>
      </c>
      <c r="BS88" s="204">
        <v>1</v>
      </c>
      <c r="BT88" s="759">
        <f>'Energy NPV'!$D13</f>
        <v>0</v>
      </c>
      <c r="BU88" s="197">
        <f>'Energy margins'!$E$12</f>
        <v>43.75</v>
      </c>
      <c r="BV88" s="197">
        <f>BT88*BU88</f>
        <v>0</v>
      </c>
      <c r="BW88" s="197">
        <f>'Margins summary'!$Q$14</f>
        <v>330</v>
      </c>
      <c r="BX88" s="197">
        <f>BV88+BW88</f>
        <v>330</v>
      </c>
      <c r="BY88" s="197">
        <f>'Margins summary'!$P$20</f>
        <v>1887.233334</v>
      </c>
      <c r="BZ88" s="918">
        <f>'Energy NPV'!$U13</f>
        <v>0</v>
      </c>
      <c r="CA88" s="197"/>
      <c r="CB88" s="197">
        <f>BY88+BZ88+CA88</f>
        <v>1887.233334</v>
      </c>
      <c r="CC88" s="197">
        <f t="shared" ref="CC88:CC103" si="206">BV88-CB88</f>
        <v>-1887.233334</v>
      </c>
      <c r="CD88" s="197">
        <f t="shared" ref="CD88:CD103" si="207">BX88-CB88</f>
        <v>-1557.233334</v>
      </c>
      <c r="CE88" s="1033">
        <f>BV88/((1+$E$4)^(BS88-1))</f>
        <v>0</v>
      </c>
      <c r="CF88" s="213">
        <f>BW88/((1+$E$4)^(BS88-1))</f>
        <v>330</v>
      </c>
      <c r="CG88" s="213">
        <f>CB88/((1+$E$4)^(BS88-1))</f>
        <v>1887.233334</v>
      </c>
      <c r="CH88" s="213">
        <f>CC88/((1+$E$4)^(BS88-1))</f>
        <v>-1887.233334</v>
      </c>
      <c r="CI88" s="929">
        <f>CD88/((1+$E$4)^(BS88-1))</f>
        <v>-1557.233334</v>
      </c>
      <c r="CJ88" s="196">
        <f>CE88</f>
        <v>0</v>
      </c>
      <c r="CK88" s="197">
        <f>CF88</f>
        <v>330</v>
      </c>
      <c r="CL88" s="197">
        <f>CG88</f>
        <v>1887.233334</v>
      </c>
      <c r="CM88" s="197">
        <f>CH88</f>
        <v>-1887.233334</v>
      </c>
      <c r="CN88" s="199">
        <f>CI88</f>
        <v>-1557.233334</v>
      </c>
      <c r="CP88" s="204">
        <v>1</v>
      </c>
      <c r="CQ88" s="759">
        <f>'Energy NPV'!$D13</f>
        <v>0</v>
      </c>
      <c r="CR88" s="197">
        <f>'Energy margins'!$E$12</f>
        <v>43.75</v>
      </c>
      <c r="CS88" s="197">
        <f>CQ88*CR88</f>
        <v>0</v>
      </c>
      <c r="CT88" s="197">
        <f>'Margins summary'!$Q$14</f>
        <v>330</v>
      </c>
      <c r="CU88" s="197">
        <f>CS88+CT88</f>
        <v>330</v>
      </c>
      <c r="CV88" s="197">
        <f>'Margins summary'!$P$20</f>
        <v>1887.233334</v>
      </c>
      <c r="CW88" s="918">
        <f>'Energy NPV'!$U13</f>
        <v>0</v>
      </c>
      <c r="CX88" s="197"/>
      <c r="CY88" s="197">
        <f>CV88+CW88+CX88</f>
        <v>1887.233334</v>
      </c>
      <c r="CZ88" s="197">
        <f t="shared" ref="CZ88:CZ103" si="208">CS88-CY88</f>
        <v>-1887.233334</v>
      </c>
      <c r="DA88" s="197">
        <f t="shared" ref="DA88:DA103" si="209">CU88-CY88</f>
        <v>-1557.233334</v>
      </c>
      <c r="DB88" s="1033">
        <f>CS88/((1+$F$4)^(CP88-1))</f>
        <v>0</v>
      </c>
      <c r="DC88" s="213">
        <f>CT88/((1+$F$4)^(CP88-1))</f>
        <v>330</v>
      </c>
      <c r="DD88" s="213">
        <f>CY88/((1+$F$4)^(CP88-1))</f>
        <v>1887.233334</v>
      </c>
      <c r="DE88" s="213">
        <f>CZ88/((1+$F$4)^(CP88-1))</f>
        <v>-1887.233334</v>
      </c>
      <c r="DF88" s="929">
        <f>DA88/((1+$F$4)^(CP88-1))</f>
        <v>-1557.233334</v>
      </c>
      <c r="DG88" s="196">
        <f>DB88</f>
        <v>0</v>
      </c>
      <c r="DH88" s="197">
        <f>DC88</f>
        <v>330</v>
      </c>
      <c r="DI88" s="197">
        <f>DD88</f>
        <v>1887.233334</v>
      </c>
      <c r="DJ88" s="197">
        <f>DE88</f>
        <v>-1887.233334</v>
      </c>
      <c r="DK88" s="199">
        <f>DF88</f>
        <v>-1557.233334</v>
      </c>
    </row>
    <row r="89" spans="2:115" x14ac:dyDescent="0.3">
      <c r="B89" s="204">
        <v>2</v>
      </c>
      <c r="C89" s="759">
        <f>'Energy NPV'!$D14</f>
        <v>26</v>
      </c>
      <c r="D89" s="197">
        <f>'Energy margins'!$E$12</f>
        <v>43.75</v>
      </c>
      <c r="E89" s="197">
        <f>C89*D89</f>
        <v>1137.5</v>
      </c>
      <c r="F89" s="197">
        <f>'Margins summary'!$Q$14</f>
        <v>330</v>
      </c>
      <c r="G89" s="197">
        <f t="shared" ref="G89:G103" si="210">E89+F89</f>
        <v>1467.5</v>
      </c>
      <c r="H89" s="197"/>
      <c r="I89" s="922">
        <f>'Energy NPV'!$U14</f>
        <v>748.272334</v>
      </c>
      <c r="J89" s="197"/>
      <c r="K89" s="197">
        <f t="shared" ref="K89:K103" si="211">H89+I89+J89</f>
        <v>748.272334</v>
      </c>
      <c r="L89" s="197">
        <f t="shared" si="200"/>
        <v>389.227666</v>
      </c>
      <c r="M89" s="197">
        <f t="shared" si="201"/>
        <v>719.227666</v>
      </c>
      <c r="N89" s="196">
        <f t="shared" ref="N89:N103" si="212">E89/((1+$B$4)^(B89-1))</f>
        <v>1104.3689320388348</v>
      </c>
      <c r="O89" s="197">
        <f t="shared" ref="O89:O103" si="213">F89/((1+$B$4)^(B89-1))</f>
        <v>320.38834951456312</v>
      </c>
      <c r="P89" s="197">
        <f t="shared" ref="P89:P103" si="214">K89/((1+$B$4)^(B89-1))</f>
        <v>726.47799417475721</v>
      </c>
      <c r="Q89" s="197">
        <f t="shared" ref="Q89:Q103" si="215">L89/((1+$B$4)^(B89-1))</f>
        <v>377.89093786407767</v>
      </c>
      <c r="R89" s="199">
        <f t="shared" ref="R89:R103" si="216">M89/((1+$B$4)^(B89-1))</f>
        <v>698.27928737864079</v>
      </c>
      <c r="S89" s="196">
        <f>S88+N89</f>
        <v>1104.3689320388348</v>
      </c>
      <c r="T89" s="197">
        <f t="shared" ref="T89:W103" si="217">T88+O89</f>
        <v>650.38834951456306</v>
      </c>
      <c r="U89" s="197">
        <f t="shared" si="217"/>
        <v>2613.711328174757</v>
      </c>
      <c r="V89" s="197">
        <f t="shared" si="217"/>
        <v>-1509.3423961359224</v>
      </c>
      <c r="W89" s="199">
        <f t="shared" si="217"/>
        <v>-858.95404662135923</v>
      </c>
      <c r="Y89" s="204">
        <v>2</v>
      </c>
      <c r="Z89" s="759">
        <f>'Energy NPV'!$D14</f>
        <v>26</v>
      </c>
      <c r="AA89" s="197">
        <f>'Energy margins'!$E$12</f>
        <v>43.75</v>
      </c>
      <c r="AB89" s="197">
        <f>Z89*AA89</f>
        <v>1137.5</v>
      </c>
      <c r="AC89" s="197">
        <f>'Margins summary'!$Q$14</f>
        <v>330</v>
      </c>
      <c r="AD89" s="197">
        <f t="shared" ref="AD89:AD103" si="218">AB89+AC89</f>
        <v>1467.5</v>
      </c>
      <c r="AE89" s="197"/>
      <c r="AF89" s="918">
        <f>'Energy NPV'!$U14</f>
        <v>748.272334</v>
      </c>
      <c r="AG89" s="197"/>
      <c r="AH89" s="197">
        <f t="shared" ref="AH89:AH103" si="219">AE89+AF89+AG89</f>
        <v>748.272334</v>
      </c>
      <c r="AI89" s="197">
        <f t="shared" si="202"/>
        <v>389.227666</v>
      </c>
      <c r="AJ89" s="197">
        <f t="shared" si="203"/>
        <v>719.227666</v>
      </c>
      <c r="AK89" s="196">
        <f t="shared" ref="AK89:AK103" si="220">AB89/((1+$C$4)^(Y89-1))</f>
        <v>1088.5167464114834</v>
      </c>
      <c r="AL89" s="197">
        <f t="shared" ref="AL89:AL103" si="221">AC89/((1+$C$4)^(Y89-1))</f>
        <v>315.78947368421052</v>
      </c>
      <c r="AM89" s="197">
        <f t="shared" ref="AM89:AM103" si="222">AH89/((1+$C$4)^(Y89-1))</f>
        <v>716.05008038277515</v>
      </c>
      <c r="AN89" s="197">
        <f t="shared" ref="AN89:AN103" si="223">AI89/((1+$C$4)^(Y89-1))</f>
        <v>372.46666602870818</v>
      </c>
      <c r="AO89" s="199">
        <f t="shared" ref="AO89:AO103" si="224">AJ89/((1+$C$4)^(Y89-1))</f>
        <v>688.25613971291875</v>
      </c>
      <c r="AP89" s="196">
        <f>AP88+AK89</f>
        <v>1088.5167464114834</v>
      </c>
      <c r="AQ89" s="197">
        <f t="shared" ref="AQ89:AT103" si="225">AQ88+AL89</f>
        <v>645.78947368421052</v>
      </c>
      <c r="AR89" s="197">
        <f t="shared" si="225"/>
        <v>2603.2834143827749</v>
      </c>
      <c r="AS89" s="197">
        <f t="shared" si="225"/>
        <v>-1514.7666679712918</v>
      </c>
      <c r="AT89" s="199">
        <f t="shared" si="225"/>
        <v>-868.97719428708126</v>
      </c>
      <c r="AV89" s="204">
        <v>2</v>
      </c>
      <c r="AW89" s="759">
        <f>'Energy NPV'!$D14</f>
        <v>26</v>
      </c>
      <c r="AX89" s="197">
        <f>'Energy margins'!$E$12</f>
        <v>43.75</v>
      </c>
      <c r="AY89" s="197">
        <f>AW89*AX89</f>
        <v>1137.5</v>
      </c>
      <c r="AZ89" s="197">
        <f>'Margins summary'!$Q$14</f>
        <v>330</v>
      </c>
      <c r="BA89" s="197">
        <f t="shared" ref="BA89:BA103" si="226">AY89+AZ89</f>
        <v>1467.5</v>
      </c>
      <c r="BB89" s="197"/>
      <c r="BC89" s="918">
        <f>'Energy NPV'!$U14</f>
        <v>748.272334</v>
      </c>
      <c r="BD89" s="197"/>
      <c r="BE89" s="197">
        <f t="shared" ref="BE89:BE103" si="227">BB89+BC89+BD89</f>
        <v>748.272334</v>
      </c>
      <c r="BF89" s="197">
        <f t="shared" si="204"/>
        <v>389.227666</v>
      </c>
      <c r="BG89" s="197">
        <f t="shared" si="205"/>
        <v>719.227666</v>
      </c>
      <c r="BH89" s="196">
        <f t="shared" ref="BH89:BH103" si="228">AY89/((1+$D$4)^(AV89-1))</f>
        <v>1120.6896551724139</v>
      </c>
      <c r="BI89" s="197">
        <f t="shared" ref="BI89:BI103" si="229">AZ89/((1+$D$4)^(AV89-1))</f>
        <v>325.12315270935966</v>
      </c>
      <c r="BJ89" s="197">
        <f t="shared" ref="BJ89:BJ103" si="230">BE89/((1+$D$4)^(AV89-1))</f>
        <v>737.21412216748774</v>
      </c>
      <c r="BK89" s="197">
        <f t="shared" ref="BK89:BK103" si="231">BF89/((1+$D$4)^(AV89-1))</f>
        <v>383.47553300492615</v>
      </c>
      <c r="BL89" s="199">
        <f t="shared" ref="BL89:BL103" si="232">BG89/((1+$D$4)^(AV89-1))</f>
        <v>708.59868571428581</v>
      </c>
      <c r="BM89" s="196">
        <f>BM88+BH89</f>
        <v>1120.6896551724139</v>
      </c>
      <c r="BN89" s="197">
        <f t="shared" ref="BN89:BQ103" si="233">BN88+BI89</f>
        <v>655.1231527093596</v>
      </c>
      <c r="BO89" s="197">
        <f t="shared" si="233"/>
        <v>2624.4474561674879</v>
      </c>
      <c r="BP89" s="197">
        <f t="shared" si="233"/>
        <v>-1503.7578009950739</v>
      </c>
      <c r="BQ89" s="199">
        <f t="shared" si="233"/>
        <v>-848.63464828571421</v>
      </c>
      <c r="BS89" s="204">
        <v>2</v>
      </c>
      <c r="BT89" s="759">
        <f>'Energy NPV'!$D14</f>
        <v>26</v>
      </c>
      <c r="BU89" s="197">
        <f>'Energy margins'!$E$12</f>
        <v>43.75</v>
      </c>
      <c r="BV89" s="197">
        <f>BT89*BU89</f>
        <v>1137.5</v>
      </c>
      <c r="BW89" s="197">
        <f>'Margins summary'!$Q$14</f>
        <v>330</v>
      </c>
      <c r="BX89" s="197">
        <f t="shared" ref="BX89:BX103" si="234">BV89+BW89</f>
        <v>1467.5</v>
      </c>
      <c r="BY89" s="197"/>
      <c r="BZ89" s="918">
        <f>'Energy NPV'!$U14</f>
        <v>748.272334</v>
      </c>
      <c r="CA89" s="197"/>
      <c r="CB89" s="197">
        <f t="shared" ref="CB89:CB103" si="235">BY89+BZ89+CA89</f>
        <v>748.272334</v>
      </c>
      <c r="CC89" s="197">
        <f t="shared" si="206"/>
        <v>389.227666</v>
      </c>
      <c r="CD89" s="197">
        <f t="shared" si="207"/>
        <v>719.227666</v>
      </c>
      <c r="CE89" s="196">
        <f t="shared" ref="CE89:CE103" si="236">BV89/((1+$E$4)^(BS89-1))</f>
        <v>1073.1132075471698</v>
      </c>
      <c r="CF89" s="197">
        <f t="shared" ref="CF89:CF103" si="237">BW89/((1+$E$4)^(BS89-1))</f>
        <v>311.32075471698113</v>
      </c>
      <c r="CG89" s="197">
        <f t="shared" ref="CG89:CG103" si="238">CB89/((1+$E$4)^(BS89-1))</f>
        <v>705.91729622641503</v>
      </c>
      <c r="CH89" s="197">
        <f t="shared" ref="CH89:CH103" si="239">CC89/((1+$E$4)^(BS89-1))</f>
        <v>367.1959113207547</v>
      </c>
      <c r="CI89" s="199">
        <f t="shared" ref="CI89:CI103" si="240">CD89/((1+$E$4)^(BS89-1))</f>
        <v>678.51666603773583</v>
      </c>
      <c r="CJ89" s="196">
        <f>CJ88+CE89</f>
        <v>1073.1132075471698</v>
      </c>
      <c r="CK89" s="197">
        <f t="shared" ref="CK89:CN103" si="241">CK88+CF89</f>
        <v>641.32075471698113</v>
      </c>
      <c r="CL89" s="197">
        <f t="shared" si="241"/>
        <v>2593.1506302264152</v>
      </c>
      <c r="CM89" s="197">
        <f t="shared" si="241"/>
        <v>-1520.0374226792453</v>
      </c>
      <c r="CN89" s="199">
        <f t="shared" si="241"/>
        <v>-878.71666796226418</v>
      </c>
      <c r="CP89" s="204">
        <f>CP88+1</f>
        <v>2</v>
      </c>
      <c r="CQ89" s="759">
        <f>'Energy NPV'!$D14</f>
        <v>26</v>
      </c>
      <c r="CR89" s="197">
        <f>'Energy margins'!$E$12</f>
        <v>43.75</v>
      </c>
      <c r="CS89" s="197">
        <f>CQ89*CR89</f>
        <v>1137.5</v>
      </c>
      <c r="CT89" s="197">
        <f>'Margins summary'!$Q$14</f>
        <v>330</v>
      </c>
      <c r="CU89" s="197">
        <f t="shared" ref="CU89:CU103" si="242">CS89+CT89</f>
        <v>1467.5</v>
      </c>
      <c r="CV89" s="197"/>
      <c r="CW89" s="918">
        <f>'Energy NPV'!$U14</f>
        <v>748.272334</v>
      </c>
      <c r="CX89" s="197"/>
      <c r="CY89" s="197">
        <f t="shared" ref="CY89:CY103" si="243">CV89+CW89+CX89</f>
        <v>748.272334</v>
      </c>
      <c r="CZ89" s="197">
        <f t="shared" si="208"/>
        <v>389.227666</v>
      </c>
      <c r="DA89" s="197">
        <f t="shared" si="209"/>
        <v>719.227666</v>
      </c>
      <c r="DB89" s="196">
        <f t="shared" ref="DB89:DB103" si="244">CS89/((1+$F$4)^(CP89-1))</f>
        <v>1137.5</v>
      </c>
      <c r="DC89" s="197">
        <f t="shared" ref="DC89:DC103" si="245">CT89/((1+$F$4)^(CP89-1))</f>
        <v>330</v>
      </c>
      <c r="DD89" s="197">
        <f t="shared" ref="DD89:DD103" si="246">CY89/((1+$F$4)^(CP89-1))</f>
        <v>748.272334</v>
      </c>
      <c r="DE89" s="197">
        <f t="shared" ref="DE89:DE103" si="247">CZ89/((1+$F$4)^(CP89-1))</f>
        <v>389.227666</v>
      </c>
      <c r="DF89" s="199">
        <f t="shared" ref="DF89:DF102" si="248">DA89/((1+$F$4)^(CP89-1))</f>
        <v>719.227666</v>
      </c>
      <c r="DG89" s="196">
        <f>DG88+DB89</f>
        <v>1137.5</v>
      </c>
      <c r="DH89" s="197">
        <f t="shared" ref="DH89:DK103" si="249">DH88+DC89</f>
        <v>660</v>
      </c>
      <c r="DI89" s="197">
        <f t="shared" si="249"/>
        <v>2635.5056679999998</v>
      </c>
      <c r="DJ89" s="197">
        <f t="shared" si="249"/>
        <v>-1498.005668</v>
      </c>
      <c r="DK89" s="199">
        <f t="shared" si="249"/>
        <v>-838.00566800000001</v>
      </c>
    </row>
    <row r="90" spans="2:115" x14ac:dyDescent="0.3">
      <c r="B90" s="204">
        <f t="shared" ref="B90:B103" si="250">B89+1</f>
        <v>3</v>
      </c>
      <c r="C90" s="759">
        <f>'Energy NPV'!$D15</f>
        <v>0</v>
      </c>
      <c r="D90" s="197">
        <f>'Energy margins'!$E$12</f>
        <v>43.75</v>
      </c>
      <c r="E90" s="197">
        <f t="shared" ref="E90:E103" si="251">C90*D90</f>
        <v>0</v>
      </c>
      <c r="F90" s="197">
        <f>'Margins summary'!$Q$14</f>
        <v>330</v>
      </c>
      <c r="G90" s="197">
        <f t="shared" si="210"/>
        <v>330</v>
      </c>
      <c r="H90" s="197"/>
      <c r="I90" s="922">
        <f>'Energy NPV'!$U15</f>
        <v>110.53899999999999</v>
      </c>
      <c r="J90" s="197"/>
      <c r="K90" s="197">
        <f t="shared" si="211"/>
        <v>110.53899999999999</v>
      </c>
      <c r="L90" s="197">
        <f t="shared" si="200"/>
        <v>-110.53899999999999</v>
      </c>
      <c r="M90" s="197">
        <f t="shared" si="201"/>
        <v>219.46100000000001</v>
      </c>
      <c r="N90" s="196">
        <f t="shared" si="212"/>
        <v>0</v>
      </c>
      <c r="O90" s="197">
        <f t="shared" si="213"/>
        <v>311.05665001413894</v>
      </c>
      <c r="P90" s="197">
        <f t="shared" si="214"/>
        <v>104.19360919973606</v>
      </c>
      <c r="Q90" s="197">
        <f t="shared" si="215"/>
        <v>-104.19360919973606</v>
      </c>
      <c r="R90" s="199">
        <f t="shared" si="216"/>
        <v>206.86304081440289</v>
      </c>
      <c r="S90" s="196">
        <f t="shared" ref="S90:S103" si="252">S89+N90</f>
        <v>1104.3689320388348</v>
      </c>
      <c r="T90" s="197">
        <f t="shared" si="217"/>
        <v>961.44499952870206</v>
      </c>
      <c r="U90" s="197">
        <f t="shared" si="217"/>
        <v>2717.9049373744929</v>
      </c>
      <c r="V90" s="197">
        <f t="shared" si="217"/>
        <v>-1613.5360053356585</v>
      </c>
      <c r="W90" s="199">
        <f t="shared" si="217"/>
        <v>-652.09100580695633</v>
      </c>
      <c r="Y90" s="204">
        <f t="shared" ref="Y90:Y103" si="253">Y89+1</f>
        <v>3</v>
      </c>
      <c r="Z90" s="759">
        <f>'Energy NPV'!$D15</f>
        <v>0</v>
      </c>
      <c r="AA90" s="197">
        <f>'Energy margins'!$E$12</f>
        <v>43.75</v>
      </c>
      <c r="AB90" s="197">
        <f t="shared" ref="AB90:AB103" si="254">Z90*AA90</f>
        <v>0</v>
      </c>
      <c r="AC90" s="197">
        <f>'Margins summary'!$Q$14</f>
        <v>330</v>
      </c>
      <c r="AD90" s="197">
        <f t="shared" si="218"/>
        <v>330</v>
      </c>
      <c r="AE90" s="197"/>
      <c r="AF90" s="918">
        <f>'Energy NPV'!$U15</f>
        <v>110.53899999999999</v>
      </c>
      <c r="AG90" s="197"/>
      <c r="AH90" s="197">
        <f t="shared" si="219"/>
        <v>110.53899999999999</v>
      </c>
      <c r="AI90" s="197">
        <f t="shared" si="202"/>
        <v>-110.53899999999999</v>
      </c>
      <c r="AJ90" s="197">
        <f t="shared" si="203"/>
        <v>219.46100000000001</v>
      </c>
      <c r="AK90" s="196">
        <f t="shared" si="220"/>
        <v>0</v>
      </c>
      <c r="AL90" s="197">
        <f t="shared" si="221"/>
        <v>302.19088390833548</v>
      </c>
      <c r="AM90" s="197">
        <f t="shared" si="222"/>
        <v>101.22387307982876</v>
      </c>
      <c r="AN90" s="197">
        <f t="shared" si="223"/>
        <v>-101.22387307982876</v>
      </c>
      <c r="AO90" s="199">
        <f t="shared" si="224"/>
        <v>200.96701082850672</v>
      </c>
      <c r="AP90" s="196">
        <f t="shared" ref="AP90:AP102" si="255">AP89+AK90</f>
        <v>1088.5167464114834</v>
      </c>
      <c r="AQ90" s="197">
        <f t="shared" si="225"/>
        <v>947.98035759254594</v>
      </c>
      <c r="AR90" s="197">
        <f t="shared" si="225"/>
        <v>2704.5072874626039</v>
      </c>
      <c r="AS90" s="197">
        <f t="shared" si="225"/>
        <v>-1615.9905410511205</v>
      </c>
      <c r="AT90" s="199">
        <f t="shared" si="225"/>
        <v>-668.0101834585746</v>
      </c>
      <c r="AV90" s="204">
        <f t="shared" ref="AV90:AV103" si="256">AV89+1</f>
        <v>3</v>
      </c>
      <c r="AW90" s="759">
        <f>'Energy NPV'!$D15</f>
        <v>0</v>
      </c>
      <c r="AX90" s="197">
        <f>'Energy margins'!$E$12</f>
        <v>43.75</v>
      </c>
      <c r="AY90" s="197">
        <f t="shared" ref="AY90:AY103" si="257">AW90*AX90</f>
        <v>0</v>
      </c>
      <c r="AZ90" s="197">
        <f>'Margins summary'!$Q$14</f>
        <v>330</v>
      </c>
      <c r="BA90" s="197">
        <f t="shared" si="226"/>
        <v>330</v>
      </c>
      <c r="BB90" s="197"/>
      <c r="BC90" s="918">
        <f>'Energy NPV'!$U15</f>
        <v>110.53899999999999</v>
      </c>
      <c r="BD90" s="197"/>
      <c r="BE90" s="197">
        <f t="shared" si="227"/>
        <v>110.53899999999999</v>
      </c>
      <c r="BF90" s="197">
        <f t="shared" si="204"/>
        <v>-110.53899999999999</v>
      </c>
      <c r="BG90" s="197">
        <f t="shared" si="205"/>
        <v>219.46100000000001</v>
      </c>
      <c r="BH90" s="196">
        <f t="shared" si="228"/>
        <v>0</v>
      </c>
      <c r="BI90" s="197">
        <f t="shared" si="229"/>
        <v>320.31837705355633</v>
      </c>
      <c r="BJ90" s="197">
        <f t="shared" si="230"/>
        <v>107.29597903370625</v>
      </c>
      <c r="BK90" s="197">
        <f t="shared" si="231"/>
        <v>-107.29597903370625</v>
      </c>
      <c r="BL90" s="199">
        <f t="shared" si="232"/>
        <v>213.0223980198501</v>
      </c>
      <c r="BM90" s="196">
        <f t="shared" ref="BM90:BM103" si="258">BM89+BH90</f>
        <v>1120.6896551724139</v>
      </c>
      <c r="BN90" s="197">
        <f t="shared" si="233"/>
        <v>975.44152976291593</v>
      </c>
      <c r="BO90" s="197">
        <f t="shared" si="233"/>
        <v>2731.7434352011942</v>
      </c>
      <c r="BP90" s="197">
        <f t="shared" si="233"/>
        <v>-1611.0537800287802</v>
      </c>
      <c r="BQ90" s="199">
        <f t="shared" si="233"/>
        <v>-635.61225026586408</v>
      </c>
      <c r="BS90" s="204">
        <f t="shared" ref="BS90:BS103" si="259">BS89+1</f>
        <v>3</v>
      </c>
      <c r="BT90" s="759">
        <f>'Energy NPV'!$D15</f>
        <v>0</v>
      </c>
      <c r="BU90" s="197">
        <f>'Energy margins'!$E$12</f>
        <v>43.75</v>
      </c>
      <c r="BV90" s="197">
        <f t="shared" ref="BV90:BV103" si="260">BT90*BU90</f>
        <v>0</v>
      </c>
      <c r="BW90" s="197">
        <f>'Margins summary'!$Q$14</f>
        <v>330</v>
      </c>
      <c r="BX90" s="197">
        <f t="shared" si="234"/>
        <v>330</v>
      </c>
      <c r="BY90" s="197"/>
      <c r="BZ90" s="918">
        <f>'Energy NPV'!$U15</f>
        <v>110.53899999999999</v>
      </c>
      <c r="CA90" s="197"/>
      <c r="CB90" s="197">
        <f t="shared" si="235"/>
        <v>110.53899999999999</v>
      </c>
      <c r="CC90" s="197">
        <f t="shared" si="206"/>
        <v>-110.53899999999999</v>
      </c>
      <c r="CD90" s="197">
        <f t="shared" si="207"/>
        <v>219.46100000000001</v>
      </c>
      <c r="CE90" s="196">
        <f t="shared" si="236"/>
        <v>0</v>
      </c>
      <c r="CF90" s="197">
        <f t="shared" si="237"/>
        <v>293.69882520469912</v>
      </c>
      <c r="CG90" s="197">
        <f t="shared" si="238"/>
        <v>98.379316482734041</v>
      </c>
      <c r="CH90" s="197">
        <f t="shared" si="239"/>
        <v>-98.379316482734041</v>
      </c>
      <c r="CI90" s="199">
        <f t="shared" si="240"/>
        <v>195.31950872196509</v>
      </c>
      <c r="CJ90" s="196">
        <f t="shared" ref="CJ90:CJ103" si="261">CJ89+CE90</f>
        <v>1073.1132075471698</v>
      </c>
      <c r="CK90" s="197">
        <f t="shared" si="241"/>
        <v>935.01957992168025</v>
      </c>
      <c r="CL90" s="197">
        <f t="shared" si="241"/>
        <v>2691.529946709149</v>
      </c>
      <c r="CM90" s="197">
        <f t="shared" si="241"/>
        <v>-1618.4167391619794</v>
      </c>
      <c r="CN90" s="199">
        <f t="shared" si="241"/>
        <v>-683.39715924029906</v>
      </c>
      <c r="CP90" s="204">
        <f t="shared" ref="CP90:CP103" si="262">CP89+1</f>
        <v>3</v>
      </c>
      <c r="CQ90" s="759">
        <f>'Energy NPV'!$D15</f>
        <v>0</v>
      </c>
      <c r="CR90" s="197">
        <f>'Energy margins'!$E$12</f>
        <v>43.75</v>
      </c>
      <c r="CS90" s="197">
        <f t="shared" ref="CS90:CS103" si="263">CQ90*CR90</f>
        <v>0</v>
      </c>
      <c r="CT90" s="197">
        <f>'Margins summary'!$Q$14</f>
        <v>330</v>
      </c>
      <c r="CU90" s="197">
        <f t="shared" si="242"/>
        <v>330</v>
      </c>
      <c r="CV90" s="197"/>
      <c r="CW90" s="918">
        <f>'Energy NPV'!$U15</f>
        <v>110.53899999999999</v>
      </c>
      <c r="CX90" s="197"/>
      <c r="CY90" s="197">
        <f t="shared" si="243"/>
        <v>110.53899999999999</v>
      </c>
      <c r="CZ90" s="197">
        <f t="shared" si="208"/>
        <v>-110.53899999999999</v>
      </c>
      <c r="DA90" s="197">
        <f t="shared" si="209"/>
        <v>219.46100000000001</v>
      </c>
      <c r="DB90" s="196">
        <f t="shared" si="244"/>
        <v>0</v>
      </c>
      <c r="DC90" s="197">
        <f t="shared" si="245"/>
        <v>330</v>
      </c>
      <c r="DD90" s="197">
        <f t="shared" si="246"/>
        <v>110.53899999999999</v>
      </c>
      <c r="DE90" s="197">
        <f t="shared" si="247"/>
        <v>-110.53899999999999</v>
      </c>
      <c r="DF90" s="199">
        <f t="shared" si="248"/>
        <v>219.46100000000001</v>
      </c>
      <c r="DG90" s="196">
        <f t="shared" ref="DG90:DG103" si="264">DG89+DB90</f>
        <v>1137.5</v>
      </c>
      <c r="DH90" s="197">
        <f t="shared" si="249"/>
        <v>990</v>
      </c>
      <c r="DI90" s="197">
        <f t="shared" si="249"/>
        <v>2746.0446679999995</v>
      </c>
      <c r="DJ90" s="197">
        <f t="shared" si="249"/>
        <v>-1608.544668</v>
      </c>
      <c r="DK90" s="199">
        <f t="shared" si="249"/>
        <v>-618.544668</v>
      </c>
    </row>
    <row r="91" spans="2:115" x14ac:dyDescent="0.3">
      <c r="B91" s="204">
        <f t="shared" si="250"/>
        <v>4</v>
      </c>
      <c r="C91" s="759">
        <f>'Energy NPV'!$D16</f>
        <v>26</v>
      </c>
      <c r="D91" s="197">
        <f>'Energy margins'!$E$12</f>
        <v>43.75</v>
      </c>
      <c r="E91" s="197">
        <f t="shared" si="251"/>
        <v>1137.5</v>
      </c>
      <c r="F91" s="197">
        <f>'Margins summary'!$Q$14</f>
        <v>330</v>
      </c>
      <c r="G91" s="197">
        <f t="shared" si="210"/>
        <v>1467.5</v>
      </c>
      <c r="H91" s="197"/>
      <c r="I91" s="922">
        <f>'Energy NPV'!$U16</f>
        <v>637.73333400000001</v>
      </c>
      <c r="J91" s="197"/>
      <c r="K91" s="197">
        <f t="shared" si="211"/>
        <v>637.73333400000001</v>
      </c>
      <c r="L91" s="197">
        <f t="shared" si="200"/>
        <v>499.76666599999999</v>
      </c>
      <c r="M91" s="197">
        <f t="shared" si="201"/>
        <v>829.76666599999999</v>
      </c>
      <c r="N91" s="196">
        <f t="shared" si="212"/>
        <v>1040.973637514219</v>
      </c>
      <c r="O91" s="197">
        <f t="shared" si="213"/>
        <v>301.99674758654265</v>
      </c>
      <c r="P91" s="197">
        <f t="shared" si="214"/>
        <v>583.61634150158272</v>
      </c>
      <c r="Q91" s="197">
        <f t="shared" si="215"/>
        <v>457.35729601263625</v>
      </c>
      <c r="R91" s="199">
        <f t="shared" si="216"/>
        <v>759.35404359917891</v>
      </c>
      <c r="S91" s="196">
        <f t="shared" si="252"/>
        <v>2145.3425695530541</v>
      </c>
      <c r="T91" s="197">
        <f t="shared" si="217"/>
        <v>1263.4417471152447</v>
      </c>
      <c r="U91" s="197">
        <f t="shared" si="217"/>
        <v>3301.5212788760755</v>
      </c>
      <c r="V91" s="197">
        <f t="shared" si="217"/>
        <v>-1156.1787093230223</v>
      </c>
      <c r="W91" s="199">
        <f t="shared" si="217"/>
        <v>107.26303779222258</v>
      </c>
      <c r="Y91" s="204">
        <f t="shared" si="253"/>
        <v>4</v>
      </c>
      <c r="Z91" s="759">
        <f>'Energy NPV'!$D16</f>
        <v>26</v>
      </c>
      <c r="AA91" s="197">
        <f>'Energy margins'!$E$12</f>
        <v>43.75</v>
      </c>
      <c r="AB91" s="197">
        <f t="shared" si="254"/>
        <v>1137.5</v>
      </c>
      <c r="AC91" s="197">
        <f>'Margins summary'!$Q$14</f>
        <v>330</v>
      </c>
      <c r="AD91" s="197">
        <f t="shared" si="218"/>
        <v>1467.5</v>
      </c>
      <c r="AE91" s="197"/>
      <c r="AF91" s="918">
        <f>'Energy NPV'!$U16</f>
        <v>637.73333400000001</v>
      </c>
      <c r="AG91" s="197"/>
      <c r="AH91" s="197">
        <f t="shared" si="219"/>
        <v>637.73333400000001</v>
      </c>
      <c r="AI91" s="197">
        <f t="shared" si="202"/>
        <v>499.76666599999999</v>
      </c>
      <c r="AJ91" s="197">
        <f t="shared" si="203"/>
        <v>829.76666599999999</v>
      </c>
      <c r="AK91" s="196">
        <f t="shared" si="220"/>
        <v>996.78738711245933</v>
      </c>
      <c r="AL91" s="197">
        <f t="shared" si="221"/>
        <v>289.17787933812008</v>
      </c>
      <c r="AM91" s="197">
        <f t="shared" si="222"/>
        <v>558.84355487681523</v>
      </c>
      <c r="AN91" s="197">
        <f t="shared" si="223"/>
        <v>437.94383223564409</v>
      </c>
      <c r="AO91" s="199">
        <f t="shared" si="224"/>
        <v>727.12171157376417</v>
      </c>
      <c r="AP91" s="196">
        <f t="shared" si="255"/>
        <v>2085.3041335239427</v>
      </c>
      <c r="AQ91" s="197">
        <f t="shared" si="225"/>
        <v>1237.1582369306661</v>
      </c>
      <c r="AR91" s="197">
        <f t="shared" si="225"/>
        <v>3263.3508423394192</v>
      </c>
      <c r="AS91" s="197">
        <f t="shared" si="225"/>
        <v>-1178.0467088154764</v>
      </c>
      <c r="AT91" s="199">
        <f t="shared" si="225"/>
        <v>59.111528115189572</v>
      </c>
      <c r="AV91" s="204">
        <f t="shared" si="256"/>
        <v>4</v>
      </c>
      <c r="AW91" s="759">
        <f>'Energy NPV'!$D16</f>
        <v>26</v>
      </c>
      <c r="AX91" s="197">
        <f>'Energy margins'!$E$12</f>
        <v>43.75</v>
      </c>
      <c r="AY91" s="197">
        <f t="shared" si="257"/>
        <v>1137.5</v>
      </c>
      <c r="AZ91" s="197">
        <f>'Margins summary'!$Q$14</f>
        <v>330</v>
      </c>
      <c r="BA91" s="197">
        <f t="shared" si="226"/>
        <v>1467.5</v>
      </c>
      <c r="BB91" s="197"/>
      <c r="BC91" s="918">
        <f>'Energy NPV'!$U16</f>
        <v>637.73333400000001</v>
      </c>
      <c r="BD91" s="197"/>
      <c r="BE91" s="197">
        <f t="shared" si="227"/>
        <v>637.73333400000001</v>
      </c>
      <c r="BF91" s="197">
        <f t="shared" si="204"/>
        <v>499.76666599999999</v>
      </c>
      <c r="BG91" s="197">
        <f t="shared" si="205"/>
        <v>829.76666599999999</v>
      </c>
      <c r="BH91" s="196">
        <f t="shared" si="228"/>
        <v>1087.8105803804162</v>
      </c>
      <c r="BI91" s="197">
        <f t="shared" si="229"/>
        <v>315.58460793453833</v>
      </c>
      <c r="BJ91" s="197">
        <f t="shared" si="230"/>
        <v>609.87522477932112</v>
      </c>
      <c r="BK91" s="197">
        <f t="shared" si="231"/>
        <v>477.93535560109501</v>
      </c>
      <c r="BL91" s="199">
        <f t="shared" si="232"/>
        <v>793.51996353563334</v>
      </c>
      <c r="BM91" s="196">
        <f t="shared" si="258"/>
        <v>2208.5002355528304</v>
      </c>
      <c r="BN91" s="197">
        <f t="shared" si="233"/>
        <v>1291.0261376974543</v>
      </c>
      <c r="BO91" s="197">
        <f t="shared" si="233"/>
        <v>3341.6186599805151</v>
      </c>
      <c r="BP91" s="197">
        <f t="shared" si="233"/>
        <v>-1133.1184244276851</v>
      </c>
      <c r="BQ91" s="199">
        <f t="shared" si="233"/>
        <v>157.90771326976926</v>
      </c>
      <c r="BS91" s="204">
        <f t="shared" si="259"/>
        <v>4</v>
      </c>
      <c r="BT91" s="759">
        <f>'Energy NPV'!$D16</f>
        <v>26</v>
      </c>
      <c r="BU91" s="197">
        <f>'Energy margins'!$E$12</f>
        <v>43.75</v>
      </c>
      <c r="BV91" s="197">
        <f t="shared" si="260"/>
        <v>1137.5</v>
      </c>
      <c r="BW91" s="197">
        <f>'Margins summary'!$Q$14</f>
        <v>330</v>
      </c>
      <c r="BX91" s="197">
        <f t="shared" si="234"/>
        <v>1467.5</v>
      </c>
      <c r="BY91" s="197"/>
      <c r="BZ91" s="918">
        <f>'Energy NPV'!$U16</f>
        <v>637.73333400000001</v>
      </c>
      <c r="CA91" s="197"/>
      <c r="CB91" s="197">
        <f t="shared" si="235"/>
        <v>637.73333400000001</v>
      </c>
      <c r="CC91" s="197">
        <f t="shared" si="206"/>
        <v>499.76666599999999</v>
      </c>
      <c r="CD91" s="197">
        <f t="shared" si="207"/>
        <v>829.76666599999999</v>
      </c>
      <c r="CE91" s="196">
        <f t="shared" si="236"/>
        <v>955.06693444924315</v>
      </c>
      <c r="CF91" s="197">
        <f t="shared" si="237"/>
        <v>277.07436340065954</v>
      </c>
      <c r="CG91" s="197">
        <f t="shared" si="238"/>
        <v>535.45320465887937</v>
      </c>
      <c r="CH91" s="197">
        <f t="shared" si="239"/>
        <v>419.61372979036372</v>
      </c>
      <c r="CI91" s="199">
        <f t="shared" si="240"/>
        <v>696.68809319102331</v>
      </c>
      <c r="CJ91" s="196">
        <f t="shared" si="261"/>
        <v>2028.1801419964131</v>
      </c>
      <c r="CK91" s="197">
        <f t="shared" si="241"/>
        <v>1212.0939433223398</v>
      </c>
      <c r="CL91" s="197">
        <f t="shared" si="241"/>
        <v>3226.9831513680283</v>
      </c>
      <c r="CM91" s="197">
        <f t="shared" si="241"/>
        <v>-1198.8030093716156</v>
      </c>
      <c r="CN91" s="199">
        <f t="shared" si="241"/>
        <v>13.290933950724252</v>
      </c>
      <c r="CP91" s="204">
        <f t="shared" si="262"/>
        <v>4</v>
      </c>
      <c r="CQ91" s="759">
        <f>'Energy NPV'!$D16</f>
        <v>26</v>
      </c>
      <c r="CR91" s="197">
        <f>'Energy margins'!$E$12</f>
        <v>43.75</v>
      </c>
      <c r="CS91" s="197">
        <f t="shared" si="263"/>
        <v>1137.5</v>
      </c>
      <c r="CT91" s="197">
        <f>'Margins summary'!$Q$14</f>
        <v>330</v>
      </c>
      <c r="CU91" s="197">
        <f t="shared" si="242"/>
        <v>1467.5</v>
      </c>
      <c r="CV91" s="197"/>
      <c r="CW91" s="918">
        <f>'Energy NPV'!$U16</f>
        <v>637.73333400000001</v>
      </c>
      <c r="CX91" s="197"/>
      <c r="CY91" s="197">
        <f t="shared" si="243"/>
        <v>637.73333400000001</v>
      </c>
      <c r="CZ91" s="197">
        <f t="shared" si="208"/>
        <v>499.76666599999999</v>
      </c>
      <c r="DA91" s="197">
        <f t="shared" si="209"/>
        <v>829.76666599999999</v>
      </c>
      <c r="DB91" s="196">
        <f t="shared" si="244"/>
        <v>1137.5</v>
      </c>
      <c r="DC91" s="197">
        <f t="shared" si="245"/>
        <v>330</v>
      </c>
      <c r="DD91" s="197">
        <f t="shared" si="246"/>
        <v>637.73333400000001</v>
      </c>
      <c r="DE91" s="197">
        <f t="shared" si="247"/>
        <v>499.76666599999999</v>
      </c>
      <c r="DF91" s="199">
        <f t="shared" si="248"/>
        <v>829.76666599999999</v>
      </c>
      <c r="DG91" s="196">
        <f t="shared" si="264"/>
        <v>2275</v>
      </c>
      <c r="DH91" s="197">
        <f t="shared" si="249"/>
        <v>1320</v>
      </c>
      <c r="DI91" s="197">
        <f t="shared" si="249"/>
        <v>3383.7780019999996</v>
      </c>
      <c r="DJ91" s="197">
        <f t="shared" si="249"/>
        <v>-1108.778002</v>
      </c>
      <c r="DK91" s="199">
        <f t="shared" si="249"/>
        <v>211.22199799999999</v>
      </c>
    </row>
    <row r="92" spans="2:115" x14ac:dyDescent="0.3">
      <c r="B92" s="204">
        <f t="shared" si="250"/>
        <v>5</v>
      </c>
      <c r="C92" s="759">
        <f>'Energy NPV'!$D17</f>
        <v>0</v>
      </c>
      <c r="D92" s="197">
        <f>'Energy margins'!$E$12</f>
        <v>43.75</v>
      </c>
      <c r="E92" s="197">
        <f t="shared" si="251"/>
        <v>0</v>
      </c>
      <c r="F92" s="197">
        <f>'Margins summary'!$Q$14</f>
        <v>330</v>
      </c>
      <c r="G92" s="197">
        <f t="shared" si="210"/>
        <v>330</v>
      </c>
      <c r="H92" s="197"/>
      <c r="I92" s="922">
        <f>'Energy NPV'!$U17</f>
        <v>0</v>
      </c>
      <c r="J92" s="197"/>
      <c r="K92" s="197">
        <f t="shared" si="211"/>
        <v>0</v>
      </c>
      <c r="L92" s="197">
        <f t="shared" si="200"/>
        <v>0</v>
      </c>
      <c r="M92" s="197">
        <f t="shared" si="201"/>
        <v>330</v>
      </c>
      <c r="N92" s="196">
        <f t="shared" si="212"/>
        <v>0</v>
      </c>
      <c r="O92" s="197">
        <f t="shared" si="213"/>
        <v>293.20072581217738</v>
      </c>
      <c r="P92" s="197">
        <f t="shared" si="214"/>
        <v>0</v>
      </c>
      <c r="Q92" s="197">
        <f t="shared" si="215"/>
        <v>0</v>
      </c>
      <c r="R92" s="199">
        <f t="shared" si="216"/>
        <v>293.20072581217738</v>
      </c>
      <c r="S92" s="196">
        <f t="shared" si="252"/>
        <v>2145.3425695530541</v>
      </c>
      <c r="T92" s="197">
        <f t="shared" si="217"/>
        <v>1556.642472927422</v>
      </c>
      <c r="U92" s="197">
        <f t="shared" si="217"/>
        <v>3301.5212788760755</v>
      </c>
      <c r="V92" s="197">
        <f t="shared" si="217"/>
        <v>-1156.1787093230223</v>
      </c>
      <c r="W92" s="199">
        <f t="shared" si="217"/>
        <v>400.46376360439996</v>
      </c>
      <c r="Y92" s="204">
        <f t="shared" si="253"/>
        <v>5</v>
      </c>
      <c r="Z92" s="759">
        <f>'Energy NPV'!$D17</f>
        <v>0</v>
      </c>
      <c r="AA92" s="197">
        <f>'Energy margins'!$E$12</f>
        <v>43.75</v>
      </c>
      <c r="AB92" s="197">
        <f t="shared" si="254"/>
        <v>0</v>
      </c>
      <c r="AC92" s="197">
        <f>'Margins summary'!$Q$14</f>
        <v>330</v>
      </c>
      <c r="AD92" s="197">
        <f t="shared" si="218"/>
        <v>330</v>
      </c>
      <c r="AE92" s="197"/>
      <c r="AF92" s="918">
        <f>'Energy NPV'!$U17</f>
        <v>0</v>
      </c>
      <c r="AG92" s="197"/>
      <c r="AH92" s="197">
        <f t="shared" si="219"/>
        <v>0</v>
      </c>
      <c r="AI92" s="197">
        <f t="shared" si="202"/>
        <v>0</v>
      </c>
      <c r="AJ92" s="197">
        <f t="shared" si="203"/>
        <v>330</v>
      </c>
      <c r="AK92" s="196">
        <f t="shared" si="220"/>
        <v>0</v>
      </c>
      <c r="AL92" s="197">
        <f t="shared" si="221"/>
        <v>276.7252433857609</v>
      </c>
      <c r="AM92" s="197">
        <f t="shared" si="222"/>
        <v>0</v>
      </c>
      <c r="AN92" s="197">
        <f t="shared" si="223"/>
        <v>0</v>
      </c>
      <c r="AO92" s="199">
        <f t="shared" si="224"/>
        <v>276.7252433857609</v>
      </c>
      <c r="AP92" s="196">
        <f t="shared" si="255"/>
        <v>2085.3041335239427</v>
      </c>
      <c r="AQ92" s="197">
        <f t="shared" si="225"/>
        <v>1513.883480316427</v>
      </c>
      <c r="AR92" s="197">
        <f t="shared" si="225"/>
        <v>3263.3508423394192</v>
      </c>
      <c r="AS92" s="197">
        <f t="shared" si="225"/>
        <v>-1178.0467088154764</v>
      </c>
      <c r="AT92" s="199">
        <f t="shared" si="225"/>
        <v>335.83677150095048</v>
      </c>
      <c r="AV92" s="204">
        <f t="shared" si="256"/>
        <v>5</v>
      </c>
      <c r="AW92" s="759">
        <f>'Energy NPV'!$D17</f>
        <v>0</v>
      </c>
      <c r="AX92" s="197">
        <f>'Energy margins'!$E$12</f>
        <v>43.75</v>
      </c>
      <c r="AY92" s="197">
        <f t="shared" si="257"/>
        <v>0</v>
      </c>
      <c r="AZ92" s="197">
        <f>'Margins summary'!$Q$14</f>
        <v>330</v>
      </c>
      <c r="BA92" s="197">
        <f t="shared" si="226"/>
        <v>330</v>
      </c>
      <c r="BB92" s="197"/>
      <c r="BC92" s="918">
        <f>'Energy NPV'!$U17</f>
        <v>0</v>
      </c>
      <c r="BD92" s="197"/>
      <c r="BE92" s="197">
        <f t="shared" si="227"/>
        <v>0</v>
      </c>
      <c r="BF92" s="197">
        <f t="shared" si="204"/>
        <v>0</v>
      </c>
      <c r="BG92" s="197">
        <f t="shared" si="205"/>
        <v>330</v>
      </c>
      <c r="BH92" s="196">
        <f t="shared" si="228"/>
        <v>0</v>
      </c>
      <c r="BI92" s="197">
        <f t="shared" si="229"/>
        <v>310.92079599461908</v>
      </c>
      <c r="BJ92" s="197">
        <f t="shared" si="230"/>
        <v>0</v>
      </c>
      <c r="BK92" s="197">
        <f t="shared" si="231"/>
        <v>0</v>
      </c>
      <c r="BL92" s="199">
        <f t="shared" si="232"/>
        <v>310.92079599461908</v>
      </c>
      <c r="BM92" s="196">
        <f t="shared" si="258"/>
        <v>2208.5002355528304</v>
      </c>
      <c r="BN92" s="197">
        <f t="shared" si="233"/>
        <v>1601.9469336920733</v>
      </c>
      <c r="BO92" s="197">
        <f t="shared" si="233"/>
        <v>3341.6186599805151</v>
      </c>
      <c r="BP92" s="197">
        <f t="shared" si="233"/>
        <v>-1133.1184244276851</v>
      </c>
      <c r="BQ92" s="199">
        <f t="shared" si="233"/>
        <v>468.82850926438834</v>
      </c>
      <c r="BS92" s="204">
        <f t="shared" si="259"/>
        <v>5</v>
      </c>
      <c r="BT92" s="759">
        <f>'Energy NPV'!$D17</f>
        <v>0</v>
      </c>
      <c r="BU92" s="197">
        <f>'Energy margins'!$E$12</f>
        <v>43.75</v>
      </c>
      <c r="BV92" s="197">
        <f t="shared" si="260"/>
        <v>0</v>
      </c>
      <c r="BW92" s="197">
        <f>'Margins summary'!$Q$14</f>
        <v>330</v>
      </c>
      <c r="BX92" s="197">
        <f t="shared" si="234"/>
        <v>330</v>
      </c>
      <c r="BY92" s="197"/>
      <c r="BZ92" s="918">
        <f>'Energy NPV'!$U17</f>
        <v>0</v>
      </c>
      <c r="CA92" s="197"/>
      <c r="CB92" s="197">
        <f t="shared" si="235"/>
        <v>0</v>
      </c>
      <c r="CC92" s="197">
        <f t="shared" si="206"/>
        <v>0</v>
      </c>
      <c r="CD92" s="197">
        <f t="shared" si="207"/>
        <v>330</v>
      </c>
      <c r="CE92" s="196">
        <f t="shared" si="236"/>
        <v>0</v>
      </c>
      <c r="CF92" s="197">
        <f t="shared" si="237"/>
        <v>261.39090886854672</v>
      </c>
      <c r="CG92" s="197">
        <f t="shared" si="238"/>
        <v>0</v>
      </c>
      <c r="CH92" s="197">
        <f t="shared" si="239"/>
        <v>0</v>
      </c>
      <c r="CI92" s="199">
        <f t="shared" si="240"/>
        <v>261.39090886854672</v>
      </c>
      <c r="CJ92" s="196">
        <f t="shared" si="261"/>
        <v>2028.1801419964131</v>
      </c>
      <c r="CK92" s="197">
        <f t="shared" si="241"/>
        <v>1473.4848521908866</v>
      </c>
      <c r="CL92" s="197">
        <f t="shared" si="241"/>
        <v>3226.9831513680283</v>
      </c>
      <c r="CM92" s="197">
        <f t="shared" si="241"/>
        <v>-1198.8030093716156</v>
      </c>
      <c r="CN92" s="199">
        <f t="shared" si="241"/>
        <v>274.68184281927097</v>
      </c>
      <c r="CP92" s="204">
        <f t="shared" si="262"/>
        <v>5</v>
      </c>
      <c r="CQ92" s="759">
        <f>'Energy NPV'!$D17</f>
        <v>0</v>
      </c>
      <c r="CR92" s="197">
        <f>'Energy margins'!$E$12</f>
        <v>43.75</v>
      </c>
      <c r="CS92" s="197">
        <f t="shared" si="263"/>
        <v>0</v>
      </c>
      <c r="CT92" s="197">
        <f>'Margins summary'!$Q$14</f>
        <v>330</v>
      </c>
      <c r="CU92" s="197">
        <f t="shared" si="242"/>
        <v>330</v>
      </c>
      <c r="CV92" s="197"/>
      <c r="CW92" s="918">
        <f>'Energy NPV'!$U17</f>
        <v>0</v>
      </c>
      <c r="CX92" s="197"/>
      <c r="CY92" s="197">
        <f t="shared" si="243"/>
        <v>0</v>
      </c>
      <c r="CZ92" s="197">
        <f t="shared" si="208"/>
        <v>0</v>
      </c>
      <c r="DA92" s="197">
        <f t="shared" si="209"/>
        <v>330</v>
      </c>
      <c r="DB92" s="196">
        <f t="shared" si="244"/>
        <v>0</v>
      </c>
      <c r="DC92" s="197">
        <f t="shared" si="245"/>
        <v>330</v>
      </c>
      <c r="DD92" s="197">
        <f t="shared" si="246"/>
        <v>0</v>
      </c>
      <c r="DE92" s="197">
        <f t="shared" si="247"/>
        <v>0</v>
      </c>
      <c r="DF92" s="199">
        <f t="shared" si="248"/>
        <v>330</v>
      </c>
      <c r="DG92" s="196">
        <f t="shared" si="264"/>
        <v>2275</v>
      </c>
      <c r="DH92" s="197">
        <f t="shared" si="249"/>
        <v>1650</v>
      </c>
      <c r="DI92" s="197">
        <f t="shared" si="249"/>
        <v>3383.7780019999996</v>
      </c>
      <c r="DJ92" s="197">
        <f t="shared" si="249"/>
        <v>-1108.778002</v>
      </c>
      <c r="DK92" s="199">
        <f t="shared" si="249"/>
        <v>541.22199799999999</v>
      </c>
    </row>
    <row r="93" spans="2:115" x14ac:dyDescent="0.3">
      <c r="B93" s="204">
        <f t="shared" si="250"/>
        <v>6</v>
      </c>
      <c r="C93" s="759">
        <f>'Energy NPV'!$D18</f>
        <v>26</v>
      </c>
      <c r="D93" s="197">
        <f>'Energy margins'!$E$12</f>
        <v>43.75</v>
      </c>
      <c r="E93" s="197">
        <f t="shared" si="251"/>
        <v>1137.5</v>
      </c>
      <c r="F93" s="197">
        <f>'Margins summary'!$Q$14</f>
        <v>330</v>
      </c>
      <c r="G93" s="197">
        <f t="shared" si="210"/>
        <v>1467.5</v>
      </c>
      <c r="H93" s="197"/>
      <c r="I93" s="922">
        <f>'Energy NPV'!$U18</f>
        <v>637.73333400000001</v>
      </c>
      <c r="J93" s="197"/>
      <c r="K93" s="197">
        <f t="shared" si="211"/>
        <v>637.73333400000001</v>
      </c>
      <c r="L93" s="197">
        <f t="shared" si="200"/>
        <v>499.76666599999999</v>
      </c>
      <c r="M93" s="197">
        <f t="shared" si="201"/>
        <v>829.76666599999999</v>
      </c>
      <c r="N93" s="196">
        <f t="shared" si="212"/>
        <v>981.21749223698669</v>
      </c>
      <c r="O93" s="197">
        <f t="shared" si="213"/>
        <v>284.66089884677416</v>
      </c>
      <c r="P93" s="197">
        <f t="shared" si="214"/>
        <v>550.11437600300007</v>
      </c>
      <c r="Q93" s="197">
        <f t="shared" si="215"/>
        <v>431.10311623398655</v>
      </c>
      <c r="R93" s="199">
        <f t="shared" si="216"/>
        <v>715.76401508076071</v>
      </c>
      <c r="S93" s="196">
        <f t="shared" si="252"/>
        <v>3126.5600617900409</v>
      </c>
      <c r="T93" s="197">
        <f t="shared" si="217"/>
        <v>1841.3033717741962</v>
      </c>
      <c r="U93" s="197">
        <f t="shared" si="217"/>
        <v>3851.6356548790754</v>
      </c>
      <c r="V93" s="197">
        <f t="shared" si="217"/>
        <v>-725.07559308903569</v>
      </c>
      <c r="W93" s="199">
        <f t="shared" si="217"/>
        <v>1116.2277786851607</v>
      </c>
      <c r="Y93" s="204">
        <f t="shared" si="253"/>
        <v>6</v>
      </c>
      <c r="Z93" s="759">
        <f>'Energy NPV'!$D18</f>
        <v>26</v>
      </c>
      <c r="AA93" s="197">
        <f>'Energy margins'!$E$12</f>
        <v>43.75</v>
      </c>
      <c r="AB93" s="197">
        <f t="shared" si="254"/>
        <v>1137.5</v>
      </c>
      <c r="AC93" s="197">
        <f>'Margins summary'!$Q$14</f>
        <v>330</v>
      </c>
      <c r="AD93" s="197">
        <f t="shared" si="218"/>
        <v>1467.5</v>
      </c>
      <c r="AE93" s="197"/>
      <c r="AF93" s="918">
        <f>'Energy NPV'!$U18</f>
        <v>637.73333400000001</v>
      </c>
      <c r="AG93" s="197"/>
      <c r="AH93" s="197">
        <f t="shared" si="219"/>
        <v>637.73333400000001</v>
      </c>
      <c r="AI93" s="197">
        <f t="shared" si="202"/>
        <v>499.76666599999999</v>
      </c>
      <c r="AJ93" s="197">
        <f t="shared" si="203"/>
        <v>829.76666599999999</v>
      </c>
      <c r="AK93" s="196">
        <f t="shared" si="220"/>
        <v>912.78806539452819</v>
      </c>
      <c r="AL93" s="197">
        <f t="shared" si="221"/>
        <v>264.80884534522573</v>
      </c>
      <c r="AM93" s="197">
        <f t="shared" si="222"/>
        <v>511.7497812566703</v>
      </c>
      <c r="AN93" s="197">
        <f t="shared" si="223"/>
        <v>401.03828413785783</v>
      </c>
      <c r="AO93" s="199">
        <f t="shared" si="224"/>
        <v>665.84712948308356</v>
      </c>
      <c r="AP93" s="196">
        <f t="shared" si="255"/>
        <v>2998.0921989184708</v>
      </c>
      <c r="AQ93" s="197">
        <f t="shared" si="225"/>
        <v>1778.6923256616528</v>
      </c>
      <c r="AR93" s="197">
        <f t="shared" si="225"/>
        <v>3775.1006235960895</v>
      </c>
      <c r="AS93" s="197">
        <f t="shared" si="225"/>
        <v>-777.00842467761868</v>
      </c>
      <c r="AT93" s="199">
        <f t="shared" si="225"/>
        <v>1001.683900984034</v>
      </c>
      <c r="AV93" s="204">
        <f t="shared" si="256"/>
        <v>6</v>
      </c>
      <c r="AW93" s="759">
        <f>'Energy NPV'!$D18</f>
        <v>26</v>
      </c>
      <c r="AX93" s="197">
        <f>'Energy margins'!$E$12</f>
        <v>43.75</v>
      </c>
      <c r="AY93" s="197">
        <f t="shared" si="257"/>
        <v>1137.5</v>
      </c>
      <c r="AZ93" s="197">
        <f>'Margins summary'!$Q$14</f>
        <v>330</v>
      </c>
      <c r="BA93" s="197">
        <f t="shared" si="226"/>
        <v>1467.5</v>
      </c>
      <c r="BB93" s="197"/>
      <c r="BC93" s="918">
        <f>'Energy NPV'!$U18</f>
        <v>637.73333400000001</v>
      </c>
      <c r="BD93" s="197"/>
      <c r="BE93" s="197">
        <f t="shared" si="227"/>
        <v>637.73333400000001</v>
      </c>
      <c r="BF93" s="197">
        <f t="shared" si="204"/>
        <v>499.76666599999999</v>
      </c>
      <c r="BG93" s="197">
        <f t="shared" si="205"/>
        <v>829.76666599999999</v>
      </c>
      <c r="BH93" s="196">
        <f t="shared" si="228"/>
        <v>1055.8961201489155</v>
      </c>
      <c r="BI93" s="197">
        <f t="shared" si="229"/>
        <v>306.32590738386119</v>
      </c>
      <c r="BJ93" s="197">
        <f t="shared" si="230"/>
        <v>591.98255214086373</v>
      </c>
      <c r="BK93" s="197">
        <f t="shared" si="231"/>
        <v>463.91356800805175</v>
      </c>
      <c r="BL93" s="199">
        <f t="shared" si="232"/>
        <v>770.23947539191295</v>
      </c>
      <c r="BM93" s="196">
        <f t="shared" si="258"/>
        <v>3264.396355701746</v>
      </c>
      <c r="BN93" s="197">
        <f t="shared" si="233"/>
        <v>1908.2728410759346</v>
      </c>
      <c r="BO93" s="197">
        <f t="shared" si="233"/>
        <v>3933.6012121213789</v>
      </c>
      <c r="BP93" s="197">
        <f t="shared" si="233"/>
        <v>-669.20485641963342</v>
      </c>
      <c r="BQ93" s="199">
        <f t="shared" si="233"/>
        <v>1239.0679846563012</v>
      </c>
      <c r="BS93" s="204">
        <f t="shared" si="259"/>
        <v>6</v>
      </c>
      <c r="BT93" s="759">
        <f>'Energy NPV'!$D18</f>
        <v>26</v>
      </c>
      <c r="BU93" s="197">
        <f>'Energy margins'!$E$12</f>
        <v>43.75</v>
      </c>
      <c r="BV93" s="197">
        <f t="shared" si="260"/>
        <v>1137.5</v>
      </c>
      <c r="BW93" s="197">
        <f>'Margins summary'!$Q$14</f>
        <v>330</v>
      </c>
      <c r="BX93" s="197">
        <f t="shared" si="234"/>
        <v>1467.5</v>
      </c>
      <c r="BY93" s="197"/>
      <c r="BZ93" s="918">
        <f>'Energy NPV'!$U18</f>
        <v>637.73333400000001</v>
      </c>
      <c r="CA93" s="197"/>
      <c r="CB93" s="197">
        <f t="shared" si="235"/>
        <v>637.73333400000001</v>
      </c>
      <c r="CC93" s="197">
        <f t="shared" si="206"/>
        <v>499.76666599999999</v>
      </c>
      <c r="CD93" s="197">
        <f t="shared" si="207"/>
        <v>829.76666599999999</v>
      </c>
      <c r="CE93" s="196">
        <f t="shared" si="236"/>
        <v>850.00617163513971</v>
      </c>
      <c r="CF93" s="197">
        <f t="shared" si="237"/>
        <v>246.59519704579878</v>
      </c>
      <c r="CG93" s="197">
        <f t="shared" si="238"/>
        <v>476.55144594061881</v>
      </c>
      <c r="CH93" s="197">
        <f t="shared" si="239"/>
        <v>373.4547256945209</v>
      </c>
      <c r="CI93" s="199">
        <f t="shared" si="240"/>
        <v>620.04992274031963</v>
      </c>
      <c r="CJ93" s="196">
        <f t="shared" si="261"/>
        <v>2878.1863136315528</v>
      </c>
      <c r="CK93" s="197">
        <f t="shared" si="241"/>
        <v>1720.0800492366855</v>
      </c>
      <c r="CL93" s="197">
        <f t="shared" si="241"/>
        <v>3703.5345973086469</v>
      </c>
      <c r="CM93" s="197">
        <f t="shared" si="241"/>
        <v>-825.34828367709474</v>
      </c>
      <c r="CN93" s="199">
        <f t="shared" si="241"/>
        <v>894.7317655595906</v>
      </c>
      <c r="CP93" s="204">
        <f t="shared" si="262"/>
        <v>6</v>
      </c>
      <c r="CQ93" s="759">
        <f>'Energy NPV'!$D18</f>
        <v>26</v>
      </c>
      <c r="CR93" s="197">
        <f>'Energy margins'!$E$12</f>
        <v>43.75</v>
      </c>
      <c r="CS93" s="197">
        <f t="shared" si="263"/>
        <v>1137.5</v>
      </c>
      <c r="CT93" s="197">
        <f>'Margins summary'!$Q$14</f>
        <v>330</v>
      </c>
      <c r="CU93" s="197">
        <f t="shared" si="242"/>
        <v>1467.5</v>
      </c>
      <c r="CV93" s="197"/>
      <c r="CW93" s="918">
        <f>'Energy NPV'!$U18</f>
        <v>637.73333400000001</v>
      </c>
      <c r="CX93" s="197"/>
      <c r="CY93" s="197">
        <f t="shared" si="243"/>
        <v>637.73333400000001</v>
      </c>
      <c r="CZ93" s="197">
        <f t="shared" si="208"/>
        <v>499.76666599999999</v>
      </c>
      <c r="DA93" s="197">
        <f t="shared" si="209"/>
        <v>829.76666599999999</v>
      </c>
      <c r="DB93" s="196">
        <f t="shared" si="244"/>
        <v>1137.5</v>
      </c>
      <c r="DC93" s="197">
        <f t="shared" si="245"/>
        <v>330</v>
      </c>
      <c r="DD93" s="197">
        <f t="shared" si="246"/>
        <v>637.73333400000001</v>
      </c>
      <c r="DE93" s="197">
        <f t="shared" si="247"/>
        <v>499.76666599999999</v>
      </c>
      <c r="DF93" s="199">
        <f t="shared" si="248"/>
        <v>829.76666599999999</v>
      </c>
      <c r="DG93" s="196">
        <f t="shared" si="264"/>
        <v>3412.5</v>
      </c>
      <c r="DH93" s="197">
        <f t="shared" si="249"/>
        <v>1980</v>
      </c>
      <c r="DI93" s="197">
        <f t="shared" si="249"/>
        <v>4021.5113359999996</v>
      </c>
      <c r="DJ93" s="197">
        <f t="shared" si="249"/>
        <v>-609.01133600000003</v>
      </c>
      <c r="DK93" s="199">
        <f t="shared" si="249"/>
        <v>1370.988664</v>
      </c>
    </row>
    <row r="94" spans="2:115" x14ac:dyDescent="0.3">
      <c r="B94" s="204">
        <f t="shared" si="250"/>
        <v>7</v>
      </c>
      <c r="C94" s="759">
        <f>'Energy NPV'!$D19</f>
        <v>0</v>
      </c>
      <c r="D94" s="197">
        <f>'Energy margins'!$E$12</f>
        <v>43.75</v>
      </c>
      <c r="E94" s="197">
        <f t="shared" si="251"/>
        <v>0</v>
      </c>
      <c r="F94" s="197">
        <f>'Margins summary'!$Q$14</f>
        <v>330</v>
      </c>
      <c r="G94" s="197">
        <f t="shared" si="210"/>
        <v>330</v>
      </c>
      <c r="H94" s="197"/>
      <c r="I94" s="922">
        <f>'Energy NPV'!$U19</f>
        <v>0</v>
      </c>
      <c r="J94" s="197"/>
      <c r="K94" s="197">
        <f t="shared" si="211"/>
        <v>0</v>
      </c>
      <c r="L94" s="197">
        <f t="shared" si="200"/>
        <v>0</v>
      </c>
      <c r="M94" s="197">
        <f t="shared" si="201"/>
        <v>330</v>
      </c>
      <c r="N94" s="196">
        <f t="shared" si="212"/>
        <v>0</v>
      </c>
      <c r="O94" s="197">
        <f t="shared" si="213"/>
        <v>276.36980470560593</v>
      </c>
      <c r="P94" s="197">
        <f t="shared" si="214"/>
        <v>0</v>
      </c>
      <c r="Q94" s="197">
        <f t="shared" si="215"/>
        <v>0</v>
      </c>
      <c r="R94" s="199">
        <f t="shared" si="216"/>
        <v>276.36980470560593</v>
      </c>
      <c r="S94" s="196">
        <f t="shared" si="252"/>
        <v>3126.5600617900409</v>
      </c>
      <c r="T94" s="197">
        <f t="shared" si="217"/>
        <v>2117.6731764798024</v>
      </c>
      <c r="U94" s="197">
        <f t="shared" si="217"/>
        <v>3851.6356548790754</v>
      </c>
      <c r="V94" s="197">
        <f t="shared" si="217"/>
        <v>-725.07559308903569</v>
      </c>
      <c r="W94" s="199">
        <f t="shared" si="217"/>
        <v>1392.5975833907667</v>
      </c>
      <c r="Y94" s="204">
        <f t="shared" si="253"/>
        <v>7</v>
      </c>
      <c r="Z94" s="759">
        <f>'Energy NPV'!$D19</f>
        <v>0</v>
      </c>
      <c r="AA94" s="197">
        <f>'Energy margins'!$E$12</f>
        <v>43.75</v>
      </c>
      <c r="AB94" s="197">
        <f t="shared" si="254"/>
        <v>0</v>
      </c>
      <c r="AC94" s="197">
        <f>'Margins summary'!$Q$14</f>
        <v>330</v>
      </c>
      <c r="AD94" s="197">
        <f t="shared" si="218"/>
        <v>330</v>
      </c>
      <c r="AE94" s="197"/>
      <c r="AF94" s="918">
        <f>'Energy NPV'!$U19</f>
        <v>0</v>
      </c>
      <c r="AG94" s="197"/>
      <c r="AH94" s="197">
        <f t="shared" si="219"/>
        <v>0</v>
      </c>
      <c r="AI94" s="197">
        <f t="shared" si="202"/>
        <v>0</v>
      </c>
      <c r="AJ94" s="197">
        <f t="shared" si="203"/>
        <v>330</v>
      </c>
      <c r="AK94" s="196">
        <f t="shared" si="220"/>
        <v>0</v>
      </c>
      <c r="AL94" s="197">
        <f t="shared" si="221"/>
        <v>253.40559363179506</v>
      </c>
      <c r="AM94" s="197">
        <f t="shared" si="222"/>
        <v>0</v>
      </c>
      <c r="AN94" s="197">
        <f t="shared" si="223"/>
        <v>0</v>
      </c>
      <c r="AO94" s="199">
        <f t="shared" si="224"/>
        <v>253.40559363179506</v>
      </c>
      <c r="AP94" s="196">
        <f t="shared" si="255"/>
        <v>2998.0921989184708</v>
      </c>
      <c r="AQ94" s="197">
        <f t="shared" si="225"/>
        <v>2032.0979192934478</v>
      </c>
      <c r="AR94" s="197">
        <f t="shared" si="225"/>
        <v>3775.1006235960895</v>
      </c>
      <c r="AS94" s="197">
        <f t="shared" si="225"/>
        <v>-777.00842467761868</v>
      </c>
      <c r="AT94" s="199">
        <f t="shared" si="225"/>
        <v>1255.0894946158292</v>
      </c>
      <c r="AV94" s="204">
        <f t="shared" si="256"/>
        <v>7</v>
      </c>
      <c r="AW94" s="759">
        <f>'Energy NPV'!$D19</f>
        <v>0</v>
      </c>
      <c r="AX94" s="197">
        <f>'Energy margins'!$E$12</f>
        <v>43.75</v>
      </c>
      <c r="AY94" s="197">
        <f t="shared" si="257"/>
        <v>0</v>
      </c>
      <c r="AZ94" s="197">
        <f>'Margins summary'!$Q$14</f>
        <v>330</v>
      </c>
      <c r="BA94" s="197">
        <f t="shared" si="226"/>
        <v>330</v>
      </c>
      <c r="BB94" s="197"/>
      <c r="BC94" s="918">
        <f>'Energy NPV'!$U19</f>
        <v>0</v>
      </c>
      <c r="BD94" s="197"/>
      <c r="BE94" s="197">
        <f t="shared" si="227"/>
        <v>0</v>
      </c>
      <c r="BF94" s="197">
        <f t="shared" si="204"/>
        <v>0</v>
      </c>
      <c r="BG94" s="197">
        <f t="shared" si="205"/>
        <v>330</v>
      </c>
      <c r="BH94" s="196">
        <f t="shared" si="228"/>
        <v>0</v>
      </c>
      <c r="BI94" s="197">
        <f t="shared" si="229"/>
        <v>301.79892353089781</v>
      </c>
      <c r="BJ94" s="197">
        <f t="shared" si="230"/>
        <v>0</v>
      </c>
      <c r="BK94" s="197">
        <f t="shared" si="231"/>
        <v>0</v>
      </c>
      <c r="BL94" s="199">
        <f t="shared" si="232"/>
        <v>301.79892353089781</v>
      </c>
      <c r="BM94" s="196">
        <f t="shared" si="258"/>
        <v>3264.396355701746</v>
      </c>
      <c r="BN94" s="197">
        <f t="shared" si="233"/>
        <v>2210.0717646068324</v>
      </c>
      <c r="BO94" s="197">
        <f t="shared" si="233"/>
        <v>3933.6012121213789</v>
      </c>
      <c r="BP94" s="197">
        <f t="shared" si="233"/>
        <v>-669.20485641963342</v>
      </c>
      <c r="BQ94" s="199">
        <f t="shared" si="233"/>
        <v>1540.866908187199</v>
      </c>
      <c r="BS94" s="204">
        <f t="shared" si="259"/>
        <v>7</v>
      </c>
      <c r="BT94" s="759">
        <f>'Energy NPV'!$D19</f>
        <v>0</v>
      </c>
      <c r="BU94" s="197">
        <f>'Energy margins'!$E$12</f>
        <v>43.75</v>
      </c>
      <c r="BV94" s="197">
        <f t="shared" si="260"/>
        <v>0</v>
      </c>
      <c r="BW94" s="197">
        <f>'Margins summary'!$Q$14</f>
        <v>330</v>
      </c>
      <c r="BX94" s="197">
        <f t="shared" si="234"/>
        <v>330</v>
      </c>
      <c r="BY94" s="197"/>
      <c r="BZ94" s="918">
        <f>'Energy NPV'!$U19</f>
        <v>0</v>
      </c>
      <c r="CA94" s="197"/>
      <c r="CB94" s="197">
        <f t="shared" si="235"/>
        <v>0</v>
      </c>
      <c r="CC94" s="197">
        <f t="shared" si="206"/>
        <v>0</v>
      </c>
      <c r="CD94" s="197">
        <f t="shared" si="207"/>
        <v>330</v>
      </c>
      <c r="CE94" s="196">
        <f t="shared" si="236"/>
        <v>0</v>
      </c>
      <c r="CF94" s="197">
        <f t="shared" si="237"/>
        <v>232.63697834509318</v>
      </c>
      <c r="CG94" s="197">
        <f t="shared" si="238"/>
        <v>0</v>
      </c>
      <c r="CH94" s="197">
        <f t="shared" si="239"/>
        <v>0</v>
      </c>
      <c r="CI94" s="199">
        <f t="shared" si="240"/>
        <v>232.63697834509318</v>
      </c>
      <c r="CJ94" s="196">
        <f t="shared" si="261"/>
        <v>2878.1863136315528</v>
      </c>
      <c r="CK94" s="197">
        <f t="shared" si="241"/>
        <v>1952.7170275817787</v>
      </c>
      <c r="CL94" s="197">
        <f t="shared" si="241"/>
        <v>3703.5345973086469</v>
      </c>
      <c r="CM94" s="197">
        <f t="shared" si="241"/>
        <v>-825.34828367709474</v>
      </c>
      <c r="CN94" s="199">
        <f t="shared" si="241"/>
        <v>1127.3687439046837</v>
      </c>
      <c r="CP94" s="204">
        <f t="shared" si="262"/>
        <v>7</v>
      </c>
      <c r="CQ94" s="759">
        <f>'Energy NPV'!$D19</f>
        <v>0</v>
      </c>
      <c r="CR94" s="197">
        <f>'Energy margins'!$E$12</f>
        <v>43.75</v>
      </c>
      <c r="CS94" s="197">
        <f t="shared" si="263"/>
        <v>0</v>
      </c>
      <c r="CT94" s="197">
        <f>'Margins summary'!$Q$14</f>
        <v>330</v>
      </c>
      <c r="CU94" s="197">
        <f t="shared" si="242"/>
        <v>330</v>
      </c>
      <c r="CV94" s="197"/>
      <c r="CW94" s="918">
        <f>'Energy NPV'!$U19</f>
        <v>0</v>
      </c>
      <c r="CX94" s="197"/>
      <c r="CY94" s="197">
        <f t="shared" si="243"/>
        <v>0</v>
      </c>
      <c r="CZ94" s="197">
        <f t="shared" si="208"/>
        <v>0</v>
      </c>
      <c r="DA94" s="197">
        <f t="shared" si="209"/>
        <v>330</v>
      </c>
      <c r="DB94" s="196">
        <f t="shared" si="244"/>
        <v>0</v>
      </c>
      <c r="DC94" s="197">
        <f t="shared" si="245"/>
        <v>330</v>
      </c>
      <c r="DD94" s="197">
        <f t="shared" si="246"/>
        <v>0</v>
      </c>
      <c r="DE94" s="197">
        <f t="shared" si="247"/>
        <v>0</v>
      </c>
      <c r="DF94" s="199">
        <f t="shared" si="248"/>
        <v>330</v>
      </c>
      <c r="DG94" s="196">
        <f t="shared" si="264"/>
        <v>3412.5</v>
      </c>
      <c r="DH94" s="197">
        <f t="shared" si="249"/>
        <v>2310</v>
      </c>
      <c r="DI94" s="197">
        <f t="shared" si="249"/>
        <v>4021.5113359999996</v>
      </c>
      <c r="DJ94" s="197">
        <f t="shared" si="249"/>
        <v>-609.01133600000003</v>
      </c>
      <c r="DK94" s="199">
        <f t="shared" si="249"/>
        <v>1700.988664</v>
      </c>
    </row>
    <row r="95" spans="2:115" x14ac:dyDescent="0.3">
      <c r="B95" s="204">
        <f t="shared" si="250"/>
        <v>8</v>
      </c>
      <c r="C95" s="759">
        <f>'Energy NPV'!$D20</f>
        <v>26</v>
      </c>
      <c r="D95" s="197">
        <f>'Energy margins'!$E$12</f>
        <v>43.75</v>
      </c>
      <c r="E95" s="197">
        <f t="shared" si="251"/>
        <v>1137.5</v>
      </c>
      <c r="F95" s="197">
        <f>'Margins summary'!$Q$14</f>
        <v>330</v>
      </c>
      <c r="G95" s="197">
        <f t="shared" si="210"/>
        <v>1467.5</v>
      </c>
      <c r="H95" s="197"/>
      <c r="I95" s="922">
        <f>'Energy NPV'!$U20</f>
        <v>637.73333400000001</v>
      </c>
      <c r="J95" s="197"/>
      <c r="K95" s="197">
        <f t="shared" si="211"/>
        <v>637.73333400000001</v>
      </c>
      <c r="L95" s="197">
        <f t="shared" si="200"/>
        <v>499.76666599999999</v>
      </c>
      <c r="M95" s="197">
        <f t="shared" si="201"/>
        <v>829.76666599999999</v>
      </c>
      <c r="N95" s="196">
        <f t="shared" si="212"/>
        <v>924.89159415306494</v>
      </c>
      <c r="O95" s="197">
        <f t="shared" si="213"/>
        <v>268.32019874330672</v>
      </c>
      <c r="P95" s="197">
        <f t="shared" si="214"/>
        <v>518.53556037609587</v>
      </c>
      <c r="Q95" s="197">
        <f t="shared" si="215"/>
        <v>406.35603377696907</v>
      </c>
      <c r="R95" s="199">
        <f t="shared" si="216"/>
        <v>674.67623252027579</v>
      </c>
      <c r="S95" s="196">
        <f t="shared" si="252"/>
        <v>4051.4516559431058</v>
      </c>
      <c r="T95" s="197">
        <f t="shared" si="217"/>
        <v>2385.9933752231091</v>
      </c>
      <c r="U95" s="197">
        <f t="shared" si="217"/>
        <v>4370.1712152551718</v>
      </c>
      <c r="V95" s="197">
        <f t="shared" si="217"/>
        <v>-318.71955931206662</v>
      </c>
      <c r="W95" s="199">
        <f t="shared" si="217"/>
        <v>2067.2738159110422</v>
      </c>
      <c r="Y95" s="204">
        <f t="shared" si="253"/>
        <v>8</v>
      </c>
      <c r="Z95" s="759">
        <f>'Energy NPV'!$D20</f>
        <v>26</v>
      </c>
      <c r="AA95" s="197">
        <f>'Energy margins'!$E$12</f>
        <v>43.75</v>
      </c>
      <c r="AB95" s="197">
        <f t="shared" si="254"/>
        <v>1137.5</v>
      </c>
      <c r="AC95" s="197">
        <f>'Margins summary'!$Q$14</f>
        <v>330</v>
      </c>
      <c r="AD95" s="197">
        <f t="shared" si="218"/>
        <v>1467.5</v>
      </c>
      <c r="AE95" s="197"/>
      <c r="AF95" s="918">
        <f>'Energy NPV'!$U20</f>
        <v>637.73333400000001</v>
      </c>
      <c r="AG95" s="197"/>
      <c r="AH95" s="197">
        <f t="shared" si="219"/>
        <v>637.73333400000001</v>
      </c>
      <c r="AI95" s="197">
        <f t="shared" si="202"/>
        <v>499.76666599999999</v>
      </c>
      <c r="AJ95" s="197">
        <f t="shared" si="203"/>
        <v>829.76666599999999</v>
      </c>
      <c r="AK95" s="196">
        <f t="shared" si="220"/>
        <v>835.86737061379392</v>
      </c>
      <c r="AL95" s="197">
        <f t="shared" si="221"/>
        <v>242.49339103521055</v>
      </c>
      <c r="AM95" s="197">
        <f t="shared" si="222"/>
        <v>468.62460223591074</v>
      </c>
      <c r="AN95" s="197">
        <f t="shared" si="223"/>
        <v>367.24276837788324</v>
      </c>
      <c r="AO95" s="199">
        <f t="shared" si="224"/>
        <v>609.73615941309379</v>
      </c>
      <c r="AP95" s="196">
        <f t="shared" si="255"/>
        <v>3833.9595695322646</v>
      </c>
      <c r="AQ95" s="197">
        <f t="shared" si="225"/>
        <v>2274.5913103286584</v>
      </c>
      <c r="AR95" s="197">
        <f t="shared" si="225"/>
        <v>4243.7252258320004</v>
      </c>
      <c r="AS95" s="197">
        <f t="shared" si="225"/>
        <v>-409.76565629973544</v>
      </c>
      <c r="AT95" s="199">
        <f t="shared" si="225"/>
        <v>1864.8256540289231</v>
      </c>
      <c r="AV95" s="204">
        <f t="shared" si="256"/>
        <v>8</v>
      </c>
      <c r="AW95" s="759">
        <f>'Energy NPV'!$D20</f>
        <v>26</v>
      </c>
      <c r="AX95" s="197">
        <f>'Energy margins'!$E$12</f>
        <v>43.75</v>
      </c>
      <c r="AY95" s="197">
        <f t="shared" si="257"/>
        <v>1137.5</v>
      </c>
      <c r="AZ95" s="197">
        <f>'Margins summary'!$Q$14</f>
        <v>330</v>
      </c>
      <c r="BA95" s="197">
        <f t="shared" si="226"/>
        <v>1467.5</v>
      </c>
      <c r="BB95" s="197"/>
      <c r="BC95" s="918">
        <f>'Energy NPV'!$U20</f>
        <v>637.73333400000001</v>
      </c>
      <c r="BD95" s="197"/>
      <c r="BE95" s="197">
        <f t="shared" si="227"/>
        <v>637.73333400000001</v>
      </c>
      <c r="BF95" s="197">
        <f t="shared" si="204"/>
        <v>499.76666599999999</v>
      </c>
      <c r="BG95" s="197">
        <f t="shared" si="205"/>
        <v>829.76666599999999</v>
      </c>
      <c r="BH95" s="196">
        <f t="shared" si="228"/>
        <v>1024.9179743734776</v>
      </c>
      <c r="BI95" s="197">
        <f t="shared" si="229"/>
        <v>297.33884091714071</v>
      </c>
      <c r="BJ95" s="197">
        <f t="shared" si="230"/>
        <v>574.61481922964776</v>
      </c>
      <c r="BK95" s="197">
        <f t="shared" si="231"/>
        <v>450.30315514382971</v>
      </c>
      <c r="BL95" s="199">
        <f t="shared" si="232"/>
        <v>747.64199606097043</v>
      </c>
      <c r="BM95" s="196">
        <f t="shared" si="258"/>
        <v>4289.3143300752236</v>
      </c>
      <c r="BN95" s="197">
        <f t="shared" si="233"/>
        <v>2507.4106055239731</v>
      </c>
      <c r="BO95" s="197">
        <f t="shared" si="233"/>
        <v>4508.2160313510267</v>
      </c>
      <c r="BP95" s="197">
        <f t="shared" si="233"/>
        <v>-218.9017012758037</v>
      </c>
      <c r="BQ95" s="199">
        <f t="shared" si="233"/>
        <v>2288.5089042481695</v>
      </c>
      <c r="BS95" s="204">
        <f t="shared" si="259"/>
        <v>8</v>
      </c>
      <c r="BT95" s="759">
        <f>'Energy NPV'!$D20</f>
        <v>26</v>
      </c>
      <c r="BU95" s="197">
        <f>'Energy margins'!$E$12</f>
        <v>43.75</v>
      </c>
      <c r="BV95" s="197">
        <f t="shared" si="260"/>
        <v>1137.5</v>
      </c>
      <c r="BW95" s="197">
        <f>'Margins summary'!$Q$14</f>
        <v>330</v>
      </c>
      <c r="BX95" s="197">
        <f t="shared" si="234"/>
        <v>1467.5</v>
      </c>
      <c r="BY95" s="197"/>
      <c r="BZ95" s="918">
        <f>'Energy NPV'!$U20</f>
        <v>637.73333400000001</v>
      </c>
      <c r="CA95" s="197"/>
      <c r="CB95" s="197">
        <f t="shared" si="235"/>
        <v>637.73333400000001</v>
      </c>
      <c r="CC95" s="197">
        <f t="shared" si="206"/>
        <v>499.76666599999999</v>
      </c>
      <c r="CD95" s="197">
        <f t="shared" si="207"/>
        <v>829.76666599999999</v>
      </c>
      <c r="CE95" s="196">
        <f t="shared" si="236"/>
        <v>756.50246674540722</v>
      </c>
      <c r="CF95" s="197">
        <f t="shared" si="237"/>
        <v>219.46884749537088</v>
      </c>
      <c r="CG95" s="197">
        <f t="shared" si="238"/>
        <v>424.12909037078919</v>
      </c>
      <c r="CH95" s="197">
        <f t="shared" si="239"/>
        <v>332.37337637461803</v>
      </c>
      <c r="CI95" s="199">
        <f t="shared" si="240"/>
        <v>551.84222386998897</v>
      </c>
      <c r="CJ95" s="196">
        <f t="shared" si="261"/>
        <v>3634.68878037696</v>
      </c>
      <c r="CK95" s="197">
        <f t="shared" si="241"/>
        <v>2172.1858750771494</v>
      </c>
      <c r="CL95" s="197">
        <f t="shared" si="241"/>
        <v>4127.6636876794364</v>
      </c>
      <c r="CM95" s="197">
        <f t="shared" si="241"/>
        <v>-492.97490730247671</v>
      </c>
      <c r="CN95" s="199">
        <f t="shared" si="241"/>
        <v>1679.2109677746726</v>
      </c>
      <c r="CP95" s="204">
        <f t="shared" si="262"/>
        <v>8</v>
      </c>
      <c r="CQ95" s="759">
        <f>'Energy NPV'!$D20</f>
        <v>26</v>
      </c>
      <c r="CR95" s="197">
        <f>'Energy margins'!$E$12</f>
        <v>43.75</v>
      </c>
      <c r="CS95" s="197">
        <f t="shared" si="263"/>
        <v>1137.5</v>
      </c>
      <c r="CT95" s="197">
        <f>'Margins summary'!$Q$14</f>
        <v>330</v>
      </c>
      <c r="CU95" s="197">
        <f t="shared" si="242"/>
        <v>1467.5</v>
      </c>
      <c r="CV95" s="197"/>
      <c r="CW95" s="918">
        <f>'Energy NPV'!$U20</f>
        <v>637.73333400000001</v>
      </c>
      <c r="CX95" s="197"/>
      <c r="CY95" s="197">
        <f t="shared" si="243"/>
        <v>637.73333400000001</v>
      </c>
      <c r="CZ95" s="197">
        <f t="shared" si="208"/>
        <v>499.76666599999999</v>
      </c>
      <c r="DA95" s="197">
        <f t="shared" si="209"/>
        <v>829.76666599999999</v>
      </c>
      <c r="DB95" s="196">
        <f t="shared" si="244"/>
        <v>1137.5</v>
      </c>
      <c r="DC95" s="197">
        <f t="shared" si="245"/>
        <v>330</v>
      </c>
      <c r="DD95" s="197">
        <f t="shared" si="246"/>
        <v>637.73333400000001</v>
      </c>
      <c r="DE95" s="197">
        <f t="shared" si="247"/>
        <v>499.76666599999999</v>
      </c>
      <c r="DF95" s="199">
        <f t="shared" si="248"/>
        <v>829.76666599999999</v>
      </c>
      <c r="DG95" s="196">
        <f t="shared" si="264"/>
        <v>4550</v>
      </c>
      <c r="DH95" s="197">
        <f t="shared" si="249"/>
        <v>2640</v>
      </c>
      <c r="DI95" s="197">
        <f t="shared" si="249"/>
        <v>4659.24467</v>
      </c>
      <c r="DJ95" s="197">
        <f t="shared" si="249"/>
        <v>-109.24467000000004</v>
      </c>
      <c r="DK95" s="199">
        <f t="shared" si="249"/>
        <v>2530.75533</v>
      </c>
    </row>
    <row r="96" spans="2:115" x14ac:dyDescent="0.3">
      <c r="B96" s="204">
        <f t="shared" si="250"/>
        <v>9</v>
      </c>
      <c r="C96" s="759">
        <f>'Energy NPV'!$D21</f>
        <v>0</v>
      </c>
      <c r="D96" s="197">
        <f>'Energy margins'!$E$12</f>
        <v>43.75</v>
      </c>
      <c r="E96" s="197">
        <f t="shared" si="251"/>
        <v>0</v>
      </c>
      <c r="F96" s="197">
        <f>'Margins summary'!$Q$14</f>
        <v>330</v>
      </c>
      <c r="G96" s="197">
        <f t="shared" si="210"/>
        <v>330</v>
      </c>
      <c r="H96" s="197"/>
      <c r="I96" s="922">
        <f>'Energy NPV'!$U21</f>
        <v>0</v>
      </c>
      <c r="J96" s="197"/>
      <c r="K96" s="197">
        <f t="shared" si="211"/>
        <v>0</v>
      </c>
      <c r="L96" s="197">
        <f t="shared" si="200"/>
        <v>0</v>
      </c>
      <c r="M96" s="197">
        <f t="shared" si="201"/>
        <v>330</v>
      </c>
      <c r="N96" s="196">
        <f t="shared" si="212"/>
        <v>0</v>
      </c>
      <c r="O96" s="197">
        <f t="shared" si="213"/>
        <v>260.50504732359883</v>
      </c>
      <c r="P96" s="197">
        <f t="shared" si="214"/>
        <v>0</v>
      </c>
      <c r="Q96" s="197">
        <f t="shared" si="215"/>
        <v>0</v>
      </c>
      <c r="R96" s="199">
        <f t="shared" si="216"/>
        <v>260.50504732359883</v>
      </c>
      <c r="S96" s="196">
        <f t="shared" si="252"/>
        <v>4051.4516559431058</v>
      </c>
      <c r="T96" s="197">
        <f t="shared" si="217"/>
        <v>2646.4984225467078</v>
      </c>
      <c r="U96" s="197">
        <f t="shared" si="217"/>
        <v>4370.1712152551718</v>
      </c>
      <c r="V96" s="197">
        <f t="shared" si="217"/>
        <v>-318.71955931206662</v>
      </c>
      <c r="W96" s="199">
        <f t="shared" si="217"/>
        <v>2327.778863234641</v>
      </c>
      <c r="Y96" s="204">
        <f t="shared" si="253"/>
        <v>9</v>
      </c>
      <c r="Z96" s="759">
        <f>'Energy NPV'!$D21</f>
        <v>0</v>
      </c>
      <c r="AA96" s="197">
        <f>'Energy margins'!$E$12</f>
        <v>43.75</v>
      </c>
      <c r="AB96" s="197">
        <f t="shared" si="254"/>
        <v>0</v>
      </c>
      <c r="AC96" s="197">
        <f>'Margins summary'!$Q$14</f>
        <v>330</v>
      </c>
      <c r="AD96" s="197">
        <f t="shared" si="218"/>
        <v>330</v>
      </c>
      <c r="AE96" s="197"/>
      <c r="AF96" s="918">
        <f>'Energy NPV'!$U21</f>
        <v>0</v>
      </c>
      <c r="AG96" s="197"/>
      <c r="AH96" s="197">
        <f t="shared" si="219"/>
        <v>0</v>
      </c>
      <c r="AI96" s="197">
        <f t="shared" si="202"/>
        <v>0</v>
      </c>
      <c r="AJ96" s="197">
        <f t="shared" si="203"/>
        <v>330</v>
      </c>
      <c r="AK96" s="196">
        <f t="shared" si="220"/>
        <v>0</v>
      </c>
      <c r="AL96" s="197">
        <f t="shared" si="221"/>
        <v>232.05109189972308</v>
      </c>
      <c r="AM96" s="197">
        <f t="shared" si="222"/>
        <v>0</v>
      </c>
      <c r="AN96" s="197">
        <f t="shared" si="223"/>
        <v>0</v>
      </c>
      <c r="AO96" s="199">
        <f t="shared" si="224"/>
        <v>232.05109189972308</v>
      </c>
      <c r="AP96" s="196">
        <f t="shared" si="255"/>
        <v>3833.9595695322646</v>
      </c>
      <c r="AQ96" s="197">
        <f t="shared" si="225"/>
        <v>2506.6424022283813</v>
      </c>
      <c r="AR96" s="197">
        <f t="shared" si="225"/>
        <v>4243.7252258320004</v>
      </c>
      <c r="AS96" s="197">
        <f t="shared" si="225"/>
        <v>-409.76565629973544</v>
      </c>
      <c r="AT96" s="199">
        <f t="shared" si="225"/>
        <v>2096.876745928646</v>
      </c>
      <c r="AV96" s="204">
        <f t="shared" si="256"/>
        <v>9</v>
      </c>
      <c r="AW96" s="759">
        <f>'Energy NPV'!$D21</f>
        <v>0</v>
      </c>
      <c r="AX96" s="197">
        <f>'Energy margins'!$E$12</f>
        <v>43.75</v>
      </c>
      <c r="AY96" s="197">
        <f t="shared" si="257"/>
        <v>0</v>
      </c>
      <c r="AZ96" s="197">
        <f>'Margins summary'!$Q$14</f>
        <v>330</v>
      </c>
      <c r="BA96" s="197">
        <f t="shared" si="226"/>
        <v>330</v>
      </c>
      <c r="BB96" s="197"/>
      <c r="BC96" s="918">
        <f>'Energy NPV'!$U21</f>
        <v>0</v>
      </c>
      <c r="BD96" s="197"/>
      <c r="BE96" s="197">
        <f t="shared" si="227"/>
        <v>0</v>
      </c>
      <c r="BF96" s="197">
        <f t="shared" si="204"/>
        <v>0</v>
      </c>
      <c r="BG96" s="197">
        <f t="shared" si="205"/>
        <v>330</v>
      </c>
      <c r="BH96" s="196">
        <f t="shared" si="228"/>
        <v>0</v>
      </c>
      <c r="BI96" s="197">
        <f t="shared" si="229"/>
        <v>292.94467085432586</v>
      </c>
      <c r="BJ96" s="197">
        <f t="shared" si="230"/>
        <v>0</v>
      </c>
      <c r="BK96" s="197">
        <f t="shared" si="231"/>
        <v>0</v>
      </c>
      <c r="BL96" s="199">
        <f t="shared" si="232"/>
        <v>292.94467085432586</v>
      </c>
      <c r="BM96" s="196">
        <f t="shared" si="258"/>
        <v>4289.3143300752236</v>
      </c>
      <c r="BN96" s="197">
        <f t="shared" si="233"/>
        <v>2800.3552763782991</v>
      </c>
      <c r="BO96" s="197">
        <f t="shared" si="233"/>
        <v>4508.2160313510267</v>
      </c>
      <c r="BP96" s="197">
        <f t="shared" si="233"/>
        <v>-218.9017012758037</v>
      </c>
      <c r="BQ96" s="199">
        <f t="shared" si="233"/>
        <v>2581.4535751024955</v>
      </c>
      <c r="BS96" s="204">
        <f t="shared" si="259"/>
        <v>9</v>
      </c>
      <c r="BT96" s="759">
        <f>'Energy NPV'!$D21</f>
        <v>0</v>
      </c>
      <c r="BU96" s="197">
        <f>'Energy margins'!$E$12</f>
        <v>43.75</v>
      </c>
      <c r="BV96" s="197">
        <f t="shared" si="260"/>
        <v>0</v>
      </c>
      <c r="BW96" s="197">
        <f>'Margins summary'!$Q$14</f>
        <v>330</v>
      </c>
      <c r="BX96" s="197">
        <f t="shared" si="234"/>
        <v>330</v>
      </c>
      <c r="BY96" s="197"/>
      <c r="BZ96" s="918">
        <f>'Energy NPV'!$U21</f>
        <v>0</v>
      </c>
      <c r="CA96" s="197"/>
      <c r="CB96" s="197">
        <f t="shared" si="235"/>
        <v>0</v>
      </c>
      <c r="CC96" s="197">
        <f t="shared" si="206"/>
        <v>0</v>
      </c>
      <c r="CD96" s="197">
        <f t="shared" si="207"/>
        <v>330</v>
      </c>
      <c r="CE96" s="196">
        <f t="shared" si="236"/>
        <v>0</v>
      </c>
      <c r="CF96" s="197">
        <f t="shared" si="237"/>
        <v>207.04608254280274</v>
      </c>
      <c r="CG96" s="197">
        <f t="shared" si="238"/>
        <v>0</v>
      </c>
      <c r="CH96" s="197">
        <f t="shared" si="239"/>
        <v>0</v>
      </c>
      <c r="CI96" s="199">
        <f t="shared" si="240"/>
        <v>207.04608254280274</v>
      </c>
      <c r="CJ96" s="196">
        <f t="shared" si="261"/>
        <v>3634.68878037696</v>
      </c>
      <c r="CK96" s="197">
        <f t="shared" si="241"/>
        <v>2379.231957619952</v>
      </c>
      <c r="CL96" s="197">
        <f t="shared" si="241"/>
        <v>4127.6636876794364</v>
      </c>
      <c r="CM96" s="197">
        <f t="shared" si="241"/>
        <v>-492.97490730247671</v>
      </c>
      <c r="CN96" s="199">
        <f t="shared" si="241"/>
        <v>1886.2570503174752</v>
      </c>
      <c r="CP96" s="204">
        <f t="shared" si="262"/>
        <v>9</v>
      </c>
      <c r="CQ96" s="759">
        <f>'Energy NPV'!$D21</f>
        <v>0</v>
      </c>
      <c r="CR96" s="197">
        <f>'Energy margins'!$E$12</f>
        <v>43.75</v>
      </c>
      <c r="CS96" s="197">
        <f t="shared" si="263"/>
        <v>0</v>
      </c>
      <c r="CT96" s="197">
        <f>'Margins summary'!$Q$14</f>
        <v>330</v>
      </c>
      <c r="CU96" s="197">
        <f t="shared" si="242"/>
        <v>330</v>
      </c>
      <c r="CV96" s="197"/>
      <c r="CW96" s="918">
        <f>'Energy NPV'!$U21</f>
        <v>0</v>
      </c>
      <c r="CX96" s="197"/>
      <c r="CY96" s="197">
        <f t="shared" si="243"/>
        <v>0</v>
      </c>
      <c r="CZ96" s="197">
        <f t="shared" si="208"/>
        <v>0</v>
      </c>
      <c r="DA96" s="197">
        <f t="shared" si="209"/>
        <v>330</v>
      </c>
      <c r="DB96" s="196">
        <f t="shared" si="244"/>
        <v>0</v>
      </c>
      <c r="DC96" s="197">
        <f t="shared" si="245"/>
        <v>330</v>
      </c>
      <c r="DD96" s="197">
        <f t="shared" si="246"/>
        <v>0</v>
      </c>
      <c r="DE96" s="197">
        <f t="shared" si="247"/>
        <v>0</v>
      </c>
      <c r="DF96" s="199">
        <f t="shared" si="248"/>
        <v>330</v>
      </c>
      <c r="DG96" s="196">
        <f t="shared" si="264"/>
        <v>4550</v>
      </c>
      <c r="DH96" s="197">
        <f t="shared" si="249"/>
        <v>2970</v>
      </c>
      <c r="DI96" s="197">
        <f t="shared" si="249"/>
        <v>4659.24467</v>
      </c>
      <c r="DJ96" s="197">
        <f t="shared" si="249"/>
        <v>-109.24467000000004</v>
      </c>
      <c r="DK96" s="199">
        <f t="shared" si="249"/>
        <v>2860.75533</v>
      </c>
    </row>
    <row r="97" spans="2:115" x14ac:dyDescent="0.3">
      <c r="B97" s="204">
        <f t="shared" si="250"/>
        <v>10</v>
      </c>
      <c r="C97" s="759">
        <f>'Energy NPV'!$D22</f>
        <v>26</v>
      </c>
      <c r="D97" s="197">
        <f>'Energy margins'!$E$12</f>
        <v>43.75</v>
      </c>
      <c r="E97" s="197">
        <f t="shared" si="251"/>
        <v>1137.5</v>
      </c>
      <c r="F97" s="197">
        <f>'Margins summary'!$Q$14</f>
        <v>330</v>
      </c>
      <c r="G97" s="197">
        <f t="shared" si="210"/>
        <v>1467.5</v>
      </c>
      <c r="H97" s="197"/>
      <c r="I97" s="922">
        <f>'Energy NPV'!$U22</f>
        <v>637.73333400000001</v>
      </c>
      <c r="J97" s="197"/>
      <c r="K97" s="197">
        <f t="shared" si="211"/>
        <v>637.73333400000001</v>
      </c>
      <c r="L97" s="197">
        <f t="shared" si="200"/>
        <v>499.76666599999999</v>
      </c>
      <c r="M97" s="197">
        <f t="shared" si="201"/>
        <v>829.76666599999999</v>
      </c>
      <c r="N97" s="196">
        <f t="shared" si="212"/>
        <v>871.79903304087566</v>
      </c>
      <c r="O97" s="197">
        <f t="shared" si="213"/>
        <v>252.91752167339689</v>
      </c>
      <c r="P97" s="197">
        <f t="shared" si="214"/>
        <v>488.76949795088683</v>
      </c>
      <c r="Q97" s="197">
        <f t="shared" si="215"/>
        <v>383.02953508998877</v>
      </c>
      <c r="R97" s="199">
        <f t="shared" si="216"/>
        <v>635.94705676338572</v>
      </c>
      <c r="S97" s="196">
        <f t="shared" si="252"/>
        <v>4923.2506889839815</v>
      </c>
      <c r="T97" s="197">
        <f t="shared" si="217"/>
        <v>2899.4159442201048</v>
      </c>
      <c r="U97" s="197">
        <f t="shared" si="217"/>
        <v>4858.9407132060587</v>
      </c>
      <c r="V97" s="197">
        <f t="shared" si="217"/>
        <v>64.309975777922148</v>
      </c>
      <c r="W97" s="199">
        <f t="shared" si="217"/>
        <v>2963.7259199980267</v>
      </c>
      <c r="Y97" s="204">
        <f t="shared" si="253"/>
        <v>10</v>
      </c>
      <c r="Z97" s="759">
        <f>'Energy NPV'!$D22</f>
        <v>26</v>
      </c>
      <c r="AA97" s="197">
        <f>'Energy margins'!$E$12</f>
        <v>43.75</v>
      </c>
      <c r="AB97" s="197">
        <f t="shared" si="254"/>
        <v>1137.5</v>
      </c>
      <c r="AC97" s="197">
        <f>'Margins summary'!$Q$14</f>
        <v>330</v>
      </c>
      <c r="AD97" s="197">
        <f t="shared" si="218"/>
        <v>1467.5</v>
      </c>
      <c r="AE97" s="197"/>
      <c r="AF97" s="918">
        <f>'Energy NPV'!$U22</f>
        <v>637.73333400000001</v>
      </c>
      <c r="AG97" s="197"/>
      <c r="AH97" s="197">
        <f t="shared" si="219"/>
        <v>637.73333400000001</v>
      </c>
      <c r="AI97" s="197">
        <f t="shared" si="202"/>
        <v>499.76666599999999</v>
      </c>
      <c r="AJ97" s="197">
        <f t="shared" si="203"/>
        <v>829.76666599999999</v>
      </c>
      <c r="AK97" s="196">
        <f t="shared" si="220"/>
        <v>765.42878653308696</v>
      </c>
      <c r="AL97" s="197">
        <f t="shared" si="221"/>
        <v>222.05846114806039</v>
      </c>
      <c r="AM97" s="197">
        <f t="shared" si="222"/>
        <v>429.13358415412733</v>
      </c>
      <c r="AN97" s="197">
        <f t="shared" si="223"/>
        <v>336.29520237895957</v>
      </c>
      <c r="AO97" s="199">
        <f t="shared" si="224"/>
        <v>558.35366352701999</v>
      </c>
      <c r="AP97" s="196">
        <f t="shared" si="255"/>
        <v>4599.3883560653512</v>
      </c>
      <c r="AQ97" s="197">
        <f t="shared" si="225"/>
        <v>2728.7008633764417</v>
      </c>
      <c r="AR97" s="197">
        <f t="shared" si="225"/>
        <v>4672.8588099861281</v>
      </c>
      <c r="AS97" s="197">
        <f t="shared" si="225"/>
        <v>-73.470453920775867</v>
      </c>
      <c r="AT97" s="199">
        <f t="shared" si="225"/>
        <v>2655.2304094556657</v>
      </c>
      <c r="AV97" s="204">
        <f t="shared" si="256"/>
        <v>10</v>
      </c>
      <c r="AW97" s="759">
        <f>'Energy NPV'!$D22</f>
        <v>26</v>
      </c>
      <c r="AX97" s="197">
        <f>'Energy margins'!$E$12</f>
        <v>43.75</v>
      </c>
      <c r="AY97" s="197">
        <f t="shared" si="257"/>
        <v>1137.5</v>
      </c>
      <c r="AZ97" s="197">
        <f>'Margins summary'!$Q$14</f>
        <v>330</v>
      </c>
      <c r="BA97" s="197">
        <f t="shared" si="226"/>
        <v>1467.5</v>
      </c>
      <c r="BB97" s="197"/>
      <c r="BC97" s="918">
        <f>'Energy NPV'!$U22</f>
        <v>637.73333400000001</v>
      </c>
      <c r="BD97" s="197"/>
      <c r="BE97" s="197">
        <f t="shared" si="227"/>
        <v>637.73333400000001</v>
      </c>
      <c r="BF97" s="197">
        <f t="shared" si="204"/>
        <v>499.76666599999999</v>
      </c>
      <c r="BG97" s="197">
        <f t="shared" si="205"/>
        <v>829.76666599999999</v>
      </c>
      <c r="BH97" s="196">
        <f t="shared" si="228"/>
        <v>994.84867322524474</v>
      </c>
      <c r="BI97" s="197">
        <f t="shared" si="229"/>
        <v>288.61543926534569</v>
      </c>
      <c r="BJ97" s="197">
        <f t="shared" si="230"/>
        <v>557.75662523201038</v>
      </c>
      <c r="BK97" s="197">
        <f t="shared" si="231"/>
        <v>437.0920479932343</v>
      </c>
      <c r="BL97" s="199">
        <f t="shared" si="232"/>
        <v>725.70748725857993</v>
      </c>
      <c r="BM97" s="196">
        <f t="shared" si="258"/>
        <v>5284.1630033004685</v>
      </c>
      <c r="BN97" s="197">
        <f t="shared" si="233"/>
        <v>3088.9707156436448</v>
      </c>
      <c r="BO97" s="197">
        <f t="shared" si="233"/>
        <v>5065.972656583037</v>
      </c>
      <c r="BP97" s="197">
        <f t="shared" si="233"/>
        <v>218.1903467174306</v>
      </c>
      <c r="BQ97" s="199">
        <f t="shared" si="233"/>
        <v>3307.1610623610754</v>
      </c>
      <c r="BS97" s="204">
        <f t="shared" si="259"/>
        <v>10</v>
      </c>
      <c r="BT97" s="759">
        <f>'Energy NPV'!$D22</f>
        <v>26</v>
      </c>
      <c r="BU97" s="197">
        <f>'Energy margins'!$E$12</f>
        <v>43.75</v>
      </c>
      <c r="BV97" s="197">
        <f t="shared" si="260"/>
        <v>1137.5</v>
      </c>
      <c r="BW97" s="197">
        <f>'Margins summary'!$Q$14</f>
        <v>330</v>
      </c>
      <c r="BX97" s="197">
        <f t="shared" si="234"/>
        <v>1467.5</v>
      </c>
      <c r="BY97" s="197"/>
      <c r="BZ97" s="918">
        <f>'Energy NPV'!$U22</f>
        <v>637.73333400000001</v>
      </c>
      <c r="CA97" s="197"/>
      <c r="CB97" s="197">
        <f t="shared" si="235"/>
        <v>637.73333400000001</v>
      </c>
      <c r="CC97" s="197">
        <f t="shared" si="206"/>
        <v>499.76666599999999</v>
      </c>
      <c r="CD97" s="197">
        <f t="shared" si="207"/>
        <v>829.76666599999999</v>
      </c>
      <c r="CE97" s="196">
        <f t="shared" si="236"/>
        <v>673.28450226540349</v>
      </c>
      <c r="CF97" s="197">
        <f t="shared" si="237"/>
        <v>195.32649296490825</v>
      </c>
      <c r="CG97" s="197">
        <f t="shared" si="238"/>
        <v>377.47338053648025</v>
      </c>
      <c r="CH97" s="197">
        <f t="shared" si="239"/>
        <v>295.81112172892318</v>
      </c>
      <c r="CI97" s="199">
        <f t="shared" si="240"/>
        <v>491.13761469383144</v>
      </c>
      <c r="CJ97" s="196">
        <f t="shared" si="261"/>
        <v>4307.9732826423633</v>
      </c>
      <c r="CK97" s="197">
        <f t="shared" si="241"/>
        <v>2574.5584505848601</v>
      </c>
      <c r="CL97" s="197">
        <f t="shared" si="241"/>
        <v>4505.1370682159168</v>
      </c>
      <c r="CM97" s="197">
        <f t="shared" si="241"/>
        <v>-197.16378557355353</v>
      </c>
      <c r="CN97" s="199">
        <f t="shared" si="241"/>
        <v>2377.3946650113066</v>
      </c>
      <c r="CP97" s="204">
        <f t="shared" si="262"/>
        <v>10</v>
      </c>
      <c r="CQ97" s="759">
        <f>'Energy NPV'!$D22</f>
        <v>26</v>
      </c>
      <c r="CR97" s="197">
        <f>'Energy margins'!$E$12</f>
        <v>43.75</v>
      </c>
      <c r="CS97" s="197">
        <f t="shared" si="263"/>
        <v>1137.5</v>
      </c>
      <c r="CT97" s="197">
        <f>'Margins summary'!$Q$14</f>
        <v>330</v>
      </c>
      <c r="CU97" s="197">
        <f t="shared" si="242"/>
        <v>1467.5</v>
      </c>
      <c r="CV97" s="197"/>
      <c r="CW97" s="918">
        <f>'Energy NPV'!$U22</f>
        <v>637.73333400000001</v>
      </c>
      <c r="CX97" s="197"/>
      <c r="CY97" s="197">
        <f t="shared" si="243"/>
        <v>637.73333400000001</v>
      </c>
      <c r="CZ97" s="197">
        <f t="shared" si="208"/>
        <v>499.76666599999999</v>
      </c>
      <c r="DA97" s="197">
        <f t="shared" si="209"/>
        <v>829.76666599999999</v>
      </c>
      <c r="DB97" s="196">
        <f t="shared" si="244"/>
        <v>1137.5</v>
      </c>
      <c r="DC97" s="197">
        <f t="shared" si="245"/>
        <v>330</v>
      </c>
      <c r="DD97" s="197">
        <f t="shared" si="246"/>
        <v>637.73333400000001</v>
      </c>
      <c r="DE97" s="197">
        <f t="shared" si="247"/>
        <v>499.76666599999999</v>
      </c>
      <c r="DF97" s="199">
        <f t="shared" si="248"/>
        <v>829.76666599999999</v>
      </c>
      <c r="DG97" s="196">
        <f t="shared" si="264"/>
        <v>5687.5</v>
      </c>
      <c r="DH97" s="197">
        <f t="shared" si="249"/>
        <v>3300</v>
      </c>
      <c r="DI97" s="197">
        <f t="shared" si="249"/>
        <v>5296.9780040000005</v>
      </c>
      <c r="DJ97" s="197">
        <f t="shared" si="249"/>
        <v>390.52199599999994</v>
      </c>
      <c r="DK97" s="199">
        <f t="shared" si="249"/>
        <v>3690.5219959999999</v>
      </c>
    </row>
    <row r="98" spans="2:115" x14ac:dyDescent="0.3">
      <c r="B98" s="204">
        <f t="shared" si="250"/>
        <v>11</v>
      </c>
      <c r="C98" s="759">
        <f>'Energy NPV'!$D23</f>
        <v>0</v>
      </c>
      <c r="D98" s="197">
        <f>'Energy margins'!$E$12</f>
        <v>43.75</v>
      </c>
      <c r="E98" s="197">
        <f t="shared" si="251"/>
        <v>0</v>
      </c>
      <c r="F98" s="197"/>
      <c r="G98" s="197">
        <f t="shared" si="210"/>
        <v>0</v>
      </c>
      <c r="H98" s="197"/>
      <c r="I98" s="922">
        <f>'Energy NPV'!$U23</f>
        <v>0</v>
      </c>
      <c r="J98" s="197"/>
      <c r="K98" s="197">
        <f t="shared" si="211"/>
        <v>0</v>
      </c>
      <c r="L98" s="197">
        <f t="shared" si="200"/>
        <v>0</v>
      </c>
      <c r="M98" s="197">
        <f t="shared" si="201"/>
        <v>0</v>
      </c>
      <c r="N98" s="196">
        <f t="shared" si="212"/>
        <v>0</v>
      </c>
      <c r="O98" s="197">
        <f t="shared" si="213"/>
        <v>0</v>
      </c>
      <c r="P98" s="197">
        <f t="shared" si="214"/>
        <v>0</v>
      </c>
      <c r="Q98" s="197">
        <f t="shared" si="215"/>
        <v>0</v>
      </c>
      <c r="R98" s="199">
        <f t="shared" si="216"/>
        <v>0</v>
      </c>
      <c r="S98" s="196">
        <f t="shared" si="252"/>
        <v>4923.2506889839815</v>
      </c>
      <c r="T98" s="197">
        <f t="shared" si="217"/>
        <v>2899.4159442201048</v>
      </c>
      <c r="U98" s="197">
        <f t="shared" si="217"/>
        <v>4858.9407132060587</v>
      </c>
      <c r="V98" s="197">
        <f t="shared" si="217"/>
        <v>64.309975777922148</v>
      </c>
      <c r="W98" s="199">
        <f t="shared" si="217"/>
        <v>2963.7259199980267</v>
      </c>
      <c r="Y98" s="204">
        <f t="shared" si="253"/>
        <v>11</v>
      </c>
      <c r="Z98" s="759">
        <f>'Energy NPV'!$D23</f>
        <v>0</v>
      </c>
      <c r="AA98" s="197">
        <f>'Energy margins'!$E$12</f>
        <v>43.75</v>
      </c>
      <c r="AB98" s="197">
        <f t="shared" si="254"/>
        <v>0</v>
      </c>
      <c r="AC98" s="197"/>
      <c r="AD98" s="197">
        <f t="shared" si="218"/>
        <v>0</v>
      </c>
      <c r="AE98" s="197"/>
      <c r="AF98" s="918">
        <f>'Energy NPV'!$U23</f>
        <v>0</v>
      </c>
      <c r="AG98" s="197"/>
      <c r="AH98" s="197">
        <f t="shared" si="219"/>
        <v>0</v>
      </c>
      <c r="AI98" s="197">
        <f t="shared" si="202"/>
        <v>0</v>
      </c>
      <c r="AJ98" s="197">
        <f t="shared" si="203"/>
        <v>0</v>
      </c>
      <c r="AK98" s="196">
        <f t="shared" si="220"/>
        <v>0</v>
      </c>
      <c r="AL98" s="197">
        <f t="shared" si="221"/>
        <v>0</v>
      </c>
      <c r="AM98" s="197">
        <f t="shared" si="222"/>
        <v>0</v>
      </c>
      <c r="AN98" s="197">
        <f t="shared" si="223"/>
        <v>0</v>
      </c>
      <c r="AO98" s="199">
        <f t="shared" si="224"/>
        <v>0</v>
      </c>
      <c r="AP98" s="196">
        <f t="shared" si="255"/>
        <v>4599.3883560653512</v>
      </c>
      <c r="AQ98" s="197">
        <f t="shared" si="225"/>
        <v>2728.7008633764417</v>
      </c>
      <c r="AR98" s="197">
        <f t="shared" si="225"/>
        <v>4672.8588099861281</v>
      </c>
      <c r="AS98" s="197">
        <f t="shared" si="225"/>
        <v>-73.470453920775867</v>
      </c>
      <c r="AT98" s="199">
        <f t="shared" si="225"/>
        <v>2655.2304094556657</v>
      </c>
      <c r="AV98" s="204">
        <f t="shared" si="256"/>
        <v>11</v>
      </c>
      <c r="AW98" s="759">
        <f>'Energy NPV'!$D23</f>
        <v>0</v>
      </c>
      <c r="AX98" s="197">
        <f>'Energy margins'!$E$12</f>
        <v>43.75</v>
      </c>
      <c r="AY98" s="197">
        <f t="shared" si="257"/>
        <v>0</v>
      </c>
      <c r="AZ98" s="197"/>
      <c r="BA98" s="197">
        <f t="shared" si="226"/>
        <v>0</v>
      </c>
      <c r="BB98" s="197"/>
      <c r="BC98" s="918">
        <f>'Energy NPV'!$U23</f>
        <v>0</v>
      </c>
      <c r="BD98" s="197"/>
      <c r="BE98" s="197">
        <f t="shared" si="227"/>
        <v>0</v>
      </c>
      <c r="BF98" s="197">
        <f t="shared" si="204"/>
        <v>0</v>
      </c>
      <c r="BG98" s="197">
        <f t="shared" si="205"/>
        <v>0</v>
      </c>
      <c r="BH98" s="196">
        <f t="shared" si="228"/>
        <v>0</v>
      </c>
      <c r="BI98" s="197">
        <f t="shared" si="229"/>
        <v>0</v>
      </c>
      <c r="BJ98" s="197">
        <f t="shared" si="230"/>
        <v>0</v>
      </c>
      <c r="BK98" s="197">
        <f t="shared" si="231"/>
        <v>0</v>
      </c>
      <c r="BL98" s="199">
        <f t="shared" si="232"/>
        <v>0</v>
      </c>
      <c r="BM98" s="196">
        <f t="shared" si="258"/>
        <v>5284.1630033004685</v>
      </c>
      <c r="BN98" s="197">
        <f t="shared" si="233"/>
        <v>3088.9707156436448</v>
      </c>
      <c r="BO98" s="197">
        <f t="shared" si="233"/>
        <v>5065.972656583037</v>
      </c>
      <c r="BP98" s="197">
        <f t="shared" si="233"/>
        <v>218.1903467174306</v>
      </c>
      <c r="BQ98" s="199">
        <f t="shared" si="233"/>
        <v>3307.1610623610754</v>
      </c>
      <c r="BS98" s="204">
        <f t="shared" si="259"/>
        <v>11</v>
      </c>
      <c r="BT98" s="759">
        <f>'Energy NPV'!$D23</f>
        <v>0</v>
      </c>
      <c r="BU98" s="197">
        <f>'Energy margins'!$E$12</f>
        <v>43.75</v>
      </c>
      <c r="BV98" s="197">
        <f t="shared" si="260"/>
        <v>0</v>
      </c>
      <c r="BW98" s="197"/>
      <c r="BX98" s="197">
        <f t="shared" si="234"/>
        <v>0</v>
      </c>
      <c r="BY98" s="197"/>
      <c r="BZ98" s="918">
        <f>'Energy NPV'!$U23</f>
        <v>0</v>
      </c>
      <c r="CA98" s="197"/>
      <c r="CB98" s="197">
        <f t="shared" si="235"/>
        <v>0</v>
      </c>
      <c r="CC98" s="197">
        <f t="shared" si="206"/>
        <v>0</v>
      </c>
      <c r="CD98" s="197">
        <f t="shared" si="207"/>
        <v>0</v>
      </c>
      <c r="CE98" s="196">
        <f t="shared" si="236"/>
        <v>0</v>
      </c>
      <c r="CF98" s="197">
        <f t="shared" si="237"/>
        <v>0</v>
      </c>
      <c r="CG98" s="197">
        <f t="shared" si="238"/>
        <v>0</v>
      </c>
      <c r="CH98" s="197">
        <f t="shared" si="239"/>
        <v>0</v>
      </c>
      <c r="CI98" s="199">
        <f t="shared" si="240"/>
        <v>0</v>
      </c>
      <c r="CJ98" s="196">
        <f t="shared" si="261"/>
        <v>4307.9732826423633</v>
      </c>
      <c r="CK98" s="197">
        <f t="shared" si="241"/>
        <v>2574.5584505848601</v>
      </c>
      <c r="CL98" s="197">
        <f t="shared" si="241"/>
        <v>4505.1370682159168</v>
      </c>
      <c r="CM98" s="197">
        <f t="shared" si="241"/>
        <v>-197.16378557355353</v>
      </c>
      <c r="CN98" s="199">
        <f t="shared" si="241"/>
        <v>2377.3946650113066</v>
      </c>
      <c r="CP98" s="204">
        <f t="shared" si="262"/>
        <v>11</v>
      </c>
      <c r="CQ98" s="759">
        <f>'Energy NPV'!$D23</f>
        <v>0</v>
      </c>
      <c r="CR98" s="197">
        <f>'Energy margins'!$E$12</f>
        <v>43.75</v>
      </c>
      <c r="CS98" s="197">
        <f t="shared" si="263"/>
        <v>0</v>
      </c>
      <c r="CT98" s="197"/>
      <c r="CU98" s="197">
        <f t="shared" si="242"/>
        <v>0</v>
      </c>
      <c r="CV98" s="197"/>
      <c r="CW98" s="918">
        <f>'Energy NPV'!$U23</f>
        <v>0</v>
      </c>
      <c r="CX98" s="197"/>
      <c r="CY98" s="197">
        <f t="shared" si="243"/>
        <v>0</v>
      </c>
      <c r="CZ98" s="197">
        <f t="shared" si="208"/>
        <v>0</v>
      </c>
      <c r="DA98" s="197">
        <f t="shared" si="209"/>
        <v>0</v>
      </c>
      <c r="DB98" s="196">
        <f t="shared" si="244"/>
        <v>0</v>
      </c>
      <c r="DC98" s="197">
        <f t="shared" si="245"/>
        <v>0</v>
      </c>
      <c r="DD98" s="197">
        <f t="shared" si="246"/>
        <v>0</v>
      </c>
      <c r="DE98" s="197">
        <f t="shared" si="247"/>
        <v>0</v>
      </c>
      <c r="DF98" s="199">
        <f t="shared" si="248"/>
        <v>0</v>
      </c>
      <c r="DG98" s="196">
        <f t="shared" si="264"/>
        <v>5687.5</v>
      </c>
      <c r="DH98" s="197">
        <f t="shared" si="249"/>
        <v>3300</v>
      </c>
      <c r="DI98" s="197">
        <f t="shared" si="249"/>
        <v>5296.9780040000005</v>
      </c>
      <c r="DJ98" s="197">
        <f t="shared" si="249"/>
        <v>390.52199599999994</v>
      </c>
      <c r="DK98" s="199">
        <f t="shared" si="249"/>
        <v>3690.5219959999999</v>
      </c>
    </row>
    <row r="99" spans="2:115" x14ac:dyDescent="0.3">
      <c r="B99" s="204">
        <f t="shared" si="250"/>
        <v>12</v>
      </c>
      <c r="C99" s="759">
        <f>'Energy NPV'!$D24</f>
        <v>26</v>
      </c>
      <c r="D99" s="197">
        <f>'Energy margins'!$E$12</f>
        <v>43.75</v>
      </c>
      <c r="E99" s="197">
        <f t="shared" si="251"/>
        <v>1137.5</v>
      </c>
      <c r="F99" s="197"/>
      <c r="G99" s="197">
        <f t="shared" si="210"/>
        <v>1137.5</v>
      </c>
      <c r="H99" s="197"/>
      <c r="I99" s="922">
        <f>'Energy NPV'!$U24</f>
        <v>637.73333400000001</v>
      </c>
      <c r="J99" s="197"/>
      <c r="K99" s="197">
        <f t="shared" si="211"/>
        <v>637.73333400000001</v>
      </c>
      <c r="L99" s="197">
        <f t="shared" si="200"/>
        <v>499.76666599999999</v>
      </c>
      <c r="M99" s="197">
        <f t="shared" si="201"/>
        <v>499.76666599999999</v>
      </c>
      <c r="N99" s="196">
        <f t="shared" si="212"/>
        <v>821.75420213109214</v>
      </c>
      <c r="O99" s="197">
        <f t="shared" si="213"/>
        <v>0</v>
      </c>
      <c r="P99" s="197">
        <f t="shared" si="214"/>
        <v>460.71212927786485</v>
      </c>
      <c r="Q99" s="197">
        <f t="shared" si="215"/>
        <v>361.04207285322724</v>
      </c>
      <c r="R99" s="199">
        <f t="shared" si="216"/>
        <v>361.04207285322724</v>
      </c>
      <c r="S99" s="196">
        <f t="shared" si="252"/>
        <v>5745.0048911150734</v>
      </c>
      <c r="T99" s="197">
        <f t="shared" si="217"/>
        <v>2899.4159442201048</v>
      </c>
      <c r="U99" s="197">
        <f t="shared" si="217"/>
        <v>5319.6528424839235</v>
      </c>
      <c r="V99" s="197">
        <f t="shared" si="217"/>
        <v>425.35204863114939</v>
      </c>
      <c r="W99" s="199">
        <f t="shared" si="217"/>
        <v>3324.7679928512539</v>
      </c>
      <c r="Y99" s="204">
        <f t="shared" si="253"/>
        <v>12</v>
      </c>
      <c r="Z99" s="759">
        <f>'Energy NPV'!$D24</f>
        <v>26</v>
      </c>
      <c r="AA99" s="197">
        <f>'Energy margins'!$E$12</f>
        <v>43.75</v>
      </c>
      <c r="AB99" s="197">
        <f t="shared" si="254"/>
        <v>1137.5</v>
      </c>
      <c r="AC99" s="197"/>
      <c r="AD99" s="197">
        <f t="shared" si="218"/>
        <v>1137.5</v>
      </c>
      <c r="AE99" s="197"/>
      <c r="AF99" s="918">
        <f>'Energy NPV'!$U24</f>
        <v>637.73333400000001</v>
      </c>
      <c r="AG99" s="197"/>
      <c r="AH99" s="197">
        <f t="shared" si="219"/>
        <v>637.73333400000001</v>
      </c>
      <c r="AI99" s="197">
        <f t="shared" si="202"/>
        <v>499.76666599999999</v>
      </c>
      <c r="AJ99" s="197">
        <f t="shared" si="203"/>
        <v>499.76666599999999</v>
      </c>
      <c r="AK99" s="196">
        <f t="shared" si="220"/>
        <v>700.92606536763083</v>
      </c>
      <c r="AL99" s="197">
        <f t="shared" si="221"/>
        <v>0</v>
      </c>
      <c r="AM99" s="197">
        <f t="shared" si="222"/>
        <v>392.97047609178122</v>
      </c>
      <c r="AN99" s="197">
        <f t="shared" si="223"/>
        <v>307.9555892758496</v>
      </c>
      <c r="AO99" s="199">
        <f t="shared" si="224"/>
        <v>307.9555892758496</v>
      </c>
      <c r="AP99" s="196">
        <f t="shared" si="255"/>
        <v>5300.3144214329823</v>
      </c>
      <c r="AQ99" s="197">
        <f t="shared" si="225"/>
        <v>2728.7008633764417</v>
      </c>
      <c r="AR99" s="197">
        <f t="shared" si="225"/>
        <v>5065.8292860779093</v>
      </c>
      <c r="AS99" s="197">
        <f t="shared" si="225"/>
        <v>234.48513535507374</v>
      </c>
      <c r="AT99" s="199">
        <f t="shared" si="225"/>
        <v>2963.1859987315152</v>
      </c>
      <c r="AV99" s="204">
        <f t="shared" si="256"/>
        <v>12</v>
      </c>
      <c r="AW99" s="759">
        <f>'Energy NPV'!$D24</f>
        <v>26</v>
      </c>
      <c r="AX99" s="197">
        <f>'Energy margins'!$E$12</f>
        <v>43.75</v>
      </c>
      <c r="AY99" s="197">
        <f t="shared" si="257"/>
        <v>1137.5</v>
      </c>
      <c r="AZ99" s="197"/>
      <c r="BA99" s="197">
        <f t="shared" si="226"/>
        <v>1137.5</v>
      </c>
      <c r="BB99" s="197"/>
      <c r="BC99" s="918">
        <f>'Energy NPV'!$U24</f>
        <v>637.73333400000001</v>
      </c>
      <c r="BD99" s="197"/>
      <c r="BE99" s="197">
        <f t="shared" si="227"/>
        <v>637.73333400000001</v>
      </c>
      <c r="BF99" s="197">
        <f t="shared" si="204"/>
        <v>499.76666599999999</v>
      </c>
      <c r="BG99" s="197">
        <f t="shared" si="205"/>
        <v>499.76666599999999</v>
      </c>
      <c r="BH99" s="196">
        <f t="shared" si="228"/>
        <v>965.66155279210352</v>
      </c>
      <c r="BI99" s="197">
        <f t="shared" si="229"/>
        <v>0</v>
      </c>
      <c r="BJ99" s="197">
        <f t="shared" si="230"/>
        <v>541.39302116723093</v>
      </c>
      <c r="BK99" s="197">
        <f t="shared" si="231"/>
        <v>424.26853162487259</v>
      </c>
      <c r="BL99" s="199">
        <f t="shared" si="232"/>
        <v>424.26853162487259</v>
      </c>
      <c r="BM99" s="196">
        <f t="shared" si="258"/>
        <v>6249.8245560925716</v>
      </c>
      <c r="BN99" s="197">
        <f t="shared" si="233"/>
        <v>3088.9707156436448</v>
      </c>
      <c r="BO99" s="197">
        <f t="shared" si="233"/>
        <v>5607.3656777502674</v>
      </c>
      <c r="BP99" s="197">
        <f t="shared" si="233"/>
        <v>642.45887834230325</v>
      </c>
      <c r="BQ99" s="199">
        <f t="shared" si="233"/>
        <v>3731.429593985948</v>
      </c>
      <c r="BS99" s="204">
        <f t="shared" si="259"/>
        <v>12</v>
      </c>
      <c r="BT99" s="759">
        <f>'Energy NPV'!$D24</f>
        <v>26</v>
      </c>
      <c r="BU99" s="197">
        <f>'Energy margins'!$E$12</f>
        <v>43.75</v>
      </c>
      <c r="BV99" s="197">
        <f t="shared" si="260"/>
        <v>1137.5</v>
      </c>
      <c r="BW99" s="197"/>
      <c r="BX99" s="197">
        <f t="shared" si="234"/>
        <v>1137.5</v>
      </c>
      <c r="BY99" s="197"/>
      <c r="BZ99" s="918">
        <f>'Energy NPV'!$U24</f>
        <v>637.73333400000001</v>
      </c>
      <c r="CA99" s="197"/>
      <c r="CB99" s="197">
        <f t="shared" si="235"/>
        <v>637.73333400000001</v>
      </c>
      <c r="CC99" s="197">
        <f t="shared" si="206"/>
        <v>499.76666599999999</v>
      </c>
      <c r="CD99" s="197">
        <f t="shared" si="207"/>
        <v>499.76666599999999</v>
      </c>
      <c r="CE99" s="196">
        <f t="shared" si="236"/>
        <v>599.22081013296838</v>
      </c>
      <c r="CF99" s="197">
        <f t="shared" si="237"/>
        <v>0</v>
      </c>
      <c r="CG99" s="197">
        <f t="shared" si="238"/>
        <v>335.94996487760784</v>
      </c>
      <c r="CH99" s="197">
        <f t="shared" si="239"/>
        <v>263.27084525536054</v>
      </c>
      <c r="CI99" s="199">
        <f t="shared" si="240"/>
        <v>263.27084525536054</v>
      </c>
      <c r="CJ99" s="196">
        <f t="shared" si="261"/>
        <v>4907.1940927753312</v>
      </c>
      <c r="CK99" s="197">
        <f t="shared" si="241"/>
        <v>2574.5584505848601</v>
      </c>
      <c r="CL99" s="197">
        <f t="shared" si="241"/>
        <v>4841.087033093525</v>
      </c>
      <c r="CM99" s="197">
        <f t="shared" si="241"/>
        <v>66.107059681807016</v>
      </c>
      <c r="CN99" s="199">
        <f t="shared" si="241"/>
        <v>2640.6655102666673</v>
      </c>
      <c r="CP99" s="204">
        <f t="shared" si="262"/>
        <v>12</v>
      </c>
      <c r="CQ99" s="759">
        <f>'Energy NPV'!$D24</f>
        <v>26</v>
      </c>
      <c r="CR99" s="197">
        <f>'Energy margins'!$E$12</f>
        <v>43.75</v>
      </c>
      <c r="CS99" s="197">
        <f t="shared" si="263"/>
        <v>1137.5</v>
      </c>
      <c r="CT99" s="197"/>
      <c r="CU99" s="197">
        <f t="shared" si="242"/>
        <v>1137.5</v>
      </c>
      <c r="CV99" s="197"/>
      <c r="CW99" s="918">
        <f>'Energy NPV'!$U24</f>
        <v>637.73333400000001</v>
      </c>
      <c r="CX99" s="197"/>
      <c r="CY99" s="197">
        <f t="shared" si="243"/>
        <v>637.73333400000001</v>
      </c>
      <c r="CZ99" s="197">
        <f t="shared" si="208"/>
        <v>499.76666599999999</v>
      </c>
      <c r="DA99" s="197">
        <f t="shared" si="209"/>
        <v>499.76666599999999</v>
      </c>
      <c r="DB99" s="196">
        <f t="shared" si="244"/>
        <v>1137.5</v>
      </c>
      <c r="DC99" s="197">
        <f t="shared" si="245"/>
        <v>0</v>
      </c>
      <c r="DD99" s="197">
        <f t="shared" si="246"/>
        <v>637.73333400000001</v>
      </c>
      <c r="DE99" s="197">
        <f t="shared" si="247"/>
        <v>499.76666599999999</v>
      </c>
      <c r="DF99" s="199">
        <f t="shared" si="248"/>
        <v>499.76666599999999</v>
      </c>
      <c r="DG99" s="196">
        <f t="shared" si="264"/>
        <v>6825</v>
      </c>
      <c r="DH99" s="197">
        <f t="shared" si="249"/>
        <v>3300</v>
      </c>
      <c r="DI99" s="197">
        <f t="shared" si="249"/>
        <v>5934.711338000001</v>
      </c>
      <c r="DJ99" s="197">
        <f t="shared" si="249"/>
        <v>890.28866199999993</v>
      </c>
      <c r="DK99" s="199">
        <f t="shared" si="249"/>
        <v>4190.2886619999999</v>
      </c>
    </row>
    <row r="100" spans="2:115" x14ac:dyDescent="0.3">
      <c r="B100" s="204">
        <f t="shared" si="250"/>
        <v>13</v>
      </c>
      <c r="C100" s="759">
        <f>'Energy NPV'!$D25</f>
        <v>0</v>
      </c>
      <c r="D100" s="197">
        <f>'Energy margins'!$E$12</f>
        <v>43.75</v>
      </c>
      <c r="E100" s="197">
        <f t="shared" si="251"/>
        <v>0</v>
      </c>
      <c r="F100" s="197"/>
      <c r="G100" s="197">
        <f t="shared" si="210"/>
        <v>0</v>
      </c>
      <c r="H100" s="197"/>
      <c r="I100" s="922">
        <f>'Energy NPV'!$U25</f>
        <v>0</v>
      </c>
      <c r="J100" s="197"/>
      <c r="K100" s="197">
        <f t="shared" si="211"/>
        <v>0</v>
      </c>
      <c r="L100" s="197">
        <f t="shared" si="200"/>
        <v>0</v>
      </c>
      <c r="M100" s="197">
        <f t="shared" si="201"/>
        <v>0</v>
      </c>
      <c r="N100" s="196">
        <f t="shared" si="212"/>
        <v>0</v>
      </c>
      <c r="O100" s="197">
        <f t="shared" si="213"/>
        <v>0</v>
      </c>
      <c r="P100" s="197">
        <f t="shared" si="214"/>
        <v>0</v>
      </c>
      <c r="Q100" s="197">
        <f t="shared" si="215"/>
        <v>0</v>
      </c>
      <c r="R100" s="199">
        <f t="shared" si="216"/>
        <v>0</v>
      </c>
      <c r="S100" s="196">
        <f t="shared" si="252"/>
        <v>5745.0048911150734</v>
      </c>
      <c r="T100" s="197">
        <f t="shared" si="217"/>
        <v>2899.4159442201048</v>
      </c>
      <c r="U100" s="197">
        <f t="shared" si="217"/>
        <v>5319.6528424839235</v>
      </c>
      <c r="V100" s="197">
        <f t="shared" si="217"/>
        <v>425.35204863114939</v>
      </c>
      <c r="W100" s="199">
        <f t="shared" si="217"/>
        <v>3324.7679928512539</v>
      </c>
      <c r="Y100" s="204">
        <f t="shared" si="253"/>
        <v>13</v>
      </c>
      <c r="Z100" s="759">
        <f>'Energy NPV'!$D25</f>
        <v>0</v>
      </c>
      <c r="AA100" s="197">
        <f>'Energy margins'!$E$12</f>
        <v>43.75</v>
      </c>
      <c r="AB100" s="197">
        <f t="shared" si="254"/>
        <v>0</v>
      </c>
      <c r="AC100" s="197"/>
      <c r="AD100" s="197">
        <f t="shared" si="218"/>
        <v>0</v>
      </c>
      <c r="AE100" s="197"/>
      <c r="AF100" s="918">
        <f>'Energy NPV'!$U25</f>
        <v>0</v>
      </c>
      <c r="AG100" s="197"/>
      <c r="AH100" s="197">
        <f t="shared" si="219"/>
        <v>0</v>
      </c>
      <c r="AI100" s="197">
        <f t="shared" si="202"/>
        <v>0</v>
      </c>
      <c r="AJ100" s="197">
        <f t="shared" si="203"/>
        <v>0</v>
      </c>
      <c r="AK100" s="196">
        <f t="shared" si="220"/>
        <v>0</v>
      </c>
      <c r="AL100" s="197">
        <f t="shared" si="221"/>
        <v>0</v>
      </c>
      <c r="AM100" s="197">
        <f t="shared" si="222"/>
        <v>0</v>
      </c>
      <c r="AN100" s="197">
        <f t="shared" si="223"/>
        <v>0</v>
      </c>
      <c r="AO100" s="199">
        <f t="shared" si="224"/>
        <v>0</v>
      </c>
      <c r="AP100" s="196">
        <f t="shared" si="255"/>
        <v>5300.3144214329823</v>
      </c>
      <c r="AQ100" s="197">
        <f t="shared" si="225"/>
        <v>2728.7008633764417</v>
      </c>
      <c r="AR100" s="197">
        <f t="shared" si="225"/>
        <v>5065.8292860779093</v>
      </c>
      <c r="AS100" s="197">
        <f t="shared" si="225"/>
        <v>234.48513535507374</v>
      </c>
      <c r="AT100" s="199">
        <f t="shared" si="225"/>
        <v>2963.1859987315152</v>
      </c>
      <c r="AV100" s="204">
        <f t="shared" si="256"/>
        <v>13</v>
      </c>
      <c r="AW100" s="759">
        <f>'Energy NPV'!$D25</f>
        <v>0</v>
      </c>
      <c r="AX100" s="197">
        <f>'Energy margins'!$E$12</f>
        <v>43.75</v>
      </c>
      <c r="AY100" s="197">
        <f t="shared" si="257"/>
        <v>0</v>
      </c>
      <c r="AZ100" s="197"/>
      <c r="BA100" s="197">
        <f t="shared" si="226"/>
        <v>0</v>
      </c>
      <c r="BB100" s="197"/>
      <c r="BC100" s="918">
        <f>'Energy NPV'!$U25</f>
        <v>0</v>
      </c>
      <c r="BD100" s="197"/>
      <c r="BE100" s="197">
        <f t="shared" si="227"/>
        <v>0</v>
      </c>
      <c r="BF100" s="197">
        <f t="shared" si="204"/>
        <v>0</v>
      </c>
      <c r="BG100" s="197">
        <f t="shared" si="205"/>
        <v>0</v>
      </c>
      <c r="BH100" s="196">
        <f t="shared" si="228"/>
        <v>0</v>
      </c>
      <c r="BI100" s="197">
        <f t="shared" si="229"/>
        <v>0</v>
      </c>
      <c r="BJ100" s="197">
        <f t="shared" si="230"/>
        <v>0</v>
      </c>
      <c r="BK100" s="197">
        <f t="shared" si="231"/>
        <v>0</v>
      </c>
      <c r="BL100" s="199">
        <f t="shared" si="232"/>
        <v>0</v>
      </c>
      <c r="BM100" s="196">
        <f t="shared" si="258"/>
        <v>6249.8245560925716</v>
      </c>
      <c r="BN100" s="197">
        <f t="shared" si="233"/>
        <v>3088.9707156436448</v>
      </c>
      <c r="BO100" s="197">
        <f t="shared" si="233"/>
        <v>5607.3656777502674</v>
      </c>
      <c r="BP100" s="197">
        <f t="shared" si="233"/>
        <v>642.45887834230325</v>
      </c>
      <c r="BQ100" s="199">
        <f t="shared" si="233"/>
        <v>3731.429593985948</v>
      </c>
      <c r="BS100" s="204">
        <f t="shared" si="259"/>
        <v>13</v>
      </c>
      <c r="BT100" s="759">
        <f>'Energy NPV'!$D25</f>
        <v>0</v>
      </c>
      <c r="BU100" s="197">
        <f>'Energy margins'!$E$12</f>
        <v>43.75</v>
      </c>
      <c r="BV100" s="197">
        <f t="shared" si="260"/>
        <v>0</v>
      </c>
      <c r="BW100" s="197"/>
      <c r="BX100" s="197">
        <f t="shared" si="234"/>
        <v>0</v>
      </c>
      <c r="BY100" s="197"/>
      <c r="BZ100" s="918">
        <f>'Energy NPV'!$U25</f>
        <v>0</v>
      </c>
      <c r="CA100" s="197"/>
      <c r="CB100" s="197">
        <f t="shared" si="235"/>
        <v>0</v>
      </c>
      <c r="CC100" s="197">
        <f t="shared" si="206"/>
        <v>0</v>
      </c>
      <c r="CD100" s="197">
        <f t="shared" si="207"/>
        <v>0</v>
      </c>
      <c r="CE100" s="196">
        <f t="shared" si="236"/>
        <v>0</v>
      </c>
      <c r="CF100" s="197">
        <f t="shared" si="237"/>
        <v>0</v>
      </c>
      <c r="CG100" s="197">
        <f t="shared" si="238"/>
        <v>0</v>
      </c>
      <c r="CH100" s="197">
        <f t="shared" si="239"/>
        <v>0</v>
      </c>
      <c r="CI100" s="199">
        <f t="shared" si="240"/>
        <v>0</v>
      </c>
      <c r="CJ100" s="196">
        <f t="shared" si="261"/>
        <v>4907.1940927753312</v>
      </c>
      <c r="CK100" s="197">
        <f t="shared" si="241"/>
        <v>2574.5584505848601</v>
      </c>
      <c r="CL100" s="197">
        <f t="shared" si="241"/>
        <v>4841.087033093525</v>
      </c>
      <c r="CM100" s="197">
        <f t="shared" si="241"/>
        <v>66.107059681807016</v>
      </c>
      <c r="CN100" s="199">
        <f t="shared" si="241"/>
        <v>2640.6655102666673</v>
      </c>
      <c r="CP100" s="204">
        <f t="shared" si="262"/>
        <v>13</v>
      </c>
      <c r="CQ100" s="759">
        <f>'Energy NPV'!$D25</f>
        <v>0</v>
      </c>
      <c r="CR100" s="197">
        <f>'Energy margins'!$E$12</f>
        <v>43.75</v>
      </c>
      <c r="CS100" s="197">
        <f t="shared" si="263"/>
        <v>0</v>
      </c>
      <c r="CT100" s="197"/>
      <c r="CU100" s="197">
        <f t="shared" si="242"/>
        <v>0</v>
      </c>
      <c r="CV100" s="197"/>
      <c r="CW100" s="918">
        <f>'Energy NPV'!$U25</f>
        <v>0</v>
      </c>
      <c r="CX100" s="197"/>
      <c r="CY100" s="197">
        <f t="shared" si="243"/>
        <v>0</v>
      </c>
      <c r="CZ100" s="197">
        <f t="shared" si="208"/>
        <v>0</v>
      </c>
      <c r="DA100" s="197">
        <f t="shared" si="209"/>
        <v>0</v>
      </c>
      <c r="DB100" s="196">
        <f t="shared" si="244"/>
        <v>0</v>
      </c>
      <c r="DC100" s="197">
        <f t="shared" si="245"/>
        <v>0</v>
      </c>
      <c r="DD100" s="197">
        <f t="shared" si="246"/>
        <v>0</v>
      </c>
      <c r="DE100" s="197">
        <f t="shared" si="247"/>
        <v>0</v>
      </c>
      <c r="DF100" s="199">
        <f t="shared" si="248"/>
        <v>0</v>
      </c>
      <c r="DG100" s="196">
        <f t="shared" si="264"/>
        <v>6825</v>
      </c>
      <c r="DH100" s="197">
        <f t="shared" si="249"/>
        <v>3300</v>
      </c>
      <c r="DI100" s="197">
        <f t="shared" si="249"/>
        <v>5934.711338000001</v>
      </c>
      <c r="DJ100" s="197">
        <f t="shared" si="249"/>
        <v>890.28866199999993</v>
      </c>
      <c r="DK100" s="199">
        <f t="shared" si="249"/>
        <v>4190.2886619999999</v>
      </c>
    </row>
    <row r="101" spans="2:115" x14ac:dyDescent="0.3">
      <c r="B101" s="204">
        <f t="shared" si="250"/>
        <v>14</v>
      </c>
      <c r="C101" s="759">
        <f>'Energy NPV'!$D26</f>
        <v>26</v>
      </c>
      <c r="D101" s="197">
        <f>'Energy margins'!$E$12</f>
        <v>43.75</v>
      </c>
      <c r="E101" s="197">
        <f t="shared" si="251"/>
        <v>1137.5</v>
      </c>
      <c r="F101" s="197"/>
      <c r="G101" s="197">
        <f t="shared" si="210"/>
        <v>1137.5</v>
      </c>
      <c r="H101" s="197"/>
      <c r="I101" s="922">
        <f>'Energy NPV'!$U26</f>
        <v>637.73333400000001</v>
      </c>
      <c r="J101" s="197"/>
      <c r="K101" s="197">
        <f t="shared" si="211"/>
        <v>637.73333400000001</v>
      </c>
      <c r="L101" s="197">
        <f t="shared" si="200"/>
        <v>499.76666599999999</v>
      </c>
      <c r="M101" s="197">
        <f t="shared" si="201"/>
        <v>499.76666599999999</v>
      </c>
      <c r="N101" s="196">
        <f t="shared" si="212"/>
        <v>774.58214924223989</v>
      </c>
      <c r="O101" s="197">
        <f t="shared" si="213"/>
        <v>0</v>
      </c>
      <c r="P101" s="197">
        <f t="shared" si="214"/>
        <v>434.26536834561688</v>
      </c>
      <c r="Q101" s="197">
        <f t="shared" si="215"/>
        <v>340.31678089662296</v>
      </c>
      <c r="R101" s="199">
        <f t="shared" si="216"/>
        <v>340.31678089662296</v>
      </c>
      <c r="S101" s="196">
        <f t="shared" si="252"/>
        <v>6519.5870403573135</v>
      </c>
      <c r="T101" s="197">
        <f t="shared" si="217"/>
        <v>2899.4159442201048</v>
      </c>
      <c r="U101" s="197">
        <f t="shared" si="217"/>
        <v>5753.9182108295399</v>
      </c>
      <c r="V101" s="197">
        <f t="shared" si="217"/>
        <v>765.66882952777235</v>
      </c>
      <c r="W101" s="199">
        <f t="shared" si="217"/>
        <v>3665.0847737478771</v>
      </c>
      <c r="Y101" s="204">
        <f t="shared" si="253"/>
        <v>14</v>
      </c>
      <c r="Z101" s="759">
        <f>'Energy NPV'!$D26</f>
        <v>26</v>
      </c>
      <c r="AA101" s="197">
        <f>'Energy margins'!$E$12</f>
        <v>43.75</v>
      </c>
      <c r="AB101" s="197">
        <f t="shared" si="254"/>
        <v>1137.5</v>
      </c>
      <c r="AC101" s="197"/>
      <c r="AD101" s="197">
        <f t="shared" si="218"/>
        <v>1137.5</v>
      </c>
      <c r="AE101" s="197"/>
      <c r="AF101" s="918">
        <f>'Energy NPV'!$U26</f>
        <v>637.73333400000001</v>
      </c>
      <c r="AG101" s="197"/>
      <c r="AH101" s="197">
        <f t="shared" si="219"/>
        <v>637.73333400000001</v>
      </c>
      <c r="AI101" s="197">
        <f t="shared" si="202"/>
        <v>499.76666599999999</v>
      </c>
      <c r="AJ101" s="197">
        <f t="shared" si="203"/>
        <v>499.76666599999999</v>
      </c>
      <c r="AK101" s="196">
        <f t="shared" si="220"/>
        <v>641.85899166010938</v>
      </c>
      <c r="AL101" s="197">
        <f t="shared" si="221"/>
        <v>0</v>
      </c>
      <c r="AM101" s="197">
        <f t="shared" si="222"/>
        <v>359.85483490925691</v>
      </c>
      <c r="AN101" s="197">
        <f t="shared" si="223"/>
        <v>282.00415675085247</v>
      </c>
      <c r="AO101" s="199">
        <f t="shared" si="224"/>
        <v>282.00415675085247</v>
      </c>
      <c r="AP101" s="196">
        <f t="shared" si="255"/>
        <v>5942.1734130930918</v>
      </c>
      <c r="AQ101" s="197">
        <f t="shared" si="225"/>
        <v>2728.7008633764417</v>
      </c>
      <c r="AR101" s="197">
        <f t="shared" si="225"/>
        <v>5425.6841209871664</v>
      </c>
      <c r="AS101" s="197">
        <f t="shared" si="225"/>
        <v>516.48929210592621</v>
      </c>
      <c r="AT101" s="199">
        <f t="shared" si="225"/>
        <v>3245.1901554823676</v>
      </c>
      <c r="AV101" s="204">
        <f t="shared" si="256"/>
        <v>14</v>
      </c>
      <c r="AW101" s="759">
        <f>'Energy NPV'!$D26</f>
        <v>26</v>
      </c>
      <c r="AX101" s="197">
        <f>'Energy margins'!$E$12</f>
        <v>43.75</v>
      </c>
      <c r="AY101" s="197">
        <f t="shared" si="257"/>
        <v>1137.5</v>
      </c>
      <c r="AZ101" s="197"/>
      <c r="BA101" s="197">
        <f t="shared" si="226"/>
        <v>1137.5</v>
      </c>
      <c r="BB101" s="197"/>
      <c r="BC101" s="918">
        <f>'Energy NPV'!$U26</f>
        <v>637.73333400000001</v>
      </c>
      <c r="BD101" s="197"/>
      <c r="BE101" s="197">
        <f t="shared" si="227"/>
        <v>637.73333400000001</v>
      </c>
      <c r="BF101" s="197">
        <f t="shared" si="204"/>
        <v>499.76666599999999</v>
      </c>
      <c r="BG101" s="197">
        <f t="shared" si="205"/>
        <v>499.76666599999999</v>
      </c>
      <c r="BH101" s="196">
        <f t="shared" si="228"/>
        <v>937.33073143449622</v>
      </c>
      <c r="BI101" s="197">
        <f t="shared" si="229"/>
        <v>0</v>
      </c>
      <c r="BJ101" s="197">
        <f t="shared" si="230"/>
        <v>525.50949663154279</v>
      </c>
      <c r="BK101" s="197">
        <f t="shared" si="231"/>
        <v>411.82123480295343</v>
      </c>
      <c r="BL101" s="199">
        <f t="shared" si="232"/>
        <v>411.82123480295343</v>
      </c>
      <c r="BM101" s="196">
        <f t="shared" si="258"/>
        <v>7187.1552875270681</v>
      </c>
      <c r="BN101" s="197">
        <f t="shared" si="233"/>
        <v>3088.9707156436448</v>
      </c>
      <c r="BO101" s="197">
        <f t="shared" si="233"/>
        <v>6132.8751743818102</v>
      </c>
      <c r="BP101" s="197">
        <f t="shared" si="233"/>
        <v>1054.2801131452566</v>
      </c>
      <c r="BQ101" s="199">
        <f t="shared" si="233"/>
        <v>4143.2508287889013</v>
      </c>
      <c r="BS101" s="204">
        <f t="shared" si="259"/>
        <v>14</v>
      </c>
      <c r="BT101" s="759">
        <f>'Energy NPV'!$D26</f>
        <v>26</v>
      </c>
      <c r="BU101" s="197">
        <f>'Energy margins'!$E$12</f>
        <v>43.75</v>
      </c>
      <c r="BV101" s="197">
        <f t="shared" si="260"/>
        <v>1137.5</v>
      </c>
      <c r="BW101" s="197"/>
      <c r="BX101" s="197">
        <f t="shared" si="234"/>
        <v>1137.5</v>
      </c>
      <c r="BY101" s="197"/>
      <c r="BZ101" s="918">
        <f>'Energy NPV'!$U26</f>
        <v>637.73333400000001</v>
      </c>
      <c r="CA101" s="197"/>
      <c r="CB101" s="197">
        <f t="shared" si="235"/>
        <v>637.73333400000001</v>
      </c>
      <c r="CC101" s="197">
        <f t="shared" si="206"/>
        <v>499.76666599999999</v>
      </c>
      <c r="CD101" s="197">
        <f t="shared" si="207"/>
        <v>499.76666599999999</v>
      </c>
      <c r="CE101" s="196">
        <f t="shared" si="236"/>
        <v>533.30438780079055</v>
      </c>
      <c r="CF101" s="197">
        <f t="shared" si="237"/>
        <v>0</v>
      </c>
      <c r="CG101" s="197">
        <f t="shared" si="238"/>
        <v>298.99427276397989</v>
      </c>
      <c r="CH101" s="197">
        <f t="shared" si="239"/>
        <v>234.31011503681069</v>
      </c>
      <c r="CI101" s="199">
        <f t="shared" si="240"/>
        <v>234.31011503681069</v>
      </c>
      <c r="CJ101" s="196">
        <f t="shared" si="261"/>
        <v>5440.4984805761214</v>
      </c>
      <c r="CK101" s="197">
        <f t="shared" si="241"/>
        <v>2574.5584505848601</v>
      </c>
      <c r="CL101" s="197">
        <f t="shared" si="241"/>
        <v>5140.081305857505</v>
      </c>
      <c r="CM101" s="197">
        <f t="shared" si="241"/>
        <v>300.41717471861773</v>
      </c>
      <c r="CN101" s="199">
        <f t="shared" si="241"/>
        <v>2874.975625303478</v>
      </c>
      <c r="CP101" s="204">
        <f t="shared" si="262"/>
        <v>14</v>
      </c>
      <c r="CQ101" s="759">
        <f>'Energy NPV'!$D26</f>
        <v>26</v>
      </c>
      <c r="CR101" s="197">
        <f>'Energy margins'!$E$12</f>
        <v>43.75</v>
      </c>
      <c r="CS101" s="197">
        <f t="shared" si="263"/>
        <v>1137.5</v>
      </c>
      <c r="CT101" s="197"/>
      <c r="CU101" s="197">
        <f t="shared" si="242"/>
        <v>1137.5</v>
      </c>
      <c r="CV101" s="197"/>
      <c r="CW101" s="918">
        <f>'Energy NPV'!$U26</f>
        <v>637.73333400000001</v>
      </c>
      <c r="CX101" s="197"/>
      <c r="CY101" s="197">
        <f t="shared" si="243"/>
        <v>637.73333400000001</v>
      </c>
      <c r="CZ101" s="197">
        <f t="shared" si="208"/>
        <v>499.76666599999999</v>
      </c>
      <c r="DA101" s="197">
        <f t="shared" si="209"/>
        <v>499.76666599999999</v>
      </c>
      <c r="DB101" s="196">
        <f t="shared" si="244"/>
        <v>1137.5</v>
      </c>
      <c r="DC101" s="197">
        <f t="shared" si="245"/>
        <v>0</v>
      </c>
      <c r="DD101" s="197">
        <f t="shared" si="246"/>
        <v>637.73333400000001</v>
      </c>
      <c r="DE101" s="197">
        <f t="shared" si="247"/>
        <v>499.76666599999999</v>
      </c>
      <c r="DF101" s="199">
        <f t="shared" si="248"/>
        <v>499.76666599999999</v>
      </c>
      <c r="DG101" s="196">
        <f t="shared" si="264"/>
        <v>7962.5</v>
      </c>
      <c r="DH101" s="197">
        <f t="shared" si="249"/>
        <v>3300</v>
      </c>
      <c r="DI101" s="197">
        <f t="shared" si="249"/>
        <v>6572.4446720000014</v>
      </c>
      <c r="DJ101" s="197">
        <f t="shared" si="249"/>
        <v>1390.0553279999999</v>
      </c>
      <c r="DK101" s="199">
        <f t="shared" si="249"/>
        <v>4690.0553280000004</v>
      </c>
    </row>
    <row r="102" spans="2:115" x14ac:dyDescent="0.3">
      <c r="B102" s="204">
        <f t="shared" si="250"/>
        <v>15</v>
      </c>
      <c r="C102" s="759">
        <f>'Energy NPV'!$D27</f>
        <v>0</v>
      </c>
      <c r="D102" s="197">
        <f>'Energy margins'!$E$12</f>
        <v>43.75</v>
      </c>
      <c r="E102" s="197">
        <f t="shared" si="251"/>
        <v>0</v>
      </c>
      <c r="F102" s="197"/>
      <c r="G102" s="197">
        <f t="shared" si="210"/>
        <v>0</v>
      </c>
      <c r="H102" s="197"/>
      <c r="I102" s="922">
        <f>'Energy NPV'!$U27</f>
        <v>0</v>
      </c>
      <c r="J102" s="197"/>
      <c r="K102" s="197">
        <f t="shared" si="211"/>
        <v>0</v>
      </c>
      <c r="L102" s="197">
        <f t="shared" si="200"/>
        <v>0</v>
      </c>
      <c r="M102" s="197">
        <f t="shared" si="201"/>
        <v>0</v>
      </c>
      <c r="N102" s="196">
        <f t="shared" si="212"/>
        <v>0</v>
      </c>
      <c r="O102" s="197">
        <f t="shared" si="213"/>
        <v>0</v>
      </c>
      <c r="P102" s="197">
        <f t="shared" si="214"/>
        <v>0</v>
      </c>
      <c r="Q102" s="197">
        <f t="shared" si="215"/>
        <v>0</v>
      </c>
      <c r="R102" s="199">
        <f t="shared" si="216"/>
        <v>0</v>
      </c>
      <c r="S102" s="196">
        <f t="shared" si="252"/>
        <v>6519.5870403573135</v>
      </c>
      <c r="T102" s="197">
        <f t="shared" si="217"/>
        <v>2899.4159442201048</v>
      </c>
      <c r="U102" s="197">
        <f t="shared" si="217"/>
        <v>5753.9182108295399</v>
      </c>
      <c r="V102" s="197">
        <f t="shared" si="217"/>
        <v>765.66882952777235</v>
      </c>
      <c r="W102" s="199">
        <f t="shared" si="217"/>
        <v>3665.0847737478771</v>
      </c>
      <c r="Y102" s="204">
        <f t="shared" si="253"/>
        <v>15</v>
      </c>
      <c r="Z102" s="759">
        <f>'Energy NPV'!$D27</f>
        <v>0</v>
      </c>
      <c r="AA102" s="197">
        <f>'Energy margins'!$E$12</f>
        <v>43.75</v>
      </c>
      <c r="AB102" s="197">
        <f t="shared" si="254"/>
        <v>0</v>
      </c>
      <c r="AC102" s="197"/>
      <c r="AD102" s="197">
        <f t="shared" si="218"/>
        <v>0</v>
      </c>
      <c r="AE102" s="197"/>
      <c r="AF102" s="918">
        <f>'Energy NPV'!$U27</f>
        <v>0</v>
      </c>
      <c r="AG102" s="197"/>
      <c r="AH102" s="197">
        <f t="shared" si="219"/>
        <v>0</v>
      </c>
      <c r="AI102" s="197">
        <f t="shared" si="202"/>
        <v>0</v>
      </c>
      <c r="AJ102" s="197">
        <f t="shared" si="203"/>
        <v>0</v>
      </c>
      <c r="AK102" s="196">
        <f t="shared" si="220"/>
        <v>0</v>
      </c>
      <c r="AL102" s="197">
        <f t="shared" si="221"/>
        <v>0</v>
      </c>
      <c r="AM102" s="197">
        <f t="shared" si="222"/>
        <v>0</v>
      </c>
      <c r="AN102" s="197">
        <f t="shared" si="223"/>
        <v>0</v>
      </c>
      <c r="AO102" s="199">
        <f t="shared" si="224"/>
        <v>0</v>
      </c>
      <c r="AP102" s="196">
        <f t="shared" si="255"/>
        <v>5942.1734130930918</v>
      </c>
      <c r="AQ102" s="197">
        <f t="shared" si="225"/>
        <v>2728.7008633764417</v>
      </c>
      <c r="AR102" s="197">
        <f t="shared" si="225"/>
        <v>5425.6841209871664</v>
      </c>
      <c r="AS102" s="197">
        <f t="shared" si="225"/>
        <v>516.48929210592621</v>
      </c>
      <c r="AT102" s="199">
        <f t="shared" si="225"/>
        <v>3245.1901554823676</v>
      </c>
      <c r="AV102" s="204">
        <f t="shared" si="256"/>
        <v>15</v>
      </c>
      <c r="AW102" s="759">
        <f>'Energy NPV'!$D27</f>
        <v>0</v>
      </c>
      <c r="AX102" s="197">
        <f>'Energy margins'!$E$12</f>
        <v>43.75</v>
      </c>
      <c r="AY102" s="197">
        <f t="shared" si="257"/>
        <v>0</v>
      </c>
      <c r="AZ102" s="197"/>
      <c r="BA102" s="197">
        <f t="shared" si="226"/>
        <v>0</v>
      </c>
      <c r="BB102" s="197"/>
      <c r="BC102" s="918">
        <f>'Energy NPV'!$U27</f>
        <v>0</v>
      </c>
      <c r="BD102" s="197"/>
      <c r="BE102" s="197">
        <f t="shared" si="227"/>
        <v>0</v>
      </c>
      <c r="BF102" s="197">
        <f t="shared" si="204"/>
        <v>0</v>
      </c>
      <c r="BG102" s="197">
        <f t="shared" si="205"/>
        <v>0</v>
      </c>
      <c r="BH102" s="196">
        <f t="shared" si="228"/>
        <v>0</v>
      </c>
      <c r="BI102" s="197">
        <f t="shared" si="229"/>
        <v>0</v>
      </c>
      <c r="BJ102" s="197">
        <f t="shared" si="230"/>
        <v>0</v>
      </c>
      <c r="BK102" s="197">
        <f t="shared" si="231"/>
        <v>0</v>
      </c>
      <c r="BL102" s="199">
        <f t="shared" si="232"/>
        <v>0</v>
      </c>
      <c r="BM102" s="196">
        <f t="shared" si="258"/>
        <v>7187.1552875270681</v>
      </c>
      <c r="BN102" s="197">
        <f t="shared" si="233"/>
        <v>3088.9707156436448</v>
      </c>
      <c r="BO102" s="197">
        <f t="shared" si="233"/>
        <v>6132.8751743818102</v>
      </c>
      <c r="BP102" s="197">
        <f t="shared" si="233"/>
        <v>1054.2801131452566</v>
      </c>
      <c r="BQ102" s="199">
        <f t="shared" si="233"/>
        <v>4143.2508287889013</v>
      </c>
      <c r="BS102" s="204">
        <f t="shared" si="259"/>
        <v>15</v>
      </c>
      <c r="BT102" s="759">
        <f>'Energy NPV'!$D27</f>
        <v>0</v>
      </c>
      <c r="BU102" s="197">
        <f>'Energy margins'!$E$12</f>
        <v>43.75</v>
      </c>
      <c r="BV102" s="197">
        <f t="shared" si="260"/>
        <v>0</v>
      </c>
      <c r="BW102" s="197"/>
      <c r="BX102" s="197">
        <f t="shared" si="234"/>
        <v>0</v>
      </c>
      <c r="BY102" s="197"/>
      <c r="BZ102" s="918">
        <f>'Energy NPV'!$U27</f>
        <v>0</v>
      </c>
      <c r="CA102" s="197"/>
      <c r="CB102" s="197">
        <f t="shared" si="235"/>
        <v>0</v>
      </c>
      <c r="CC102" s="197">
        <f t="shared" si="206"/>
        <v>0</v>
      </c>
      <c r="CD102" s="197">
        <f t="shared" si="207"/>
        <v>0</v>
      </c>
      <c r="CE102" s="196">
        <f t="shared" si="236"/>
        <v>0</v>
      </c>
      <c r="CF102" s="197">
        <f t="shared" si="237"/>
        <v>0</v>
      </c>
      <c r="CG102" s="197">
        <f t="shared" si="238"/>
        <v>0</v>
      </c>
      <c r="CH102" s="197">
        <f t="shared" si="239"/>
        <v>0</v>
      </c>
      <c r="CI102" s="199">
        <f t="shared" si="240"/>
        <v>0</v>
      </c>
      <c r="CJ102" s="196">
        <f t="shared" si="261"/>
        <v>5440.4984805761214</v>
      </c>
      <c r="CK102" s="197">
        <f t="shared" si="241"/>
        <v>2574.5584505848601</v>
      </c>
      <c r="CL102" s="197">
        <f t="shared" si="241"/>
        <v>5140.081305857505</v>
      </c>
      <c r="CM102" s="197">
        <f t="shared" si="241"/>
        <v>300.41717471861773</v>
      </c>
      <c r="CN102" s="199">
        <f t="shared" si="241"/>
        <v>2874.975625303478</v>
      </c>
      <c r="CP102" s="204">
        <f t="shared" si="262"/>
        <v>15</v>
      </c>
      <c r="CQ102" s="759">
        <f>'Energy NPV'!$D27</f>
        <v>0</v>
      </c>
      <c r="CR102" s="197">
        <f>'Energy margins'!$E$12</f>
        <v>43.75</v>
      </c>
      <c r="CS102" s="197">
        <f t="shared" si="263"/>
        <v>0</v>
      </c>
      <c r="CT102" s="197"/>
      <c r="CU102" s="197">
        <f t="shared" si="242"/>
        <v>0</v>
      </c>
      <c r="CV102" s="197"/>
      <c r="CW102" s="918">
        <f>'Energy NPV'!$U27</f>
        <v>0</v>
      </c>
      <c r="CX102" s="197"/>
      <c r="CY102" s="197">
        <f t="shared" si="243"/>
        <v>0</v>
      </c>
      <c r="CZ102" s="197">
        <f t="shared" si="208"/>
        <v>0</v>
      </c>
      <c r="DA102" s="197">
        <f t="shared" si="209"/>
        <v>0</v>
      </c>
      <c r="DB102" s="196">
        <f t="shared" si="244"/>
        <v>0</v>
      </c>
      <c r="DC102" s="197">
        <f t="shared" si="245"/>
        <v>0</v>
      </c>
      <c r="DD102" s="197">
        <f t="shared" si="246"/>
        <v>0</v>
      </c>
      <c r="DE102" s="197">
        <f t="shared" si="247"/>
        <v>0</v>
      </c>
      <c r="DF102" s="199">
        <f t="shared" si="248"/>
        <v>0</v>
      </c>
      <c r="DG102" s="196">
        <f t="shared" si="264"/>
        <v>7962.5</v>
      </c>
      <c r="DH102" s="197">
        <f t="shared" si="249"/>
        <v>3300</v>
      </c>
      <c r="DI102" s="197">
        <f t="shared" si="249"/>
        <v>6572.4446720000014</v>
      </c>
      <c r="DJ102" s="197">
        <f t="shared" si="249"/>
        <v>1390.0553279999999</v>
      </c>
      <c r="DK102" s="199">
        <f t="shared" si="249"/>
        <v>4690.0553280000004</v>
      </c>
    </row>
    <row r="103" spans="2:115" x14ac:dyDescent="0.3">
      <c r="B103" s="206">
        <f t="shared" si="250"/>
        <v>16</v>
      </c>
      <c r="C103" s="215">
        <f>'Energy NPV'!$D28</f>
        <v>26</v>
      </c>
      <c r="D103" s="207">
        <f>'Energy margins'!$E$12</f>
        <v>43.75</v>
      </c>
      <c r="E103" s="207">
        <f t="shared" si="251"/>
        <v>1137.5</v>
      </c>
      <c r="F103" s="207"/>
      <c r="G103" s="207">
        <f t="shared" si="210"/>
        <v>1137.5</v>
      </c>
      <c r="H103" s="207"/>
      <c r="I103" s="919">
        <f>'Energy NPV'!$U28</f>
        <v>637.73333400000001</v>
      </c>
      <c r="J103" s="207">
        <f>'Energy margins'!$J$67</f>
        <v>500</v>
      </c>
      <c r="K103" s="207">
        <f t="shared" si="211"/>
        <v>1137.733334</v>
      </c>
      <c r="L103" s="207">
        <f t="shared" si="200"/>
        <v>-0.23333400000001348</v>
      </c>
      <c r="M103" s="207">
        <f t="shared" si="201"/>
        <v>-0.23333400000001348</v>
      </c>
      <c r="N103" s="208">
        <f t="shared" si="212"/>
        <v>730.11796516376637</v>
      </c>
      <c r="O103" s="207">
        <f t="shared" si="213"/>
        <v>0</v>
      </c>
      <c r="P103" s="207">
        <f t="shared" si="214"/>
        <v>730.26773337940028</v>
      </c>
      <c r="Q103" s="207">
        <f t="shared" si="215"/>
        <v>-0.14976821563387438</v>
      </c>
      <c r="R103" s="209">
        <f t="shared" si="216"/>
        <v>-0.14976821563387438</v>
      </c>
      <c r="S103" s="208">
        <f t="shared" si="252"/>
        <v>7249.7050055210802</v>
      </c>
      <c r="T103" s="207">
        <f t="shared" si="217"/>
        <v>2899.4159442201048</v>
      </c>
      <c r="U103" s="207">
        <f t="shared" si="217"/>
        <v>6484.1859442089399</v>
      </c>
      <c r="V103" s="207">
        <f t="shared" si="217"/>
        <v>765.51906131213843</v>
      </c>
      <c r="W103" s="209">
        <f t="shared" si="217"/>
        <v>3664.9350055322434</v>
      </c>
      <c r="Y103" s="206">
        <f t="shared" si="253"/>
        <v>16</v>
      </c>
      <c r="Z103" s="215">
        <f>'Energy NPV'!$D28</f>
        <v>26</v>
      </c>
      <c r="AA103" s="207">
        <f>'Energy margins'!$E$12</f>
        <v>43.75</v>
      </c>
      <c r="AB103" s="207">
        <f t="shared" si="254"/>
        <v>1137.5</v>
      </c>
      <c r="AC103" s="207"/>
      <c r="AD103" s="207">
        <f t="shared" si="218"/>
        <v>1137.5</v>
      </c>
      <c r="AE103" s="207"/>
      <c r="AF103" s="918">
        <f>'Energy NPV'!$U28</f>
        <v>637.73333400000001</v>
      </c>
      <c r="AG103" s="207">
        <f>'Energy margins'!$J$67</f>
        <v>500</v>
      </c>
      <c r="AH103" s="207">
        <f t="shared" si="219"/>
        <v>1137.733334</v>
      </c>
      <c r="AI103" s="207">
        <f t="shared" si="202"/>
        <v>-0.23333400000001348</v>
      </c>
      <c r="AJ103" s="207">
        <f t="shared" si="203"/>
        <v>-0.23333400000001348</v>
      </c>
      <c r="AK103" s="208">
        <f t="shared" si="220"/>
        <v>587.76950313418604</v>
      </c>
      <c r="AL103" s="207">
        <f t="shared" si="221"/>
        <v>0</v>
      </c>
      <c r="AM103" s="207">
        <f t="shared" si="222"/>
        <v>587.89007158187337</v>
      </c>
      <c r="AN103" s="207">
        <f t="shared" si="223"/>
        <v>-0.12056844768731435</v>
      </c>
      <c r="AO103" s="209">
        <f t="shared" si="224"/>
        <v>-0.12056844768731435</v>
      </c>
      <c r="AP103" s="208">
        <f>AP102+AK103</f>
        <v>6529.9429162272781</v>
      </c>
      <c r="AQ103" s="207">
        <f t="shared" si="225"/>
        <v>2728.7008633764417</v>
      </c>
      <c r="AR103" s="207">
        <f t="shared" si="225"/>
        <v>6013.57419256904</v>
      </c>
      <c r="AS103" s="207">
        <f t="shared" si="225"/>
        <v>516.36872365823888</v>
      </c>
      <c r="AT103" s="209">
        <f t="shared" si="225"/>
        <v>3245.0695870346804</v>
      </c>
      <c r="AV103" s="206">
        <f t="shared" si="256"/>
        <v>16</v>
      </c>
      <c r="AW103" s="215">
        <f>'Energy NPV'!$D28</f>
        <v>26</v>
      </c>
      <c r="AX103" s="207">
        <f>'Energy margins'!$E$12</f>
        <v>43.75</v>
      </c>
      <c r="AY103" s="207">
        <f t="shared" si="257"/>
        <v>1137.5</v>
      </c>
      <c r="AZ103" s="207"/>
      <c r="BA103" s="207">
        <f t="shared" si="226"/>
        <v>1137.5</v>
      </c>
      <c r="BB103" s="207"/>
      <c r="BC103" s="918">
        <f>'Energy NPV'!$U28</f>
        <v>637.73333400000001</v>
      </c>
      <c r="BD103" s="207">
        <f>'Energy margins'!$J$67</f>
        <v>500</v>
      </c>
      <c r="BE103" s="207">
        <f t="shared" si="227"/>
        <v>1137.733334</v>
      </c>
      <c r="BF103" s="207">
        <f t="shared" si="204"/>
        <v>-0.23333400000001348</v>
      </c>
      <c r="BG103" s="207">
        <f t="shared" si="205"/>
        <v>-0.23333400000001348</v>
      </c>
      <c r="BH103" s="208">
        <f t="shared" si="228"/>
        <v>909.83108683491139</v>
      </c>
      <c r="BI103" s="207">
        <f t="shared" si="229"/>
        <v>0</v>
      </c>
      <c r="BJ103" s="207">
        <f t="shared" si="230"/>
        <v>910.017719385958</v>
      </c>
      <c r="BK103" s="207">
        <f t="shared" si="231"/>
        <v>-0.1866325510466369</v>
      </c>
      <c r="BL103" s="209">
        <f t="shared" si="232"/>
        <v>-0.1866325510466369</v>
      </c>
      <c r="BM103" s="208">
        <f t="shared" si="258"/>
        <v>8096.9863743619799</v>
      </c>
      <c r="BN103" s="207">
        <f t="shared" si="233"/>
        <v>3088.9707156436448</v>
      </c>
      <c r="BO103" s="207">
        <f t="shared" si="233"/>
        <v>7042.8928937677683</v>
      </c>
      <c r="BP103" s="207">
        <f t="shared" si="233"/>
        <v>1054.09348059421</v>
      </c>
      <c r="BQ103" s="209">
        <f t="shared" si="233"/>
        <v>4143.064196237855</v>
      </c>
      <c r="BS103" s="206">
        <f t="shared" si="259"/>
        <v>16</v>
      </c>
      <c r="BT103" s="215">
        <f>'Energy NPV'!$D28</f>
        <v>26</v>
      </c>
      <c r="BU103" s="207">
        <f>'Energy margins'!$E$12</f>
        <v>43.75</v>
      </c>
      <c r="BV103" s="207">
        <f t="shared" si="260"/>
        <v>1137.5</v>
      </c>
      <c r="BW103" s="207"/>
      <c r="BX103" s="207">
        <f t="shared" si="234"/>
        <v>1137.5</v>
      </c>
      <c r="BY103" s="207"/>
      <c r="BZ103" s="918">
        <f>'Energy NPV'!$U28</f>
        <v>637.73333400000001</v>
      </c>
      <c r="CA103" s="207">
        <f>'Energy margins'!$J$67</f>
        <v>500</v>
      </c>
      <c r="CB103" s="207">
        <f t="shared" si="235"/>
        <v>1137.733334</v>
      </c>
      <c r="CC103" s="207">
        <f t="shared" si="206"/>
        <v>-0.23333400000001348</v>
      </c>
      <c r="CD103" s="207">
        <f t="shared" si="207"/>
        <v>-0.23333400000001348</v>
      </c>
      <c r="CE103" s="208">
        <f t="shared" si="236"/>
        <v>474.63900658667717</v>
      </c>
      <c r="CF103" s="207">
        <f t="shared" si="237"/>
        <v>0</v>
      </c>
      <c r="CG103" s="207">
        <f t="shared" si="238"/>
        <v>474.7363687123588</v>
      </c>
      <c r="CH103" s="207">
        <f t="shared" si="239"/>
        <v>-9.7362125681672199E-2</v>
      </c>
      <c r="CI103" s="209">
        <f t="shared" si="240"/>
        <v>-9.7362125681672199E-2</v>
      </c>
      <c r="CJ103" s="208">
        <f t="shared" si="261"/>
        <v>5915.1374871627986</v>
      </c>
      <c r="CK103" s="207">
        <f t="shared" si="241"/>
        <v>2574.5584505848601</v>
      </c>
      <c r="CL103" s="207">
        <f t="shared" si="241"/>
        <v>5614.8176745698638</v>
      </c>
      <c r="CM103" s="207">
        <f t="shared" si="241"/>
        <v>300.31981259293605</v>
      </c>
      <c r="CN103" s="209">
        <f t="shared" si="241"/>
        <v>2874.8782631777963</v>
      </c>
      <c r="CP103" s="206">
        <f t="shared" si="262"/>
        <v>16</v>
      </c>
      <c r="CQ103" s="215">
        <f>'Energy NPV'!$D28</f>
        <v>26</v>
      </c>
      <c r="CR103" s="207">
        <f>'Energy margins'!$E$12</f>
        <v>43.75</v>
      </c>
      <c r="CS103" s="207">
        <f t="shared" si="263"/>
        <v>1137.5</v>
      </c>
      <c r="CT103" s="207"/>
      <c r="CU103" s="207">
        <f t="shared" si="242"/>
        <v>1137.5</v>
      </c>
      <c r="CV103" s="207"/>
      <c r="CW103" s="918">
        <f>'Energy NPV'!$U28</f>
        <v>637.73333400000001</v>
      </c>
      <c r="CX103" s="207">
        <f>'Energy margins'!$J$67</f>
        <v>500</v>
      </c>
      <c r="CY103" s="207">
        <f t="shared" si="243"/>
        <v>1137.733334</v>
      </c>
      <c r="CZ103" s="207">
        <f t="shared" si="208"/>
        <v>-0.23333400000001348</v>
      </c>
      <c r="DA103" s="207">
        <f t="shared" si="209"/>
        <v>-0.23333400000001348</v>
      </c>
      <c r="DB103" s="208">
        <f t="shared" si="244"/>
        <v>1137.5</v>
      </c>
      <c r="DC103" s="207">
        <f t="shared" si="245"/>
        <v>0</v>
      </c>
      <c r="DD103" s="207">
        <f t="shared" si="246"/>
        <v>1137.733334</v>
      </c>
      <c r="DE103" s="207">
        <f t="shared" si="247"/>
        <v>-0.23333400000001348</v>
      </c>
      <c r="DF103" s="209">
        <f>DA103/((1+$F$4)^(CP103-1))</f>
        <v>-0.23333400000001348</v>
      </c>
      <c r="DG103" s="208">
        <f t="shared" si="264"/>
        <v>9100</v>
      </c>
      <c r="DH103" s="207">
        <f t="shared" si="249"/>
        <v>3300</v>
      </c>
      <c r="DI103" s="207">
        <f t="shared" si="249"/>
        <v>7710.1780060000019</v>
      </c>
      <c r="DJ103" s="207">
        <f t="shared" si="249"/>
        <v>1389.8219939999999</v>
      </c>
      <c r="DK103" s="209">
        <f t="shared" si="249"/>
        <v>4689.8219939999999</v>
      </c>
    </row>
    <row r="109" spans="2:115" x14ac:dyDescent="0.3">
      <c r="B109" s="211" t="s">
        <v>92</v>
      </c>
      <c r="C109" s="763" t="s">
        <v>410</v>
      </c>
      <c r="D109" s="269" t="s">
        <v>395</v>
      </c>
      <c r="E109" s="194"/>
      <c r="F109" s="193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Y109" s="211" t="s">
        <v>92</v>
      </c>
      <c r="Z109" s="211" t="s">
        <v>418</v>
      </c>
      <c r="AA109" s="769"/>
      <c r="AB109" s="194"/>
      <c r="AC109" s="193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V109" s="211" t="s">
        <v>92</v>
      </c>
      <c r="AW109" s="211" t="s">
        <v>417</v>
      </c>
      <c r="AX109" s="231"/>
      <c r="AY109" s="194"/>
      <c r="AZ109" s="193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S109" s="211" t="s">
        <v>92</v>
      </c>
      <c r="BT109" s="211" t="s">
        <v>416</v>
      </c>
      <c r="BU109" s="231"/>
      <c r="BV109" s="194"/>
      <c r="BW109" s="193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  <c r="CM109" s="102"/>
      <c r="CN109" s="102"/>
      <c r="CP109" s="211" t="s">
        <v>92</v>
      </c>
      <c r="CQ109" s="211" t="s">
        <v>415</v>
      </c>
      <c r="CR109" s="231"/>
      <c r="CS109" s="194"/>
      <c r="CT109" s="193"/>
      <c r="CU109" s="102"/>
      <c r="CV109" s="102"/>
      <c r="CW109" s="102"/>
      <c r="CX109" s="102"/>
      <c r="CY109" s="102"/>
      <c r="CZ109" s="102"/>
      <c r="DA109" s="102"/>
      <c r="DB109" s="102"/>
      <c r="DC109" s="102"/>
      <c r="DD109" s="102"/>
      <c r="DE109" s="102"/>
      <c r="DF109" s="102"/>
      <c r="DG109" s="102"/>
      <c r="DH109" s="102"/>
      <c r="DI109" s="102"/>
      <c r="DJ109" s="102"/>
      <c r="DK109" s="102"/>
    </row>
    <row r="110" spans="2:115" x14ac:dyDescent="0.3">
      <c r="B110" s="203"/>
      <c r="C110" s="148"/>
      <c r="D110" s="148"/>
      <c r="E110" s="1108"/>
      <c r="F110" s="1108"/>
      <c r="G110" s="1108"/>
      <c r="H110" s="148"/>
      <c r="I110" s="931"/>
      <c r="J110" s="1108"/>
      <c r="K110" s="1108"/>
      <c r="L110" s="148"/>
      <c r="M110" s="148"/>
      <c r="N110" s="1109" t="s">
        <v>270</v>
      </c>
      <c r="O110" s="1110"/>
      <c r="P110" s="1110"/>
      <c r="Q110" s="1110"/>
      <c r="R110" s="1111"/>
      <c r="S110" s="1109" t="s">
        <v>271</v>
      </c>
      <c r="T110" s="1110"/>
      <c r="U110" s="1110"/>
      <c r="V110" s="1110"/>
      <c r="W110" s="1111"/>
      <c r="Y110" s="203"/>
      <c r="Z110" s="148"/>
      <c r="AA110" s="148"/>
      <c r="AB110" s="1108"/>
      <c r="AC110" s="1108"/>
      <c r="AD110" s="1108"/>
      <c r="AE110" s="148"/>
      <c r="AF110" s="931"/>
      <c r="AG110" s="1108"/>
      <c r="AH110" s="1108"/>
      <c r="AI110" s="148"/>
      <c r="AJ110" s="148"/>
      <c r="AK110" s="1109" t="s">
        <v>270</v>
      </c>
      <c r="AL110" s="1110"/>
      <c r="AM110" s="1110"/>
      <c r="AN110" s="1110"/>
      <c r="AO110" s="1111"/>
      <c r="AP110" s="1109" t="s">
        <v>271</v>
      </c>
      <c r="AQ110" s="1110"/>
      <c r="AR110" s="1110"/>
      <c r="AS110" s="1110"/>
      <c r="AT110" s="1111"/>
      <c r="AV110" s="203"/>
      <c r="AW110" s="148"/>
      <c r="AX110" s="148"/>
      <c r="AY110" s="1108"/>
      <c r="AZ110" s="1108"/>
      <c r="BA110" s="1108"/>
      <c r="BB110" s="148"/>
      <c r="BC110" s="931"/>
      <c r="BD110" s="1108"/>
      <c r="BE110" s="1108"/>
      <c r="BF110" s="148"/>
      <c r="BG110" s="148"/>
      <c r="BH110" s="1109" t="s">
        <v>270</v>
      </c>
      <c r="BI110" s="1110"/>
      <c r="BJ110" s="1110"/>
      <c r="BK110" s="1110"/>
      <c r="BL110" s="1111"/>
      <c r="BM110" s="1109" t="s">
        <v>271</v>
      </c>
      <c r="BN110" s="1110"/>
      <c r="BO110" s="1110"/>
      <c r="BP110" s="1110"/>
      <c r="BQ110" s="1111"/>
      <c r="BS110" s="203"/>
      <c r="BT110" s="148"/>
      <c r="BU110" s="148"/>
      <c r="BV110" s="1108"/>
      <c r="BW110" s="1108"/>
      <c r="BX110" s="1108"/>
      <c r="BY110" s="148"/>
      <c r="BZ110" s="931"/>
      <c r="CA110" s="1108"/>
      <c r="CB110" s="1108"/>
      <c r="CC110" s="148"/>
      <c r="CD110" s="148"/>
      <c r="CE110" s="1109" t="s">
        <v>270</v>
      </c>
      <c r="CF110" s="1110"/>
      <c r="CG110" s="1110"/>
      <c r="CH110" s="1110"/>
      <c r="CI110" s="1111"/>
      <c r="CJ110" s="1109" t="s">
        <v>271</v>
      </c>
      <c r="CK110" s="1110"/>
      <c r="CL110" s="1110"/>
      <c r="CM110" s="1110"/>
      <c r="CN110" s="1111"/>
      <c r="CP110" s="203"/>
      <c r="CQ110" s="148"/>
      <c r="CR110" s="148"/>
      <c r="CS110" s="1108"/>
      <c r="CT110" s="1108"/>
      <c r="CU110" s="1108"/>
      <c r="CV110" s="148"/>
      <c r="CW110" s="931"/>
      <c r="CX110" s="1108"/>
      <c r="CY110" s="1108"/>
      <c r="CZ110" s="148"/>
      <c r="DA110" s="148"/>
      <c r="DB110" s="1109" t="s">
        <v>270</v>
      </c>
      <c r="DC110" s="1110"/>
      <c r="DD110" s="1110"/>
      <c r="DE110" s="1110"/>
      <c r="DF110" s="1111"/>
      <c r="DG110" s="1109" t="s">
        <v>271</v>
      </c>
      <c r="DH110" s="1110"/>
      <c r="DI110" s="1110"/>
      <c r="DJ110" s="1110"/>
      <c r="DK110" s="1111"/>
    </row>
    <row r="111" spans="2:115" ht="51" x14ac:dyDescent="0.3">
      <c r="B111" s="204" t="s">
        <v>272</v>
      </c>
      <c r="C111" s="205" t="s">
        <v>289</v>
      </c>
      <c r="D111" s="205" t="s">
        <v>290</v>
      </c>
      <c r="E111" s="171" t="s">
        <v>676</v>
      </c>
      <c r="F111" s="171" t="s">
        <v>672</v>
      </c>
      <c r="G111" s="171" t="s">
        <v>677</v>
      </c>
      <c r="H111" s="205" t="s">
        <v>287</v>
      </c>
      <c r="I111" s="935" t="s">
        <v>288</v>
      </c>
      <c r="J111" s="205" t="s">
        <v>291</v>
      </c>
      <c r="K111" s="171" t="s">
        <v>276</v>
      </c>
      <c r="L111" s="171" t="s">
        <v>678</v>
      </c>
      <c r="M111" s="171" t="s">
        <v>679</v>
      </c>
      <c r="N111" s="195" t="s">
        <v>277</v>
      </c>
      <c r="O111" s="171" t="s">
        <v>680</v>
      </c>
      <c r="P111" s="171" t="s">
        <v>278</v>
      </c>
      <c r="Q111" s="171" t="s">
        <v>681</v>
      </c>
      <c r="R111" s="198" t="s">
        <v>279</v>
      </c>
      <c r="S111" s="195" t="s">
        <v>280</v>
      </c>
      <c r="T111" s="171" t="s">
        <v>682</v>
      </c>
      <c r="U111" s="171" t="s">
        <v>281</v>
      </c>
      <c r="V111" s="171" t="s">
        <v>683</v>
      </c>
      <c r="W111" s="198" t="s">
        <v>282</v>
      </c>
      <c r="Y111" s="204" t="s">
        <v>272</v>
      </c>
      <c r="Z111" s="205" t="s">
        <v>289</v>
      </c>
      <c r="AA111" s="205" t="s">
        <v>290</v>
      </c>
      <c r="AB111" s="171" t="s">
        <v>676</v>
      </c>
      <c r="AC111" s="171" t="s">
        <v>672</v>
      </c>
      <c r="AD111" s="171" t="s">
        <v>677</v>
      </c>
      <c r="AE111" s="205" t="s">
        <v>287</v>
      </c>
      <c r="AF111" s="935" t="s">
        <v>288</v>
      </c>
      <c r="AG111" s="205" t="s">
        <v>291</v>
      </c>
      <c r="AH111" s="171" t="s">
        <v>276</v>
      </c>
      <c r="AI111" s="171" t="s">
        <v>678</v>
      </c>
      <c r="AJ111" s="171" t="s">
        <v>679</v>
      </c>
      <c r="AK111" s="195" t="s">
        <v>277</v>
      </c>
      <c r="AL111" s="171" t="s">
        <v>680</v>
      </c>
      <c r="AM111" s="171" t="s">
        <v>278</v>
      </c>
      <c r="AN111" s="171" t="s">
        <v>681</v>
      </c>
      <c r="AO111" s="198" t="s">
        <v>279</v>
      </c>
      <c r="AP111" s="195" t="s">
        <v>280</v>
      </c>
      <c r="AQ111" s="171" t="s">
        <v>682</v>
      </c>
      <c r="AR111" s="171" t="s">
        <v>281</v>
      </c>
      <c r="AS111" s="171" t="s">
        <v>683</v>
      </c>
      <c r="AT111" s="198" t="s">
        <v>282</v>
      </c>
      <c r="AV111" s="204" t="s">
        <v>272</v>
      </c>
      <c r="AW111" s="205" t="s">
        <v>289</v>
      </c>
      <c r="AX111" s="205" t="s">
        <v>290</v>
      </c>
      <c r="AY111" s="171" t="s">
        <v>676</v>
      </c>
      <c r="AZ111" s="171" t="s">
        <v>672</v>
      </c>
      <c r="BA111" s="171" t="s">
        <v>677</v>
      </c>
      <c r="BB111" s="205" t="s">
        <v>287</v>
      </c>
      <c r="BC111" s="935" t="s">
        <v>288</v>
      </c>
      <c r="BD111" s="205" t="s">
        <v>291</v>
      </c>
      <c r="BE111" s="171" t="s">
        <v>276</v>
      </c>
      <c r="BF111" s="171" t="s">
        <v>678</v>
      </c>
      <c r="BG111" s="171" t="s">
        <v>679</v>
      </c>
      <c r="BH111" s="195" t="s">
        <v>277</v>
      </c>
      <c r="BI111" s="171" t="s">
        <v>680</v>
      </c>
      <c r="BJ111" s="171" t="s">
        <v>278</v>
      </c>
      <c r="BK111" s="171" t="s">
        <v>681</v>
      </c>
      <c r="BL111" s="198" t="s">
        <v>279</v>
      </c>
      <c r="BM111" s="195" t="s">
        <v>280</v>
      </c>
      <c r="BN111" s="171" t="s">
        <v>682</v>
      </c>
      <c r="BO111" s="171" t="s">
        <v>281</v>
      </c>
      <c r="BP111" s="171" t="s">
        <v>683</v>
      </c>
      <c r="BQ111" s="198" t="s">
        <v>282</v>
      </c>
      <c r="BS111" s="204" t="s">
        <v>272</v>
      </c>
      <c r="BT111" s="205" t="s">
        <v>289</v>
      </c>
      <c r="BU111" s="205" t="s">
        <v>290</v>
      </c>
      <c r="BV111" s="171" t="s">
        <v>676</v>
      </c>
      <c r="BW111" s="171" t="s">
        <v>672</v>
      </c>
      <c r="BX111" s="171" t="s">
        <v>677</v>
      </c>
      <c r="BY111" s="205" t="s">
        <v>287</v>
      </c>
      <c r="BZ111" s="935" t="s">
        <v>288</v>
      </c>
      <c r="CA111" s="205" t="s">
        <v>291</v>
      </c>
      <c r="CB111" s="171" t="s">
        <v>276</v>
      </c>
      <c r="CC111" s="171" t="s">
        <v>678</v>
      </c>
      <c r="CD111" s="171" t="s">
        <v>679</v>
      </c>
      <c r="CE111" s="195" t="s">
        <v>277</v>
      </c>
      <c r="CF111" s="171" t="s">
        <v>680</v>
      </c>
      <c r="CG111" s="171" t="s">
        <v>278</v>
      </c>
      <c r="CH111" s="171" t="s">
        <v>681</v>
      </c>
      <c r="CI111" s="198" t="s">
        <v>279</v>
      </c>
      <c r="CJ111" s="195" t="s">
        <v>280</v>
      </c>
      <c r="CK111" s="171" t="s">
        <v>682</v>
      </c>
      <c r="CL111" s="171" t="s">
        <v>281</v>
      </c>
      <c r="CM111" s="171" t="s">
        <v>683</v>
      </c>
      <c r="CN111" s="198" t="s">
        <v>282</v>
      </c>
      <c r="CP111" s="204" t="s">
        <v>272</v>
      </c>
      <c r="CQ111" s="205" t="s">
        <v>289</v>
      </c>
      <c r="CR111" s="205" t="s">
        <v>290</v>
      </c>
      <c r="CS111" s="171" t="s">
        <v>676</v>
      </c>
      <c r="CT111" s="171" t="s">
        <v>672</v>
      </c>
      <c r="CU111" s="171" t="s">
        <v>677</v>
      </c>
      <c r="CV111" s="205" t="s">
        <v>287</v>
      </c>
      <c r="CW111" s="935" t="s">
        <v>288</v>
      </c>
      <c r="CX111" s="205" t="s">
        <v>291</v>
      </c>
      <c r="CY111" s="171" t="s">
        <v>276</v>
      </c>
      <c r="CZ111" s="171" t="s">
        <v>678</v>
      </c>
      <c r="DA111" s="171" t="s">
        <v>679</v>
      </c>
      <c r="DB111" s="195" t="s">
        <v>277</v>
      </c>
      <c r="DC111" s="171" t="s">
        <v>680</v>
      </c>
      <c r="DD111" s="171" t="s">
        <v>278</v>
      </c>
      <c r="DE111" s="171" t="s">
        <v>681</v>
      </c>
      <c r="DF111" s="198" t="s">
        <v>279</v>
      </c>
      <c r="DG111" s="195" t="s">
        <v>280</v>
      </c>
      <c r="DH111" s="171" t="s">
        <v>682</v>
      </c>
      <c r="DI111" s="171" t="s">
        <v>281</v>
      </c>
      <c r="DJ111" s="171" t="s">
        <v>683</v>
      </c>
      <c r="DK111" s="198" t="s">
        <v>282</v>
      </c>
    </row>
    <row r="112" spans="2:115" x14ac:dyDescent="0.3">
      <c r="B112" s="173"/>
      <c r="C112" s="226" t="s">
        <v>332</v>
      </c>
      <c r="D112" s="226" t="s">
        <v>569</v>
      </c>
      <c r="E112" s="201" t="s">
        <v>567</v>
      </c>
      <c r="F112" s="201" t="s">
        <v>567</v>
      </c>
      <c r="G112" s="201" t="s">
        <v>567</v>
      </c>
      <c r="H112" s="201" t="s">
        <v>567</v>
      </c>
      <c r="I112" s="969" t="s">
        <v>567</v>
      </c>
      <c r="J112" s="201" t="s">
        <v>567</v>
      </c>
      <c r="K112" s="201" t="s">
        <v>567</v>
      </c>
      <c r="L112" s="201" t="s">
        <v>567</v>
      </c>
      <c r="M112" s="202" t="s">
        <v>567</v>
      </c>
      <c r="N112" s="201" t="s">
        <v>567</v>
      </c>
      <c r="O112" s="201" t="s">
        <v>567</v>
      </c>
      <c r="P112" s="201" t="s">
        <v>567</v>
      </c>
      <c r="Q112" s="201" t="s">
        <v>567</v>
      </c>
      <c r="R112" s="202" t="s">
        <v>567</v>
      </c>
      <c r="S112" s="201" t="s">
        <v>567</v>
      </c>
      <c r="T112" s="201" t="s">
        <v>567</v>
      </c>
      <c r="U112" s="201" t="s">
        <v>567</v>
      </c>
      <c r="V112" s="201" t="s">
        <v>567</v>
      </c>
      <c r="W112" s="202" t="s">
        <v>567</v>
      </c>
      <c r="Y112" s="173"/>
      <c r="Z112" s="226" t="s">
        <v>332</v>
      </c>
      <c r="AA112" s="226" t="s">
        <v>569</v>
      </c>
      <c r="AB112" s="201" t="s">
        <v>567</v>
      </c>
      <c r="AC112" s="201" t="s">
        <v>567</v>
      </c>
      <c r="AD112" s="201" t="s">
        <v>567</v>
      </c>
      <c r="AE112" s="201" t="s">
        <v>567</v>
      </c>
      <c r="AF112" s="969" t="s">
        <v>567</v>
      </c>
      <c r="AG112" s="201" t="s">
        <v>567</v>
      </c>
      <c r="AH112" s="201" t="s">
        <v>567</v>
      </c>
      <c r="AI112" s="201" t="s">
        <v>567</v>
      </c>
      <c r="AJ112" s="202" t="s">
        <v>567</v>
      </c>
      <c r="AK112" s="201" t="s">
        <v>567</v>
      </c>
      <c r="AL112" s="201" t="s">
        <v>567</v>
      </c>
      <c r="AM112" s="201" t="s">
        <v>567</v>
      </c>
      <c r="AN112" s="201" t="s">
        <v>567</v>
      </c>
      <c r="AO112" s="202" t="s">
        <v>567</v>
      </c>
      <c r="AP112" s="201" t="s">
        <v>567</v>
      </c>
      <c r="AQ112" s="201" t="s">
        <v>567</v>
      </c>
      <c r="AR112" s="201" t="s">
        <v>567</v>
      </c>
      <c r="AS112" s="201" t="s">
        <v>567</v>
      </c>
      <c r="AT112" s="202" t="s">
        <v>567</v>
      </c>
      <c r="AV112" s="173"/>
      <c r="AW112" s="226" t="s">
        <v>332</v>
      </c>
      <c r="AX112" s="226" t="s">
        <v>569</v>
      </c>
      <c r="AY112" s="201" t="s">
        <v>567</v>
      </c>
      <c r="AZ112" s="201" t="s">
        <v>567</v>
      </c>
      <c r="BA112" s="201" t="s">
        <v>567</v>
      </c>
      <c r="BB112" s="201" t="s">
        <v>567</v>
      </c>
      <c r="BC112" s="969" t="s">
        <v>567</v>
      </c>
      <c r="BD112" s="201" t="s">
        <v>567</v>
      </c>
      <c r="BE112" s="201" t="s">
        <v>567</v>
      </c>
      <c r="BF112" s="201" t="s">
        <v>567</v>
      </c>
      <c r="BG112" s="202" t="s">
        <v>567</v>
      </c>
      <c r="BH112" s="201" t="s">
        <v>567</v>
      </c>
      <c r="BI112" s="201" t="s">
        <v>567</v>
      </c>
      <c r="BJ112" s="201" t="s">
        <v>567</v>
      </c>
      <c r="BK112" s="201" t="s">
        <v>567</v>
      </c>
      <c r="BL112" s="202" t="s">
        <v>567</v>
      </c>
      <c r="BM112" s="201" t="s">
        <v>567</v>
      </c>
      <c r="BN112" s="201" t="s">
        <v>567</v>
      </c>
      <c r="BO112" s="201" t="s">
        <v>567</v>
      </c>
      <c r="BP112" s="201" t="s">
        <v>567</v>
      </c>
      <c r="BQ112" s="202" t="s">
        <v>567</v>
      </c>
      <c r="BS112" s="173"/>
      <c r="BT112" s="226" t="s">
        <v>332</v>
      </c>
      <c r="BU112" s="226" t="s">
        <v>569</v>
      </c>
      <c r="BV112" s="201" t="s">
        <v>567</v>
      </c>
      <c r="BW112" s="201" t="s">
        <v>567</v>
      </c>
      <c r="BX112" s="201" t="s">
        <v>567</v>
      </c>
      <c r="BY112" s="201" t="s">
        <v>567</v>
      </c>
      <c r="BZ112" s="969" t="s">
        <v>567</v>
      </c>
      <c r="CA112" s="201" t="s">
        <v>567</v>
      </c>
      <c r="CB112" s="201" t="s">
        <v>567</v>
      </c>
      <c r="CC112" s="201" t="s">
        <v>567</v>
      </c>
      <c r="CD112" s="202" t="s">
        <v>567</v>
      </c>
      <c r="CE112" s="201" t="s">
        <v>567</v>
      </c>
      <c r="CF112" s="201" t="s">
        <v>567</v>
      </c>
      <c r="CG112" s="201" t="s">
        <v>567</v>
      </c>
      <c r="CH112" s="201" t="s">
        <v>567</v>
      </c>
      <c r="CI112" s="202" t="s">
        <v>567</v>
      </c>
      <c r="CJ112" s="201" t="s">
        <v>567</v>
      </c>
      <c r="CK112" s="201" t="s">
        <v>567</v>
      </c>
      <c r="CL112" s="201" t="s">
        <v>567</v>
      </c>
      <c r="CM112" s="201" t="s">
        <v>567</v>
      </c>
      <c r="CN112" s="202" t="s">
        <v>567</v>
      </c>
      <c r="CP112" s="173"/>
      <c r="CQ112" s="226" t="s">
        <v>332</v>
      </c>
      <c r="CR112" s="226" t="s">
        <v>569</v>
      </c>
      <c r="CS112" s="201" t="s">
        <v>567</v>
      </c>
      <c r="CT112" s="201" t="s">
        <v>567</v>
      </c>
      <c r="CU112" s="201" t="s">
        <v>567</v>
      </c>
      <c r="CV112" s="201" t="s">
        <v>567</v>
      </c>
      <c r="CW112" s="969" t="s">
        <v>567</v>
      </c>
      <c r="CX112" s="201" t="s">
        <v>567</v>
      </c>
      <c r="CY112" s="201" t="s">
        <v>567</v>
      </c>
      <c r="CZ112" s="201" t="s">
        <v>567</v>
      </c>
      <c r="DA112" s="202" t="s">
        <v>567</v>
      </c>
      <c r="DB112" s="201" t="s">
        <v>567</v>
      </c>
      <c r="DC112" s="201" t="s">
        <v>567</v>
      </c>
      <c r="DD112" s="201" t="s">
        <v>567</v>
      </c>
      <c r="DE112" s="201" t="s">
        <v>567</v>
      </c>
      <c r="DF112" s="202" t="s">
        <v>567</v>
      </c>
      <c r="DG112" s="201" t="s">
        <v>567</v>
      </c>
      <c r="DH112" s="201" t="s">
        <v>567</v>
      </c>
      <c r="DI112" s="201" t="s">
        <v>567</v>
      </c>
      <c r="DJ112" s="201" t="s">
        <v>567</v>
      </c>
      <c r="DK112" s="202" t="s">
        <v>567</v>
      </c>
    </row>
    <row r="113" spans="2:115" x14ac:dyDescent="0.3">
      <c r="B113" s="204">
        <v>1</v>
      </c>
      <c r="C113" s="760">
        <f>'Energy NPV'!$D39</f>
        <v>0.6</v>
      </c>
      <c r="D113" s="197">
        <f>'Energy margins'!$L$12</f>
        <v>43.75</v>
      </c>
      <c r="E113" s="197">
        <f>C113*D113</f>
        <v>26.25</v>
      </c>
      <c r="F113" s="197">
        <f>'Margins summary'!$S$14</f>
        <v>330</v>
      </c>
      <c r="G113" s="197">
        <f>E113+F113</f>
        <v>356.25</v>
      </c>
      <c r="H113" s="197">
        <f>'Margins summary'!$R$20</f>
        <v>2254.8232439999997</v>
      </c>
      <c r="I113" s="918">
        <f>'Energy NPV'!U39</f>
        <v>0</v>
      </c>
      <c r="J113" s="197"/>
      <c r="K113" s="197">
        <f>H113+I113+J113</f>
        <v>2254.8232439999997</v>
      </c>
      <c r="L113" s="197">
        <f t="shared" ref="L113:L128" si="265">E113-K113</f>
        <v>-2228.5732439999997</v>
      </c>
      <c r="M113" s="197">
        <f t="shared" ref="M113:M128" si="266">G113-K113</f>
        <v>-1898.5732439999997</v>
      </c>
      <c r="N113" s="1033">
        <f>E113/((1+$B$4)^(B113-1))</f>
        <v>26.25</v>
      </c>
      <c r="O113" s="213">
        <f>F113/((1+$B$4)^(B113-1))</f>
        <v>330</v>
      </c>
      <c r="P113" s="213">
        <f>K113/((1+$B$4)^(B113-1))</f>
        <v>2254.8232439999997</v>
      </c>
      <c r="Q113" s="213">
        <f>L113/((1+$B$4)^(B113-1))</f>
        <v>-2228.5732439999997</v>
      </c>
      <c r="R113" s="929">
        <f>M113/((1+$B$4)^(B113-1))</f>
        <v>-1898.5732439999997</v>
      </c>
      <c r="S113" s="196">
        <f>N113</f>
        <v>26.25</v>
      </c>
      <c r="T113" s="197">
        <f>O113</f>
        <v>330</v>
      </c>
      <c r="U113" s="197">
        <f>P113</f>
        <v>2254.8232439999997</v>
      </c>
      <c r="V113" s="197">
        <f>Q113</f>
        <v>-2228.5732439999997</v>
      </c>
      <c r="W113" s="199">
        <f>R113</f>
        <v>-1898.5732439999997</v>
      </c>
      <c r="Y113" s="204">
        <v>1</v>
      </c>
      <c r="Z113" s="760">
        <f>'Energy NPV'!$D39</f>
        <v>0.6</v>
      </c>
      <c r="AA113" s="197">
        <f>'Energy margins'!$L$12</f>
        <v>43.75</v>
      </c>
      <c r="AB113" s="197">
        <f>Z113*AA113</f>
        <v>26.25</v>
      </c>
      <c r="AC113" s="197">
        <f>'Margins summary'!$S$14</f>
        <v>330</v>
      </c>
      <c r="AD113" s="197">
        <f>AB113+AC113</f>
        <v>356.25</v>
      </c>
      <c r="AE113" s="197">
        <f>'Margins summary'!$R$20</f>
        <v>2254.8232439999997</v>
      </c>
      <c r="AF113" s="918">
        <f>'Energy NPV'!U39</f>
        <v>0</v>
      </c>
      <c r="AG113" s="197"/>
      <c r="AH113" s="197">
        <f>AE113+AF113+AG113</f>
        <v>2254.8232439999997</v>
      </c>
      <c r="AI113" s="197">
        <f t="shared" ref="AI113:AI128" si="267">AB113-AH113</f>
        <v>-2228.5732439999997</v>
      </c>
      <c r="AJ113" s="197">
        <f t="shared" ref="AJ113:AJ128" si="268">AD113-AH113</f>
        <v>-1898.5732439999997</v>
      </c>
      <c r="AK113" s="1033">
        <f>AB113/((1+$C$4)^(Y113-1))</f>
        <v>26.25</v>
      </c>
      <c r="AL113" s="213">
        <f>AC113/((1+$C$4)^(Y113-1))</f>
        <v>330</v>
      </c>
      <c r="AM113" s="213">
        <f>AH113/((1+$C$4)^(Y113-1))</f>
        <v>2254.8232439999997</v>
      </c>
      <c r="AN113" s="213">
        <f>AI113/((1+$C$4)^(Y113-1))</f>
        <v>-2228.5732439999997</v>
      </c>
      <c r="AO113" s="929">
        <f>AJ113/((1+$C$4)^(Y113-1))</f>
        <v>-1898.5732439999997</v>
      </c>
      <c r="AP113" s="196">
        <f>AK113</f>
        <v>26.25</v>
      </c>
      <c r="AQ113" s="197">
        <f>AL113</f>
        <v>330</v>
      </c>
      <c r="AR113" s="197">
        <f>AM113</f>
        <v>2254.8232439999997</v>
      </c>
      <c r="AS113" s="197">
        <f>AN113</f>
        <v>-2228.5732439999997</v>
      </c>
      <c r="AT113" s="199">
        <f>AO113</f>
        <v>-1898.5732439999997</v>
      </c>
      <c r="AV113" s="204">
        <v>1</v>
      </c>
      <c r="AW113" s="760">
        <f>'Energy NPV'!$D39</f>
        <v>0.6</v>
      </c>
      <c r="AX113" s="197">
        <f>'Energy margins'!$L$12</f>
        <v>43.75</v>
      </c>
      <c r="AY113" s="197">
        <f>AW113*AX113</f>
        <v>26.25</v>
      </c>
      <c r="AZ113" s="197">
        <f>'Margins summary'!$S$14</f>
        <v>330</v>
      </c>
      <c r="BA113" s="197">
        <f>AY113+AZ113</f>
        <v>356.25</v>
      </c>
      <c r="BB113" s="197">
        <f>'Margins summary'!$R$20</f>
        <v>2254.8232439999997</v>
      </c>
      <c r="BC113" s="918">
        <f>'Energy NPV'!U39</f>
        <v>0</v>
      </c>
      <c r="BD113" s="197"/>
      <c r="BE113" s="197">
        <f>BB113+BC113+BD113</f>
        <v>2254.8232439999997</v>
      </c>
      <c r="BF113" s="197">
        <f t="shared" ref="BF113:BF128" si="269">AY113-BE113</f>
        <v>-2228.5732439999997</v>
      </c>
      <c r="BG113" s="197">
        <f t="shared" ref="BG113:BG128" si="270">BA113-BE113</f>
        <v>-1898.5732439999997</v>
      </c>
      <c r="BH113" s="1033">
        <f>AY113/((1+$D$4)^(AV113-1))</f>
        <v>26.25</v>
      </c>
      <c r="BI113" s="213">
        <f>AZ113/((1+$D$4)^(AV113-1))</f>
        <v>330</v>
      </c>
      <c r="BJ113" s="213">
        <f>BE113/((1+$D$4)^(AV113-1))</f>
        <v>2254.8232439999997</v>
      </c>
      <c r="BK113" s="213">
        <f>BF113/((1+$D$4)^(AV113-1))</f>
        <v>-2228.5732439999997</v>
      </c>
      <c r="BL113" s="929">
        <f>BG113/((1+$D$4)^(AV113-1))</f>
        <v>-1898.5732439999997</v>
      </c>
      <c r="BM113" s="196">
        <f>BH113</f>
        <v>26.25</v>
      </c>
      <c r="BN113" s="197">
        <f>BI113</f>
        <v>330</v>
      </c>
      <c r="BO113" s="197">
        <f>BJ113</f>
        <v>2254.8232439999997</v>
      </c>
      <c r="BP113" s="197">
        <f>BK113</f>
        <v>-2228.5732439999997</v>
      </c>
      <c r="BQ113" s="199">
        <f>BL113</f>
        <v>-1898.5732439999997</v>
      </c>
      <c r="BS113" s="204">
        <v>1</v>
      </c>
      <c r="BT113" s="760">
        <f>'Energy NPV'!$D39</f>
        <v>0.6</v>
      </c>
      <c r="BU113" s="197">
        <f>'Energy margins'!$L$12</f>
        <v>43.75</v>
      </c>
      <c r="BV113" s="197">
        <f>BT113*BU113</f>
        <v>26.25</v>
      </c>
      <c r="BW113" s="197">
        <f>'Margins summary'!$S$14</f>
        <v>330</v>
      </c>
      <c r="BX113" s="197">
        <f>BV113+BW113</f>
        <v>356.25</v>
      </c>
      <c r="BY113" s="197">
        <f>'Margins summary'!$R$20</f>
        <v>2254.8232439999997</v>
      </c>
      <c r="BZ113" s="918">
        <f>'Energy NPV'!U39</f>
        <v>0</v>
      </c>
      <c r="CA113" s="197"/>
      <c r="CB113" s="197">
        <f>BY113+BZ113+CA113</f>
        <v>2254.8232439999997</v>
      </c>
      <c r="CC113" s="197">
        <f t="shared" ref="CC113:CC128" si="271">BV113-CB113</f>
        <v>-2228.5732439999997</v>
      </c>
      <c r="CD113" s="197">
        <f t="shared" ref="CD113:CD128" si="272">BX113-CB113</f>
        <v>-1898.5732439999997</v>
      </c>
      <c r="CE113" s="1033">
        <f>BV113/((1+$E$4)^(BS113-1))</f>
        <v>26.25</v>
      </c>
      <c r="CF113" s="213">
        <f>BW113/((1+$E$4)^(BS113-1))</f>
        <v>330</v>
      </c>
      <c r="CG113" s="213">
        <f>CB113/((1+$E$4)^(BS113-1))</f>
        <v>2254.8232439999997</v>
      </c>
      <c r="CH113" s="213">
        <f>CC113/((1+$E$4)^(BS113-1))</f>
        <v>-2228.5732439999997</v>
      </c>
      <c r="CI113" s="929">
        <f>CD113/((1+$E$4)^(BS113-1))</f>
        <v>-1898.5732439999997</v>
      </c>
      <c r="CJ113" s="196">
        <f>CE113</f>
        <v>26.25</v>
      </c>
      <c r="CK113" s="197">
        <f>CF113</f>
        <v>330</v>
      </c>
      <c r="CL113" s="197">
        <f>CG113</f>
        <v>2254.8232439999997</v>
      </c>
      <c r="CM113" s="197">
        <f>CH113</f>
        <v>-2228.5732439999997</v>
      </c>
      <c r="CN113" s="199">
        <f>CI113</f>
        <v>-1898.5732439999997</v>
      </c>
      <c r="CP113" s="204">
        <v>1</v>
      </c>
      <c r="CQ113" s="760">
        <f>'Energy NPV'!$D39</f>
        <v>0.6</v>
      </c>
      <c r="CR113" s="197">
        <f>'Energy margins'!$L$12</f>
        <v>43.75</v>
      </c>
      <c r="CS113" s="197">
        <f>CQ113*CR113</f>
        <v>26.25</v>
      </c>
      <c r="CT113" s="197">
        <f>'Margins summary'!$S$14</f>
        <v>330</v>
      </c>
      <c r="CU113" s="197">
        <f>CS113+CT113</f>
        <v>356.25</v>
      </c>
      <c r="CV113" s="197">
        <f>'Margins summary'!$R$20</f>
        <v>2254.8232439999997</v>
      </c>
      <c r="CW113" s="918">
        <f>'Energy NPV'!U39</f>
        <v>0</v>
      </c>
      <c r="CX113" s="197"/>
      <c r="CY113" s="197">
        <f>CV113+CW113+CX113</f>
        <v>2254.8232439999997</v>
      </c>
      <c r="CZ113" s="197">
        <f t="shared" ref="CZ113:CZ128" si="273">CS113-CY113</f>
        <v>-2228.5732439999997</v>
      </c>
      <c r="DA113" s="197">
        <f t="shared" ref="DA113:DA128" si="274">CU113-CY113</f>
        <v>-1898.5732439999997</v>
      </c>
      <c r="DB113" s="1033">
        <f>CS113/((1+$F$4)^(CP113-1))</f>
        <v>26.25</v>
      </c>
      <c r="DC113" s="213">
        <f>CT113/((1+$F$4)^(CP113-1))</f>
        <v>330</v>
      </c>
      <c r="DD113" s="213">
        <f>CY113/((1+$F$4)^(CP113-1))</f>
        <v>2254.8232439999997</v>
      </c>
      <c r="DE113" s="213">
        <f>CZ113/((1+$F$4)^(CP113-1))</f>
        <v>-2228.5732439999997</v>
      </c>
      <c r="DF113" s="929">
        <f>DA113/((1+$F$4)^(CP113-1))</f>
        <v>-1898.5732439999997</v>
      </c>
      <c r="DG113" s="196">
        <f>DB113</f>
        <v>26.25</v>
      </c>
      <c r="DH113" s="197">
        <f>DC113</f>
        <v>330</v>
      </c>
      <c r="DI113" s="197">
        <f>DD113</f>
        <v>2254.8232439999997</v>
      </c>
      <c r="DJ113" s="197">
        <f>DE113</f>
        <v>-2228.5732439999997</v>
      </c>
      <c r="DK113" s="199">
        <f>DF113</f>
        <v>-1898.5732439999997</v>
      </c>
    </row>
    <row r="114" spans="2:115" x14ac:dyDescent="0.3">
      <c r="B114" s="204">
        <v>2</v>
      </c>
      <c r="C114" s="760">
        <f>'Energy NPV'!$D40</f>
        <v>3.9250000000000007</v>
      </c>
      <c r="D114" s="197">
        <f>'Energy margins'!$L$12</f>
        <v>43.75</v>
      </c>
      <c r="E114" s="197">
        <f>C114*D114</f>
        <v>171.71875000000003</v>
      </c>
      <c r="F114" s="197">
        <f>'Margins summary'!$S$14</f>
        <v>330</v>
      </c>
      <c r="G114" s="197">
        <f t="shared" ref="G114:G128" si="275">E114+F114</f>
        <v>501.71875</v>
      </c>
      <c r="H114" s="197"/>
      <c r="I114" s="918">
        <f>'Energy NPV'!U40</f>
        <v>536.86224399999992</v>
      </c>
      <c r="J114" s="197"/>
      <c r="K114" s="197">
        <f t="shared" ref="K114:K128" si="276">H114+I114+J114</f>
        <v>536.86224399999992</v>
      </c>
      <c r="L114" s="197">
        <f t="shared" si="265"/>
        <v>-365.14349399999992</v>
      </c>
      <c r="M114" s="197">
        <f t="shared" si="266"/>
        <v>-35.143493999999919</v>
      </c>
      <c r="N114" s="196">
        <f>E114/((1+$B$4)^(B114-1))</f>
        <v>166.71723300970876</v>
      </c>
      <c r="O114" s="197">
        <f t="shared" ref="O114:O128" si="277">F114/((1+$B$4)^(B114-1))</f>
        <v>320.38834951456312</v>
      </c>
      <c r="P114" s="197">
        <f t="shared" ref="P114:P128" si="278">K114/((1+$B$4)^(B114-1))</f>
        <v>521.22547961165037</v>
      </c>
      <c r="Q114" s="197">
        <f t="shared" ref="Q114:Q128" si="279">L114/((1+$B$4)^(B114-1))</f>
        <v>-354.50824660194166</v>
      </c>
      <c r="R114" s="199">
        <f t="shared" ref="R114:R128" si="280">M114/((1+$B$4)^(B114-1))</f>
        <v>-34.119897087378561</v>
      </c>
      <c r="S114" s="196">
        <f>S113+N114</f>
        <v>192.96723300970876</v>
      </c>
      <c r="T114" s="197">
        <f t="shared" ref="T114:W128" si="281">T113+O114</f>
        <v>650.38834951456306</v>
      </c>
      <c r="U114" s="197">
        <f t="shared" si="281"/>
        <v>2776.0487236116501</v>
      </c>
      <c r="V114" s="197">
        <f t="shared" si="281"/>
        <v>-2583.0814906019414</v>
      </c>
      <c r="W114" s="199">
        <f t="shared" si="281"/>
        <v>-1932.6931410873783</v>
      </c>
      <c r="Y114" s="204">
        <v>2</v>
      </c>
      <c r="Z114" s="760">
        <f>'Energy NPV'!$D40</f>
        <v>3.9250000000000007</v>
      </c>
      <c r="AA114" s="197">
        <f>'Energy margins'!$L$12</f>
        <v>43.75</v>
      </c>
      <c r="AB114" s="197">
        <f>Z114*AA114</f>
        <v>171.71875000000003</v>
      </c>
      <c r="AC114" s="197">
        <f>'Margins summary'!$S$14</f>
        <v>330</v>
      </c>
      <c r="AD114" s="197">
        <f t="shared" ref="AD114:AD128" si="282">AB114+AC114</f>
        <v>501.71875</v>
      </c>
      <c r="AE114" s="197"/>
      <c r="AF114" s="918">
        <f>'Energy NPV'!U40</f>
        <v>536.86224399999992</v>
      </c>
      <c r="AG114" s="197"/>
      <c r="AH114" s="197">
        <f t="shared" ref="AH114:AH128" si="283">AE114+AF114+AG114</f>
        <v>536.86224399999992</v>
      </c>
      <c r="AI114" s="197">
        <f t="shared" si="267"/>
        <v>-365.14349399999992</v>
      </c>
      <c r="AJ114" s="197">
        <f t="shared" si="268"/>
        <v>-35.143493999999919</v>
      </c>
      <c r="AK114" s="196">
        <f t="shared" ref="AK114:AK128" si="284">AB114/((1+$C$4)^(Y114-1))</f>
        <v>164.32416267942588</v>
      </c>
      <c r="AL114" s="197">
        <f t="shared" ref="AL114:AL128" si="285">AC114/((1+$C$4)^(Y114-1))</f>
        <v>315.78947368421052</v>
      </c>
      <c r="AM114" s="197">
        <f t="shared" ref="AM114:AM128" si="286">AH114/((1+$C$4)^(Y114-1))</f>
        <v>513.74377416267941</v>
      </c>
      <c r="AN114" s="197">
        <f t="shared" ref="AN114:AN128" si="287">AI114/((1+$C$4)^(Y114-1))</f>
        <v>-349.41961148325356</v>
      </c>
      <c r="AO114" s="199">
        <f t="shared" ref="AO114:AO128" si="288">AJ114/((1+$C$4)^(Y114-1))</f>
        <v>-33.630137799042984</v>
      </c>
      <c r="AP114" s="196">
        <f>AP113+AK114</f>
        <v>190.57416267942588</v>
      </c>
      <c r="AQ114" s="197">
        <f t="shared" ref="AQ114:AT128" si="289">AQ113+AL114</f>
        <v>645.78947368421052</v>
      </c>
      <c r="AR114" s="197">
        <f t="shared" si="289"/>
        <v>2768.5670181626792</v>
      </c>
      <c r="AS114" s="197">
        <f t="shared" si="289"/>
        <v>-2577.9928554832532</v>
      </c>
      <c r="AT114" s="199">
        <f t="shared" si="289"/>
        <v>-1932.2033817990427</v>
      </c>
      <c r="AV114" s="204">
        <v>2</v>
      </c>
      <c r="AW114" s="760">
        <f>'Energy NPV'!$D40</f>
        <v>3.9250000000000007</v>
      </c>
      <c r="AX114" s="197">
        <f>'Energy margins'!$L$12</f>
        <v>43.75</v>
      </c>
      <c r="AY114" s="197">
        <f>AW114*AX114</f>
        <v>171.71875000000003</v>
      </c>
      <c r="AZ114" s="197">
        <f>'Margins summary'!$S$14</f>
        <v>330</v>
      </c>
      <c r="BA114" s="197">
        <f t="shared" ref="BA114:BA128" si="290">AY114+AZ114</f>
        <v>501.71875</v>
      </c>
      <c r="BB114" s="197"/>
      <c r="BC114" s="918">
        <f>'Energy NPV'!U40</f>
        <v>536.86224399999992</v>
      </c>
      <c r="BD114" s="197"/>
      <c r="BE114" s="197">
        <f t="shared" ref="BE114:BE128" si="291">BB114+BC114+BD114</f>
        <v>536.86224399999992</v>
      </c>
      <c r="BF114" s="197">
        <f t="shared" si="269"/>
        <v>-365.14349399999992</v>
      </c>
      <c r="BG114" s="197">
        <f t="shared" si="270"/>
        <v>-35.143493999999919</v>
      </c>
      <c r="BH114" s="196">
        <f t="shared" ref="BH114:BH128" si="292">AY114/((1+$D$4)^(AV114-1))</f>
        <v>169.18103448275866</v>
      </c>
      <c r="BI114" s="197">
        <f t="shared" ref="BI114:BI128" si="293">AZ114/((1+$D$4)^(AV114-1))</f>
        <v>325.12315270935966</v>
      </c>
      <c r="BJ114" s="197">
        <f t="shared" ref="BJ114:BJ128" si="294">BE114/((1+$D$4)^(AV114-1))</f>
        <v>528.92831921182267</v>
      </c>
      <c r="BK114" s="197">
        <f t="shared" ref="BK114:BK128" si="295">BF114/((1+$D$4)^(AV114-1))</f>
        <v>-359.74728472906401</v>
      </c>
      <c r="BL114" s="199">
        <f t="shared" ref="BL114:BL128" si="296">BG114/((1+$D$4)^(AV114-1))</f>
        <v>-34.624132019704355</v>
      </c>
      <c r="BM114" s="196">
        <f>BM113+BH114</f>
        <v>195.43103448275866</v>
      </c>
      <c r="BN114" s="197">
        <f t="shared" ref="BN114:BQ128" si="297">BN113+BI114</f>
        <v>655.1231527093596</v>
      </c>
      <c r="BO114" s="197">
        <f t="shared" si="297"/>
        <v>2783.7515632118225</v>
      </c>
      <c r="BP114" s="197">
        <f t="shared" si="297"/>
        <v>-2588.3205287290639</v>
      </c>
      <c r="BQ114" s="199">
        <f t="shared" si="297"/>
        <v>-1933.1973760197041</v>
      </c>
      <c r="BS114" s="204">
        <v>2</v>
      </c>
      <c r="BT114" s="760">
        <f>'Energy NPV'!$D40</f>
        <v>3.9250000000000007</v>
      </c>
      <c r="BU114" s="197">
        <f>'Energy margins'!$L$12</f>
        <v>43.75</v>
      </c>
      <c r="BV114" s="197">
        <f>BT114*BU114</f>
        <v>171.71875000000003</v>
      </c>
      <c r="BW114" s="197">
        <f>'Margins summary'!$S$14</f>
        <v>330</v>
      </c>
      <c r="BX114" s="197">
        <f t="shared" ref="BX114:BX128" si="298">BV114+BW114</f>
        <v>501.71875</v>
      </c>
      <c r="BY114" s="197"/>
      <c r="BZ114" s="918">
        <f>'Energy NPV'!U40</f>
        <v>536.86224399999992</v>
      </c>
      <c r="CA114" s="197"/>
      <c r="CB114" s="197">
        <f t="shared" ref="CB114:CB128" si="299">BY114+BZ114+CA114</f>
        <v>536.86224399999992</v>
      </c>
      <c r="CC114" s="197">
        <f t="shared" si="271"/>
        <v>-365.14349399999992</v>
      </c>
      <c r="CD114" s="197">
        <f t="shared" si="272"/>
        <v>-35.143493999999919</v>
      </c>
      <c r="CE114" s="196">
        <f t="shared" ref="CE114:CE128" si="300">BV114/((1+$E$4)^(BS114-1))</f>
        <v>161.998820754717</v>
      </c>
      <c r="CF114" s="197">
        <f t="shared" ref="CF114:CF128" si="301">BW114/((1+$E$4)^(BS114-1))</f>
        <v>311.32075471698113</v>
      </c>
      <c r="CG114" s="197">
        <f t="shared" ref="CG114:CG128" si="302">CB114/((1+$E$4)^(BS114-1))</f>
        <v>506.4738150943395</v>
      </c>
      <c r="CH114" s="197">
        <f t="shared" ref="CH114:CH128" si="303">CC114/((1+$E$4)^(BS114-1))</f>
        <v>-344.47499433962253</v>
      </c>
      <c r="CI114" s="199">
        <f t="shared" ref="CI114:CI128" si="304">CD114/((1+$E$4)^(BS114-1))</f>
        <v>-33.154239622641434</v>
      </c>
      <c r="CJ114" s="196">
        <f>CJ113+CE114</f>
        <v>188.248820754717</v>
      </c>
      <c r="CK114" s="197">
        <f t="shared" ref="CK114:CN128" si="305">CK113+CF114</f>
        <v>641.32075471698113</v>
      </c>
      <c r="CL114" s="197">
        <f t="shared" si="305"/>
        <v>2761.2970590943391</v>
      </c>
      <c r="CM114" s="197">
        <f t="shared" si="305"/>
        <v>-2573.048238339622</v>
      </c>
      <c r="CN114" s="199">
        <f t="shared" si="305"/>
        <v>-1931.7274836226411</v>
      </c>
      <c r="CP114" s="204">
        <f>CP113+1</f>
        <v>2</v>
      </c>
      <c r="CQ114" s="760">
        <f>'Energy NPV'!$D40</f>
        <v>3.9250000000000007</v>
      </c>
      <c r="CR114" s="197">
        <f>'Energy margins'!$L$12</f>
        <v>43.75</v>
      </c>
      <c r="CS114" s="197">
        <f>CQ114*CR114</f>
        <v>171.71875000000003</v>
      </c>
      <c r="CT114" s="197">
        <f>'Margins summary'!$S$14</f>
        <v>330</v>
      </c>
      <c r="CU114" s="197">
        <f t="shared" ref="CU114:CU128" si="306">CS114+CT114</f>
        <v>501.71875</v>
      </c>
      <c r="CV114" s="197"/>
      <c r="CW114" s="918">
        <f>'Energy NPV'!U40</f>
        <v>536.86224399999992</v>
      </c>
      <c r="CX114" s="197"/>
      <c r="CY114" s="197">
        <f t="shared" ref="CY114:CY128" si="307">CV114+CW114+CX114</f>
        <v>536.86224399999992</v>
      </c>
      <c r="CZ114" s="197">
        <f t="shared" si="273"/>
        <v>-365.14349399999992</v>
      </c>
      <c r="DA114" s="197">
        <f t="shared" si="274"/>
        <v>-35.143493999999919</v>
      </c>
      <c r="DB114" s="196">
        <f t="shared" ref="DB114:DB128" si="308">CS114/((1+$F$4)^(CP114-1))</f>
        <v>171.71875000000003</v>
      </c>
      <c r="DC114" s="197">
        <f t="shared" ref="DC114:DC128" si="309">CT114/((1+$F$4)^(CP114-1))</f>
        <v>330</v>
      </c>
      <c r="DD114" s="197">
        <f t="shared" ref="DD114:DD128" si="310">CY114/((1+$F$4)^(CP114-1))</f>
        <v>536.86224399999992</v>
      </c>
      <c r="DE114" s="197">
        <f t="shared" ref="DE114:DE128" si="311">CZ114/((1+$F$4)^(CP114-1))</f>
        <v>-365.14349399999992</v>
      </c>
      <c r="DF114" s="199">
        <f t="shared" ref="DF114:DF127" si="312">DA114/((1+$F$4)^(CP114-1))</f>
        <v>-35.143493999999919</v>
      </c>
      <c r="DG114" s="196">
        <f>DG113+DB114</f>
        <v>197.96875000000003</v>
      </c>
      <c r="DH114" s="197">
        <f t="shared" ref="DH114:DK128" si="313">DH113+DC114</f>
        <v>660</v>
      </c>
      <c r="DI114" s="197">
        <f t="shared" si="313"/>
        <v>2791.6854879999996</v>
      </c>
      <c r="DJ114" s="197">
        <f t="shared" si="313"/>
        <v>-2593.7167379999996</v>
      </c>
      <c r="DK114" s="199">
        <f t="shared" si="313"/>
        <v>-1933.7167379999996</v>
      </c>
    </row>
    <row r="115" spans="2:115" x14ac:dyDescent="0.3">
      <c r="B115" s="204">
        <f t="shared" ref="B115:B128" si="314">B114+1</f>
        <v>3</v>
      </c>
      <c r="C115" s="760">
        <f>'Energy NPV'!$D41</f>
        <v>11.099999999999998</v>
      </c>
      <c r="D115" s="197">
        <f>'Energy margins'!$L$12</f>
        <v>43.75</v>
      </c>
      <c r="E115" s="197">
        <f t="shared" ref="E115:E128" si="315">C115*D115</f>
        <v>485.62499999999989</v>
      </c>
      <c r="F115" s="197">
        <f>'Margins summary'!$S$14</f>
        <v>330</v>
      </c>
      <c r="G115" s="197">
        <f t="shared" si="275"/>
        <v>815.62499999999989</v>
      </c>
      <c r="H115" s="197"/>
      <c r="I115" s="918">
        <f>'Energy NPV'!U41</f>
        <v>536.86224399999992</v>
      </c>
      <c r="J115" s="197"/>
      <c r="K115" s="197">
        <f t="shared" si="276"/>
        <v>536.86224399999992</v>
      </c>
      <c r="L115" s="197">
        <f t="shared" si="265"/>
        <v>-51.237244000000032</v>
      </c>
      <c r="M115" s="197">
        <f t="shared" si="266"/>
        <v>278.76275599999997</v>
      </c>
      <c r="N115" s="196">
        <f t="shared" ref="N115:N128" si="316">E115/((1+$B$4)^(B115-1))</f>
        <v>457.74813837307937</v>
      </c>
      <c r="O115" s="197">
        <f t="shared" si="277"/>
        <v>311.05665001413894</v>
      </c>
      <c r="P115" s="197">
        <f t="shared" si="278"/>
        <v>506.04415496276738</v>
      </c>
      <c r="Q115" s="197">
        <f t="shared" si="279"/>
        <v>-48.296016589688037</v>
      </c>
      <c r="R115" s="199">
        <f t="shared" si="280"/>
        <v>262.76063342445093</v>
      </c>
      <c r="S115" s="196">
        <f t="shared" ref="S115:S128" si="317">S114+N115</f>
        <v>650.71537138278813</v>
      </c>
      <c r="T115" s="197">
        <f t="shared" si="281"/>
        <v>961.44499952870206</v>
      </c>
      <c r="U115" s="197">
        <f t="shared" si="281"/>
        <v>3282.0928785744172</v>
      </c>
      <c r="V115" s="197">
        <f t="shared" si="281"/>
        <v>-2631.3775071916293</v>
      </c>
      <c r="W115" s="199">
        <f t="shared" si="281"/>
        <v>-1669.9325076629275</v>
      </c>
      <c r="Y115" s="204">
        <f t="shared" ref="Y115:Y128" si="318">Y114+1</f>
        <v>3</v>
      </c>
      <c r="Z115" s="760">
        <f>'Energy NPV'!$D41</f>
        <v>11.099999999999998</v>
      </c>
      <c r="AA115" s="197">
        <f>'Energy margins'!$L$12</f>
        <v>43.75</v>
      </c>
      <c r="AB115" s="197">
        <f t="shared" ref="AB115:AB128" si="319">Z115*AA115</f>
        <v>485.62499999999989</v>
      </c>
      <c r="AC115" s="197">
        <f>'Margins summary'!$S$14</f>
        <v>330</v>
      </c>
      <c r="AD115" s="197">
        <f t="shared" si="282"/>
        <v>815.62499999999989</v>
      </c>
      <c r="AE115" s="197"/>
      <c r="AF115" s="918">
        <f>'Energy NPV'!U41</f>
        <v>536.86224399999992</v>
      </c>
      <c r="AG115" s="197"/>
      <c r="AH115" s="197">
        <f t="shared" si="283"/>
        <v>536.86224399999992</v>
      </c>
      <c r="AI115" s="197">
        <f t="shared" si="267"/>
        <v>-51.237244000000032</v>
      </c>
      <c r="AJ115" s="197">
        <f t="shared" si="268"/>
        <v>278.76275599999997</v>
      </c>
      <c r="AK115" s="196">
        <f t="shared" si="284"/>
        <v>444.70135756965271</v>
      </c>
      <c r="AL115" s="197">
        <f t="shared" si="285"/>
        <v>302.19088390833548</v>
      </c>
      <c r="AM115" s="197">
        <f t="shared" si="286"/>
        <v>491.62083651931044</v>
      </c>
      <c r="AN115" s="197">
        <f t="shared" si="287"/>
        <v>-46.919478949657787</v>
      </c>
      <c r="AO115" s="199">
        <f t="shared" si="288"/>
        <v>255.27140495867769</v>
      </c>
      <c r="AP115" s="196">
        <f t="shared" ref="AP115:AP127" si="320">AP114+AK115</f>
        <v>635.27552024907857</v>
      </c>
      <c r="AQ115" s="197">
        <f t="shared" si="289"/>
        <v>947.98035759254594</v>
      </c>
      <c r="AR115" s="197">
        <f t="shared" si="289"/>
        <v>3260.1878546819898</v>
      </c>
      <c r="AS115" s="197">
        <f t="shared" si="289"/>
        <v>-2624.9123344329109</v>
      </c>
      <c r="AT115" s="199">
        <f t="shared" si="289"/>
        <v>-1676.931976840365</v>
      </c>
      <c r="AV115" s="204">
        <f t="shared" ref="AV115:AV128" si="321">AV114+1</f>
        <v>3</v>
      </c>
      <c r="AW115" s="760">
        <f>'Energy NPV'!$D41</f>
        <v>11.099999999999998</v>
      </c>
      <c r="AX115" s="197">
        <f>'Energy margins'!$L$12</f>
        <v>43.75</v>
      </c>
      <c r="AY115" s="197">
        <f t="shared" ref="AY115:AY128" si="322">AW115*AX115</f>
        <v>485.62499999999989</v>
      </c>
      <c r="AZ115" s="197">
        <f>'Margins summary'!$S$14</f>
        <v>330</v>
      </c>
      <c r="BA115" s="197">
        <f t="shared" si="290"/>
        <v>815.62499999999989</v>
      </c>
      <c r="BB115" s="197"/>
      <c r="BC115" s="918">
        <f>'Energy NPV'!U41</f>
        <v>536.86224399999992</v>
      </c>
      <c r="BD115" s="197"/>
      <c r="BE115" s="197">
        <f t="shared" si="291"/>
        <v>536.86224399999992</v>
      </c>
      <c r="BF115" s="197">
        <f t="shared" si="269"/>
        <v>-51.237244000000032</v>
      </c>
      <c r="BG115" s="197">
        <f t="shared" si="270"/>
        <v>278.76275599999997</v>
      </c>
      <c r="BH115" s="196">
        <f t="shared" si="292"/>
        <v>471.37761168676747</v>
      </c>
      <c r="BI115" s="197">
        <f t="shared" si="293"/>
        <v>320.31837705355633</v>
      </c>
      <c r="BJ115" s="197">
        <f t="shared" si="294"/>
        <v>521.11164454366769</v>
      </c>
      <c r="BK115" s="197">
        <f t="shared" si="295"/>
        <v>-49.734032856900235</v>
      </c>
      <c r="BL115" s="199">
        <f t="shared" si="296"/>
        <v>270.5843441966561</v>
      </c>
      <c r="BM115" s="196">
        <f t="shared" ref="BM115:BM128" si="323">BM114+BH115</f>
        <v>666.80864616952613</v>
      </c>
      <c r="BN115" s="197">
        <f t="shared" si="297"/>
        <v>975.44152976291593</v>
      </c>
      <c r="BO115" s="197">
        <f t="shared" si="297"/>
        <v>3304.8632077554903</v>
      </c>
      <c r="BP115" s="197">
        <f t="shared" si="297"/>
        <v>-2638.0545615859642</v>
      </c>
      <c r="BQ115" s="199">
        <f t="shared" si="297"/>
        <v>-1662.613031823048</v>
      </c>
      <c r="BS115" s="204">
        <f t="shared" ref="BS115:BS128" si="324">BS114+1</f>
        <v>3</v>
      </c>
      <c r="BT115" s="760">
        <f>'Energy NPV'!$D41</f>
        <v>11.099999999999998</v>
      </c>
      <c r="BU115" s="197">
        <f>'Energy margins'!$L$12</f>
        <v>43.75</v>
      </c>
      <c r="BV115" s="197">
        <f t="shared" ref="BV115:BV128" si="325">BT115*BU115</f>
        <v>485.62499999999989</v>
      </c>
      <c r="BW115" s="197">
        <f>'Margins summary'!$S$14</f>
        <v>330</v>
      </c>
      <c r="BX115" s="197">
        <f t="shared" si="298"/>
        <v>815.62499999999989</v>
      </c>
      <c r="BY115" s="197"/>
      <c r="BZ115" s="918">
        <f>'Energy NPV'!U41</f>
        <v>536.86224399999992</v>
      </c>
      <c r="CA115" s="197"/>
      <c r="CB115" s="197">
        <f t="shared" si="299"/>
        <v>536.86224399999992</v>
      </c>
      <c r="CC115" s="197">
        <f t="shared" si="271"/>
        <v>-51.237244000000032</v>
      </c>
      <c r="CD115" s="197">
        <f t="shared" si="272"/>
        <v>278.76275599999997</v>
      </c>
      <c r="CE115" s="196">
        <f t="shared" si="300"/>
        <v>432.20452118191508</v>
      </c>
      <c r="CF115" s="197">
        <f t="shared" si="301"/>
        <v>293.69882520469912</v>
      </c>
      <c r="CG115" s="197">
        <f t="shared" si="302"/>
        <v>477.80548593805611</v>
      </c>
      <c r="CH115" s="197">
        <f t="shared" si="303"/>
        <v>-45.600964756140996</v>
      </c>
      <c r="CI115" s="199">
        <f t="shared" si="304"/>
        <v>248.09786044855815</v>
      </c>
      <c r="CJ115" s="196">
        <f t="shared" ref="CJ115:CJ128" si="326">CJ114+CE115</f>
        <v>620.45334193663211</v>
      </c>
      <c r="CK115" s="197">
        <f t="shared" si="305"/>
        <v>935.01957992168025</v>
      </c>
      <c r="CL115" s="197">
        <f t="shared" si="305"/>
        <v>3239.102545032395</v>
      </c>
      <c r="CM115" s="197">
        <f t="shared" si="305"/>
        <v>-2618.6492030957629</v>
      </c>
      <c r="CN115" s="199">
        <f t="shared" si="305"/>
        <v>-1683.629623174083</v>
      </c>
      <c r="CP115" s="204">
        <f t="shared" ref="CP115:CP128" si="327">CP114+1</f>
        <v>3</v>
      </c>
      <c r="CQ115" s="760">
        <f>'Energy NPV'!$D41</f>
        <v>11.099999999999998</v>
      </c>
      <c r="CR115" s="197">
        <f>'Energy margins'!$L$12</f>
        <v>43.75</v>
      </c>
      <c r="CS115" s="197">
        <f t="shared" ref="CS115:CS128" si="328">CQ115*CR115</f>
        <v>485.62499999999989</v>
      </c>
      <c r="CT115" s="197">
        <f>'Margins summary'!$S$14</f>
        <v>330</v>
      </c>
      <c r="CU115" s="197">
        <f t="shared" si="306"/>
        <v>815.62499999999989</v>
      </c>
      <c r="CV115" s="197"/>
      <c r="CW115" s="918">
        <f>'Energy NPV'!U41</f>
        <v>536.86224399999992</v>
      </c>
      <c r="CX115" s="197"/>
      <c r="CY115" s="197">
        <f t="shared" si="307"/>
        <v>536.86224399999992</v>
      </c>
      <c r="CZ115" s="197">
        <f t="shared" si="273"/>
        <v>-51.237244000000032</v>
      </c>
      <c r="DA115" s="197">
        <f t="shared" si="274"/>
        <v>278.76275599999997</v>
      </c>
      <c r="DB115" s="196">
        <f t="shared" si="308"/>
        <v>485.62499999999989</v>
      </c>
      <c r="DC115" s="197">
        <f t="shared" si="309"/>
        <v>330</v>
      </c>
      <c r="DD115" s="197">
        <f t="shared" si="310"/>
        <v>536.86224399999992</v>
      </c>
      <c r="DE115" s="197">
        <f t="shared" si="311"/>
        <v>-51.237244000000032</v>
      </c>
      <c r="DF115" s="199">
        <f t="shared" si="312"/>
        <v>278.76275599999997</v>
      </c>
      <c r="DG115" s="196">
        <f t="shared" ref="DG115:DG128" si="329">DG114+DB115</f>
        <v>683.59374999999989</v>
      </c>
      <c r="DH115" s="197">
        <f t="shared" si="313"/>
        <v>990</v>
      </c>
      <c r="DI115" s="197">
        <f t="shared" si="313"/>
        <v>3328.5477319999995</v>
      </c>
      <c r="DJ115" s="197">
        <f t="shared" si="313"/>
        <v>-2644.9539819999995</v>
      </c>
      <c r="DK115" s="199">
        <f t="shared" si="313"/>
        <v>-1654.9539819999995</v>
      </c>
    </row>
    <row r="116" spans="2:115" x14ac:dyDescent="0.3">
      <c r="B116" s="204">
        <f t="shared" si="314"/>
        <v>4</v>
      </c>
      <c r="C116" s="760">
        <f>'Energy NPV'!$D42</f>
        <v>12.54</v>
      </c>
      <c r="D116" s="197">
        <f>'Energy margins'!$L$12</f>
        <v>43.75</v>
      </c>
      <c r="E116" s="197">
        <f t="shared" si="315"/>
        <v>548.625</v>
      </c>
      <c r="F116" s="197">
        <f>'Margins summary'!$S$14</f>
        <v>330</v>
      </c>
      <c r="G116" s="197">
        <f t="shared" si="275"/>
        <v>878.625</v>
      </c>
      <c r="H116" s="197"/>
      <c r="I116" s="918">
        <f>'Energy NPV'!U42</f>
        <v>423.52324399999998</v>
      </c>
      <c r="J116" s="197"/>
      <c r="K116" s="197">
        <f t="shared" si="276"/>
        <v>423.52324399999998</v>
      </c>
      <c r="L116" s="197">
        <f t="shared" si="265"/>
        <v>125.10175600000002</v>
      </c>
      <c r="M116" s="197">
        <f t="shared" si="266"/>
        <v>455.10175600000002</v>
      </c>
      <c r="N116" s="196">
        <f t="shared" si="316"/>
        <v>502.06959286262719</v>
      </c>
      <c r="O116" s="197">
        <f t="shared" si="277"/>
        <v>301.99674758654265</v>
      </c>
      <c r="P116" s="197">
        <f t="shared" si="278"/>
        <v>387.58376428879308</v>
      </c>
      <c r="Q116" s="197">
        <f t="shared" si="279"/>
        <v>114.48582857383411</v>
      </c>
      <c r="R116" s="199">
        <f t="shared" si="280"/>
        <v>416.48257616037677</v>
      </c>
      <c r="S116" s="196">
        <f t="shared" si="317"/>
        <v>1152.7849642454153</v>
      </c>
      <c r="T116" s="197">
        <f t="shared" si="281"/>
        <v>1263.4417471152447</v>
      </c>
      <c r="U116" s="197">
        <f t="shared" si="281"/>
        <v>3669.6766428632104</v>
      </c>
      <c r="V116" s="197">
        <f t="shared" si="281"/>
        <v>-2516.8916786177952</v>
      </c>
      <c r="W116" s="199">
        <f t="shared" si="281"/>
        <v>-1253.4499315025507</v>
      </c>
      <c r="Y116" s="204">
        <f t="shared" si="318"/>
        <v>4</v>
      </c>
      <c r="Z116" s="760">
        <f>'Energy NPV'!$D42</f>
        <v>12.54</v>
      </c>
      <c r="AA116" s="197">
        <f>'Energy margins'!$L$12</f>
        <v>43.75</v>
      </c>
      <c r="AB116" s="197">
        <f t="shared" si="319"/>
        <v>548.625</v>
      </c>
      <c r="AC116" s="197">
        <f>'Margins summary'!$S$14</f>
        <v>330</v>
      </c>
      <c r="AD116" s="197">
        <f t="shared" si="282"/>
        <v>878.625</v>
      </c>
      <c r="AE116" s="197"/>
      <c r="AF116" s="918">
        <f>'Energy NPV'!U42</f>
        <v>423.52324399999998</v>
      </c>
      <c r="AG116" s="197"/>
      <c r="AH116" s="197">
        <f t="shared" si="283"/>
        <v>423.52324399999998</v>
      </c>
      <c r="AI116" s="197">
        <f t="shared" si="267"/>
        <v>125.10175600000002</v>
      </c>
      <c r="AJ116" s="197">
        <f t="shared" si="268"/>
        <v>455.10175600000002</v>
      </c>
      <c r="AK116" s="196">
        <f t="shared" si="284"/>
        <v>480.75822439962462</v>
      </c>
      <c r="AL116" s="197">
        <f t="shared" si="285"/>
        <v>289.17787933812008</v>
      </c>
      <c r="AM116" s="197">
        <f t="shared" si="286"/>
        <v>371.13198045551871</v>
      </c>
      <c r="AN116" s="197">
        <f t="shared" si="287"/>
        <v>109.62624394410589</v>
      </c>
      <c r="AO116" s="199">
        <f t="shared" si="288"/>
        <v>398.80412328222599</v>
      </c>
      <c r="AP116" s="196">
        <f t="shared" si="320"/>
        <v>1116.0337446487033</v>
      </c>
      <c r="AQ116" s="197">
        <f t="shared" si="289"/>
        <v>1237.1582369306661</v>
      </c>
      <c r="AR116" s="197">
        <f t="shared" si="289"/>
        <v>3631.3198351375086</v>
      </c>
      <c r="AS116" s="197">
        <f t="shared" si="289"/>
        <v>-2515.2860904888053</v>
      </c>
      <c r="AT116" s="199">
        <f t="shared" si="289"/>
        <v>-1278.1278535581391</v>
      </c>
      <c r="AV116" s="204">
        <f t="shared" si="321"/>
        <v>4</v>
      </c>
      <c r="AW116" s="760">
        <f>'Energy NPV'!$D42</f>
        <v>12.54</v>
      </c>
      <c r="AX116" s="197">
        <f>'Energy margins'!$L$12</f>
        <v>43.75</v>
      </c>
      <c r="AY116" s="197">
        <f t="shared" si="322"/>
        <v>548.625</v>
      </c>
      <c r="AZ116" s="197">
        <f>'Margins summary'!$S$14</f>
        <v>330</v>
      </c>
      <c r="BA116" s="197">
        <f t="shared" si="290"/>
        <v>878.625</v>
      </c>
      <c r="BB116" s="197"/>
      <c r="BC116" s="918">
        <f>'Energy NPV'!U42</f>
        <v>423.52324399999998</v>
      </c>
      <c r="BD116" s="197"/>
      <c r="BE116" s="197">
        <f t="shared" si="291"/>
        <v>423.52324399999998</v>
      </c>
      <c r="BF116" s="197">
        <f t="shared" si="269"/>
        <v>125.10175600000002</v>
      </c>
      <c r="BG116" s="197">
        <f t="shared" si="270"/>
        <v>455.10175600000002</v>
      </c>
      <c r="BH116" s="196">
        <f t="shared" si="292"/>
        <v>524.65941069116991</v>
      </c>
      <c r="BI116" s="197">
        <f t="shared" si="293"/>
        <v>315.58460793453833</v>
      </c>
      <c r="BJ116" s="197">
        <f t="shared" si="294"/>
        <v>405.02247548152667</v>
      </c>
      <c r="BK116" s="197">
        <f t="shared" si="295"/>
        <v>119.63693520964328</v>
      </c>
      <c r="BL116" s="199">
        <f t="shared" si="296"/>
        <v>435.22154314418157</v>
      </c>
      <c r="BM116" s="196">
        <f t="shared" si="323"/>
        <v>1191.4680568606959</v>
      </c>
      <c r="BN116" s="197">
        <f t="shared" si="297"/>
        <v>1291.0261376974543</v>
      </c>
      <c r="BO116" s="197">
        <f t="shared" si="297"/>
        <v>3709.885683237017</v>
      </c>
      <c r="BP116" s="197">
        <f t="shared" si="297"/>
        <v>-2518.4176263763211</v>
      </c>
      <c r="BQ116" s="199">
        <f t="shared" si="297"/>
        <v>-1227.3914886788664</v>
      </c>
      <c r="BS116" s="204">
        <f t="shared" si="324"/>
        <v>4</v>
      </c>
      <c r="BT116" s="760">
        <f>'Energy NPV'!$D42</f>
        <v>12.54</v>
      </c>
      <c r="BU116" s="197">
        <f>'Energy margins'!$L$12</f>
        <v>43.75</v>
      </c>
      <c r="BV116" s="197">
        <f t="shared" si="325"/>
        <v>548.625</v>
      </c>
      <c r="BW116" s="197">
        <f>'Margins summary'!$S$14</f>
        <v>330</v>
      </c>
      <c r="BX116" s="197">
        <f t="shared" si="298"/>
        <v>878.625</v>
      </c>
      <c r="BY116" s="197"/>
      <c r="BZ116" s="918">
        <f>'Energy NPV'!U42</f>
        <v>423.52324399999998</v>
      </c>
      <c r="CA116" s="197"/>
      <c r="CB116" s="197">
        <f t="shared" si="299"/>
        <v>423.52324399999998</v>
      </c>
      <c r="CC116" s="197">
        <f t="shared" si="271"/>
        <v>125.10175600000002</v>
      </c>
      <c r="CD116" s="197">
        <f t="shared" si="272"/>
        <v>455.10175600000002</v>
      </c>
      <c r="CE116" s="196">
        <f t="shared" si="300"/>
        <v>460.63612915359647</v>
      </c>
      <c r="CF116" s="197">
        <f t="shared" si="301"/>
        <v>277.07436340065954</v>
      </c>
      <c r="CG116" s="197">
        <f t="shared" si="302"/>
        <v>355.59828247479453</v>
      </c>
      <c r="CH116" s="197">
        <f t="shared" si="303"/>
        <v>105.03784667880196</v>
      </c>
      <c r="CI116" s="199">
        <f t="shared" si="304"/>
        <v>382.11221007946148</v>
      </c>
      <c r="CJ116" s="196">
        <f t="shared" si="326"/>
        <v>1081.0894710902285</v>
      </c>
      <c r="CK116" s="197">
        <f t="shared" si="305"/>
        <v>1212.0939433223398</v>
      </c>
      <c r="CL116" s="197">
        <f t="shared" si="305"/>
        <v>3594.7008275071894</v>
      </c>
      <c r="CM116" s="197">
        <f t="shared" si="305"/>
        <v>-2513.6113564169609</v>
      </c>
      <c r="CN116" s="199">
        <f t="shared" si="305"/>
        <v>-1301.5174130946216</v>
      </c>
      <c r="CP116" s="204">
        <f t="shared" si="327"/>
        <v>4</v>
      </c>
      <c r="CQ116" s="760">
        <f>'Energy NPV'!$D42</f>
        <v>12.54</v>
      </c>
      <c r="CR116" s="197">
        <f>'Energy margins'!$L$12</f>
        <v>43.75</v>
      </c>
      <c r="CS116" s="197">
        <f t="shared" si="328"/>
        <v>548.625</v>
      </c>
      <c r="CT116" s="197">
        <f>'Margins summary'!$S$14</f>
        <v>330</v>
      </c>
      <c r="CU116" s="197">
        <f t="shared" si="306"/>
        <v>878.625</v>
      </c>
      <c r="CV116" s="197"/>
      <c r="CW116" s="918">
        <f>'Energy NPV'!U42</f>
        <v>423.52324399999998</v>
      </c>
      <c r="CX116" s="197"/>
      <c r="CY116" s="197">
        <f t="shared" si="307"/>
        <v>423.52324399999998</v>
      </c>
      <c r="CZ116" s="197">
        <f t="shared" si="273"/>
        <v>125.10175600000002</v>
      </c>
      <c r="DA116" s="197">
        <f t="shared" si="274"/>
        <v>455.10175600000002</v>
      </c>
      <c r="DB116" s="196">
        <f t="shared" si="308"/>
        <v>548.625</v>
      </c>
      <c r="DC116" s="197">
        <f t="shared" si="309"/>
        <v>330</v>
      </c>
      <c r="DD116" s="197">
        <f t="shared" si="310"/>
        <v>423.52324399999998</v>
      </c>
      <c r="DE116" s="197">
        <f t="shared" si="311"/>
        <v>125.10175600000002</v>
      </c>
      <c r="DF116" s="199">
        <f t="shared" si="312"/>
        <v>455.10175600000002</v>
      </c>
      <c r="DG116" s="196">
        <f t="shared" si="329"/>
        <v>1232.21875</v>
      </c>
      <c r="DH116" s="197">
        <f t="shared" si="313"/>
        <v>1320</v>
      </c>
      <c r="DI116" s="197">
        <f t="shared" si="313"/>
        <v>3752.0709759999995</v>
      </c>
      <c r="DJ116" s="197">
        <f t="shared" si="313"/>
        <v>-2519.8522259999995</v>
      </c>
      <c r="DK116" s="199">
        <f t="shared" si="313"/>
        <v>-1199.8522259999995</v>
      </c>
    </row>
    <row r="117" spans="2:115" x14ac:dyDescent="0.3">
      <c r="B117" s="204">
        <f t="shared" si="314"/>
        <v>5</v>
      </c>
      <c r="C117" s="760">
        <f>'Energy NPV'!$D43</f>
        <v>12.54</v>
      </c>
      <c r="D117" s="197">
        <f>'Energy margins'!$L$12</f>
        <v>43.75</v>
      </c>
      <c r="E117" s="197">
        <f t="shared" si="315"/>
        <v>548.625</v>
      </c>
      <c r="F117" s="197">
        <f>'Margins summary'!$S$14</f>
        <v>330</v>
      </c>
      <c r="G117" s="197">
        <f t="shared" si="275"/>
        <v>878.625</v>
      </c>
      <c r="H117" s="197"/>
      <c r="I117" s="918">
        <f>'Energy NPV'!U43</f>
        <v>423.52324399999998</v>
      </c>
      <c r="J117" s="197"/>
      <c r="K117" s="197">
        <f t="shared" si="276"/>
        <v>423.52324399999998</v>
      </c>
      <c r="L117" s="197">
        <f t="shared" si="265"/>
        <v>125.10175600000002</v>
      </c>
      <c r="M117" s="197">
        <f t="shared" si="266"/>
        <v>455.10175600000002</v>
      </c>
      <c r="N117" s="196">
        <f t="shared" si="316"/>
        <v>487.44620666274488</v>
      </c>
      <c r="O117" s="197">
        <f t="shared" si="277"/>
        <v>293.20072581217738</v>
      </c>
      <c r="P117" s="197">
        <f t="shared" si="278"/>
        <v>376.29491678523601</v>
      </c>
      <c r="Q117" s="197">
        <f t="shared" si="279"/>
        <v>111.15128987750884</v>
      </c>
      <c r="R117" s="199">
        <f t="shared" si="280"/>
        <v>404.3520156896862</v>
      </c>
      <c r="S117" s="196">
        <f t="shared" si="317"/>
        <v>1640.23117090816</v>
      </c>
      <c r="T117" s="197">
        <f t="shared" si="281"/>
        <v>1556.642472927422</v>
      </c>
      <c r="U117" s="197">
        <f t="shared" si="281"/>
        <v>4045.9715596484466</v>
      </c>
      <c r="V117" s="197">
        <f t="shared" si="281"/>
        <v>-2405.7403887402861</v>
      </c>
      <c r="W117" s="199">
        <f t="shared" si="281"/>
        <v>-849.09791581286458</v>
      </c>
      <c r="Y117" s="204">
        <f t="shared" si="318"/>
        <v>5</v>
      </c>
      <c r="Z117" s="760">
        <f>'Energy NPV'!$D43</f>
        <v>12.54</v>
      </c>
      <c r="AA117" s="197">
        <f>'Energy margins'!$L$12</f>
        <v>43.75</v>
      </c>
      <c r="AB117" s="197">
        <f t="shared" si="319"/>
        <v>548.625</v>
      </c>
      <c r="AC117" s="197">
        <f>'Margins summary'!$S$14</f>
        <v>330</v>
      </c>
      <c r="AD117" s="197">
        <f t="shared" si="282"/>
        <v>878.625</v>
      </c>
      <c r="AE117" s="197"/>
      <c r="AF117" s="918">
        <f>'Energy NPV'!U43</f>
        <v>423.52324399999998</v>
      </c>
      <c r="AG117" s="197"/>
      <c r="AH117" s="197">
        <f t="shared" si="283"/>
        <v>423.52324399999998</v>
      </c>
      <c r="AI117" s="197">
        <f t="shared" si="267"/>
        <v>125.10175600000002</v>
      </c>
      <c r="AJ117" s="197">
        <f t="shared" si="268"/>
        <v>455.10175600000002</v>
      </c>
      <c r="AK117" s="196">
        <f t="shared" si="284"/>
        <v>460.0557171288275</v>
      </c>
      <c r="AL117" s="197">
        <f t="shared" si="285"/>
        <v>276.7252433857609</v>
      </c>
      <c r="AM117" s="197">
        <f t="shared" si="286"/>
        <v>355.15022053159697</v>
      </c>
      <c r="AN117" s="197">
        <f t="shared" si="287"/>
        <v>104.90549659723055</v>
      </c>
      <c r="AO117" s="199">
        <f t="shared" si="288"/>
        <v>381.63073998299149</v>
      </c>
      <c r="AP117" s="196">
        <f t="shared" si="320"/>
        <v>1576.0894617775307</v>
      </c>
      <c r="AQ117" s="197">
        <f t="shared" si="289"/>
        <v>1513.883480316427</v>
      </c>
      <c r="AR117" s="197">
        <f t="shared" si="289"/>
        <v>3986.4700556691055</v>
      </c>
      <c r="AS117" s="197">
        <f t="shared" si="289"/>
        <v>-2410.3805938915748</v>
      </c>
      <c r="AT117" s="199">
        <f t="shared" si="289"/>
        <v>-896.49711357514764</v>
      </c>
      <c r="AV117" s="204">
        <f t="shared" si="321"/>
        <v>5</v>
      </c>
      <c r="AW117" s="760">
        <f>'Energy NPV'!$D43</f>
        <v>12.54</v>
      </c>
      <c r="AX117" s="197">
        <f>'Energy margins'!$L$12</f>
        <v>43.75</v>
      </c>
      <c r="AY117" s="197">
        <f t="shared" si="322"/>
        <v>548.625</v>
      </c>
      <c r="AZ117" s="197">
        <f>'Margins summary'!$S$14</f>
        <v>330</v>
      </c>
      <c r="BA117" s="197">
        <f t="shared" si="290"/>
        <v>878.625</v>
      </c>
      <c r="BB117" s="197"/>
      <c r="BC117" s="918">
        <f>'Energy NPV'!U43</f>
        <v>423.52324399999998</v>
      </c>
      <c r="BD117" s="197"/>
      <c r="BE117" s="197">
        <f t="shared" si="291"/>
        <v>423.52324399999998</v>
      </c>
      <c r="BF117" s="197">
        <f t="shared" si="269"/>
        <v>125.10175600000002</v>
      </c>
      <c r="BG117" s="197">
        <f t="shared" si="270"/>
        <v>455.10175600000002</v>
      </c>
      <c r="BH117" s="196">
        <f t="shared" si="292"/>
        <v>516.9058233410542</v>
      </c>
      <c r="BI117" s="197">
        <f t="shared" si="293"/>
        <v>310.92079599461908</v>
      </c>
      <c r="BJ117" s="197">
        <f t="shared" si="294"/>
        <v>399.03692165667655</v>
      </c>
      <c r="BK117" s="197">
        <f t="shared" si="295"/>
        <v>117.86890168437763</v>
      </c>
      <c r="BL117" s="199">
        <f t="shared" si="296"/>
        <v>428.78969767899673</v>
      </c>
      <c r="BM117" s="196">
        <f t="shared" si="323"/>
        <v>1708.3738802017501</v>
      </c>
      <c r="BN117" s="197">
        <f t="shared" si="297"/>
        <v>1601.9469336920733</v>
      </c>
      <c r="BO117" s="197">
        <f t="shared" si="297"/>
        <v>4108.9226048936935</v>
      </c>
      <c r="BP117" s="197">
        <f t="shared" si="297"/>
        <v>-2400.5487246919433</v>
      </c>
      <c r="BQ117" s="199">
        <f t="shared" si="297"/>
        <v>-798.60179099986965</v>
      </c>
      <c r="BS117" s="204">
        <f t="shared" si="324"/>
        <v>5</v>
      </c>
      <c r="BT117" s="760">
        <f>'Energy NPV'!$D43</f>
        <v>12.54</v>
      </c>
      <c r="BU117" s="197">
        <f>'Energy margins'!$L$12</f>
        <v>43.75</v>
      </c>
      <c r="BV117" s="197">
        <f t="shared" si="325"/>
        <v>548.625</v>
      </c>
      <c r="BW117" s="197">
        <f>'Margins summary'!$S$14</f>
        <v>330</v>
      </c>
      <c r="BX117" s="197">
        <f t="shared" si="298"/>
        <v>878.625</v>
      </c>
      <c r="BY117" s="197"/>
      <c r="BZ117" s="918">
        <f>'Energy NPV'!U43</f>
        <v>423.52324399999998</v>
      </c>
      <c r="CA117" s="197"/>
      <c r="CB117" s="197">
        <f t="shared" si="299"/>
        <v>423.52324399999998</v>
      </c>
      <c r="CC117" s="197">
        <f t="shared" si="271"/>
        <v>125.10175600000002</v>
      </c>
      <c r="CD117" s="197">
        <f t="shared" si="272"/>
        <v>455.10175600000002</v>
      </c>
      <c r="CE117" s="196">
        <f t="shared" si="300"/>
        <v>434.56238599395897</v>
      </c>
      <c r="CF117" s="197">
        <f t="shared" si="301"/>
        <v>261.39090886854672</v>
      </c>
      <c r="CG117" s="197">
        <f t="shared" si="302"/>
        <v>335.4700778064099</v>
      </c>
      <c r="CH117" s="197">
        <f t="shared" si="303"/>
        <v>99.092308187549023</v>
      </c>
      <c r="CI117" s="199">
        <f t="shared" si="304"/>
        <v>360.48321705609573</v>
      </c>
      <c r="CJ117" s="196">
        <f t="shared" si="326"/>
        <v>1515.6518570841874</v>
      </c>
      <c r="CK117" s="197">
        <f t="shared" si="305"/>
        <v>1473.4848521908866</v>
      </c>
      <c r="CL117" s="197">
        <f t="shared" si="305"/>
        <v>3930.1709053135992</v>
      </c>
      <c r="CM117" s="197">
        <f t="shared" si="305"/>
        <v>-2414.519048229412</v>
      </c>
      <c r="CN117" s="199">
        <f t="shared" si="305"/>
        <v>-941.03419603852581</v>
      </c>
      <c r="CP117" s="204">
        <f t="shared" si="327"/>
        <v>5</v>
      </c>
      <c r="CQ117" s="760">
        <f>'Energy NPV'!$D43</f>
        <v>12.54</v>
      </c>
      <c r="CR117" s="197">
        <f>'Energy margins'!$L$12</f>
        <v>43.75</v>
      </c>
      <c r="CS117" s="197">
        <f t="shared" si="328"/>
        <v>548.625</v>
      </c>
      <c r="CT117" s="197">
        <f>'Margins summary'!$S$14</f>
        <v>330</v>
      </c>
      <c r="CU117" s="197">
        <f t="shared" si="306"/>
        <v>878.625</v>
      </c>
      <c r="CV117" s="197"/>
      <c r="CW117" s="918">
        <f>'Energy NPV'!U43</f>
        <v>423.52324399999998</v>
      </c>
      <c r="CX117" s="197"/>
      <c r="CY117" s="197">
        <f t="shared" si="307"/>
        <v>423.52324399999998</v>
      </c>
      <c r="CZ117" s="197">
        <f t="shared" si="273"/>
        <v>125.10175600000002</v>
      </c>
      <c r="DA117" s="197">
        <f t="shared" si="274"/>
        <v>455.10175600000002</v>
      </c>
      <c r="DB117" s="196">
        <f t="shared" si="308"/>
        <v>548.625</v>
      </c>
      <c r="DC117" s="197">
        <f t="shared" si="309"/>
        <v>330</v>
      </c>
      <c r="DD117" s="197">
        <f t="shared" si="310"/>
        <v>423.52324399999998</v>
      </c>
      <c r="DE117" s="197">
        <f t="shared" si="311"/>
        <v>125.10175600000002</v>
      </c>
      <c r="DF117" s="199">
        <f t="shared" si="312"/>
        <v>455.10175600000002</v>
      </c>
      <c r="DG117" s="196">
        <f t="shared" si="329"/>
        <v>1780.84375</v>
      </c>
      <c r="DH117" s="197">
        <f t="shared" si="313"/>
        <v>1650</v>
      </c>
      <c r="DI117" s="197">
        <f t="shared" si="313"/>
        <v>4175.594219999999</v>
      </c>
      <c r="DJ117" s="197">
        <f t="shared" si="313"/>
        <v>-2394.7504699999995</v>
      </c>
      <c r="DK117" s="199">
        <f t="shared" si="313"/>
        <v>-744.7504699999995</v>
      </c>
    </row>
    <row r="118" spans="2:115" x14ac:dyDescent="0.3">
      <c r="B118" s="204">
        <f t="shared" si="314"/>
        <v>6</v>
      </c>
      <c r="C118" s="760">
        <f>'Energy NPV'!$D44</f>
        <v>12.54</v>
      </c>
      <c r="D118" s="197">
        <f>'Energy margins'!$L$12</f>
        <v>43.75</v>
      </c>
      <c r="E118" s="197">
        <f t="shared" si="315"/>
        <v>548.625</v>
      </c>
      <c r="F118" s="197">
        <f>'Margins summary'!$S$14</f>
        <v>330</v>
      </c>
      <c r="G118" s="197">
        <f t="shared" si="275"/>
        <v>878.625</v>
      </c>
      <c r="H118" s="197"/>
      <c r="I118" s="918">
        <f>'Energy NPV'!U44</f>
        <v>423.52324399999998</v>
      </c>
      <c r="J118" s="197"/>
      <c r="K118" s="197">
        <f t="shared" si="276"/>
        <v>423.52324399999998</v>
      </c>
      <c r="L118" s="197">
        <f t="shared" si="265"/>
        <v>125.10175600000002</v>
      </c>
      <c r="M118" s="197">
        <f t="shared" si="266"/>
        <v>455.10175600000002</v>
      </c>
      <c r="N118" s="196">
        <f t="shared" si="316"/>
        <v>473.24874433276204</v>
      </c>
      <c r="O118" s="197">
        <f t="shared" si="277"/>
        <v>284.66089884677416</v>
      </c>
      <c r="P118" s="197">
        <f t="shared" si="278"/>
        <v>365.33487066527772</v>
      </c>
      <c r="Q118" s="197">
        <f t="shared" si="279"/>
        <v>107.91387366748432</v>
      </c>
      <c r="R118" s="199">
        <f t="shared" si="280"/>
        <v>392.57477251425848</v>
      </c>
      <c r="S118" s="196">
        <f t="shared" si="317"/>
        <v>2113.4799152409223</v>
      </c>
      <c r="T118" s="197">
        <f t="shared" si="281"/>
        <v>1841.3033717741962</v>
      </c>
      <c r="U118" s="197">
        <f t="shared" si="281"/>
        <v>4411.3064303137244</v>
      </c>
      <c r="V118" s="197">
        <f t="shared" si="281"/>
        <v>-2297.8265150728016</v>
      </c>
      <c r="W118" s="199">
        <f t="shared" si="281"/>
        <v>-456.5231432986061</v>
      </c>
      <c r="Y118" s="204">
        <f t="shared" si="318"/>
        <v>6</v>
      </c>
      <c r="Z118" s="760">
        <f>'Energy NPV'!$D44</f>
        <v>12.54</v>
      </c>
      <c r="AA118" s="197">
        <f>'Energy margins'!$L$12</f>
        <v>43.75</v>
      </c>
      <c r="AB118" s="197">
        <f t="shared" si="319"/>
        <v>548.625</v>
      </c>
      <c r="AC118" s="197">
        <f>'Margins summary'!$S$14</f>
        <v>330</v>
      </c>
      <c r="AD118" s="197">
        <f t="shared" si="282"/>
        <v>878.625</v>
      </c>
      <c r="AE118" s="197"/>
      <c r="AF118" s="918">
        <f>'Energy NPV'!U44</f>
        <v>423.52324399999998</v>
      </c>
      <c r="AG118" s="197"/>
      <c r="AH118" s="197">
        <f t="shared" si="283"/>
        <v>423.52324399999998</v>
      </c>
      <c r="AI118" s="197">
        <f t="shared" si="267"/>
        <v>125.10175600000002</v>
      </c>
      <c r="AJ118" s="197">
        <f t="shared" si="268"/>
        <v>455.10175600000002</v>
      </c>
      <c r="AK118" s="196">
        <f t="shared" si="284"/>
        <v>440.24470538643783</v>
      </c>
      <c r="AL118" s="197">
        <f t="shared" si="285"/>
        <v>264.80884534522573</v>
      </c>
      <c r="AM118" s="197">
        <f t="shared" si="286"/>
        <v>339.85667036516458</v>
      </c>
      <c r="AN118" s="197">
        <f t="shared" si="287"/>
        <v>100.38803502127325</v>
      </c>
      <c r="AO118" s="199">
        <f t="shared" si="288"/>
        <v>365.19688036649899</v>
      </c>
      <c r="AP118" s="196">
        <f t="shared" si="320"/>
        <v>2016.3341671639685</v>
      </c>
      <c r="AQ118" s="197">
        <f t="shared" si="289"/>
        <v>1778.6923256616528</v>
      </c>
      <c r="AR118" s="197">
        <f t="shared" si="289"/>
        <v>4326.32672603427</v>
      </c>
      <c r="AS118" s="197">
        <f t="shared" si="289"/>
        <v>-2309.9925588703018</v>
      </c>
      <c r="AT118" s="199">
        <f t="shared" si="289"/>
        <v>-531.30023320864871</v>
      </c>
      <c r="AV118" s="204">
        <f t="shared" si="321"/>
        <v>6</v>
      </c>
      <c r="AW118" s="760">
        <f>'Energy NPV'!$D44</f>
        <v>12.54</v>
      </c>
      <c r="AX118" s="197">
        <f>'Energy margins'!$L$12</f>
        <v>43.75</v>
      </c>
      <c r="AY118" s="197">
        <f t="shared" si="322"/>
        <v>548.625</v>
      </c>
      <c r="AZ118" s="197">
        <f>'Margins summary'!$S$14</f>
        <v>330</v>
      </c>
      <c r="BA118" s="197">
        <f t="shared" si="290"/>
        <v>878.625</v>
      </c>
      <c r="BB118" s="197"/>
      <c r="BC118" s="918">
        <f>'Energy NPV'!U44</f>
        <v>423.52324399999998</v>
      </c>
      <c r="BD118" s="197"/>
      <c r="BE118" s="197">
        <f t="shared" si="291"/>
        <v>423.52324399999998</v>
      </c>
      <c r="BF118" s="197">
        <f t="shared" si="269"/>
        <v>125.10175600000002</v>
      </c>
      <c r="BG118" s="197">
        <f t="shared" si="270"/>
        <v>455.10175600000002</v>
      </c>
      <c r="BH118" s="196">
        <f t="shared" si="292"/>
        <v>509.26682102566923</v>
      </c>
      <c r="BI118" s="197">
        <f t="shared" si="293"/>
        <v>306.32590738386119</v>
      </c>
      <c r="BJ118" s="197">
        <f t="shared" si="294"/>
        <v>393.13982429229225</v>
      </c>
      <c r="BK118" s="197">
        <f t="shared" si="295"/>
        <v>116.126996733377</v>
      </c>
      <c r="BL118" s="199">
        <f t="shared" si="296"/>
        <v>422.45290411723818</v>
      </c>
      <c r="BM118" s="196">
        <f t="shared" si="323"/>
        <v>2217.6407012274194</v>
      </c>
      <c r="BN118" s="197">
        <f t="shared" si="297"/>
        <v>1908.2728410759346</v>
      </c>
      <c r="BO118" s="197">
        <f t="shared" si="297"/>
        <v>4502.0624291859858</v>
      </c>
      <c r="BP118" s="197">
        <f t="shared" si="297"/>
        <v>-2284.4217279585664</v>
      </c>
      <c r="BQ118" s="199">
        <f t="shared" si="297"/>
        <v>-376.14888688263147</v>
      </c>
      <c r="BS118" s="204">
        <f t="shared" si="324"/>
        <v>6</v>
      </c>
      <c r="BT118" s="760">
        <f>'Energy NPV'!$D44</f>
        <v>12.54</v>
      </c>
      <c r="BU118" s="197">
        <f>'Energy margins'!$L$12</f>
        <v>43.75</v>
      </c>
      <c r="BV118" s="197">
        <f t="shared" si="325"/>
        <v>548.625</v>
      </c>
      <c r="BW118" s="197">
        <f>'Margins summary'!$S$14</f>
        <v>330</v>
      </c>
      <c r="BX118" s="197">
        <f t="shared" si="298"/>
        <v>878.625</v>
      </c>
      <c r="BY118" s="197"/>
      <c r="BZ118" s="918">
        <f>'Energy NPV'!U44</f>
        <v>423.52324399999998</v>
      </c>
      <c r="CA118" s="197"/>
      <c r="CB118" s="197">
        <f t="shared" si="299"/>
        <v>423.52324399999998</v>
      </c>
      <c r="CC118" s="197">
        <f t="shared" si="271"/>
        <v>125.10175600000002</v>
      </c>
      <c r="CD118" s="197">
        <f t="shared" si="272"/>
        <v>455.10175600000002</v>
      </c>
      <c r="CE118" s="196">
        <f t="shared" si="300"/>
        <v>409.96451508864044</v>
      </c>
      <c r="CF118" s="197">
        <f t="shared" si="301"/>
        <v>246.59519704579878</v>
      </c>
      <c r="CG118" s="197">
        <f t="shared" si="302"/>
        <v>316.48120547774516</v>
      </c>
      <c r="CH118" s="197">
        <f t="shared" si="303"/>
        <v>93.48330961089529</v>
      </c>
      <c r="CI118" s="199">
        <f t="shared" si="304"/>
        <v>340.07850665669406</v>
      </c>
      <c r="CJ118" s="196">
        <f t="shared" si="326"/>
        <v>1925.6163721728278</v>
      </c>
      <c r="CK118" s="197">
        <f t="shared" si="305"/>
        <v>1720.0800492366855</v>
      </c>
      <c r="CL118" s="197">
        <f t="shared" si="305"/>
        <v>4246.6521107913441</v>
      </c>
      <c r="CM118" s="197">
        <f t="shared" si="305"/>
        <v>-2321.0357386185165</v>
      </c>
      <c r="CN118" s="199">
        <f t="shared" si="305"/>
        <v>-600.95568938183169</v>
      </c>
      <c r="CP118" s="204">
        <f t="shared" si="327"/>
        <v>6</v>
      </c>
      <c r="CQ118" s="760">
        <f>'Energy NPV'!$D44</f>
        <v>12.54</v>
      </c>
      <c r="CR118" s="197">
        <f>'Energy margins'!$L$12</f>
        <v>43.75</v>
      </c>
      <c r="CS118" s="197">
        <f t="shared" si="328"/>
        <v>548.625</v>
      </c>
      <c r="CT118" s="197">
        <f>'Margins summary'!$S$14</f>
        <v>330</v>
      </c>
      <c r="CU118" s="197">
        <f t="shared" si="306"/>
        <v>878.625</v>
      </c>
      <c r="CV118" s="197"/>
      <c r="CW118" s="918">
        <f>'Energy NPV'!U44</f>
        <v>423.52324399999998</v>
      </c>
      <c r="CX118" s="197"/>
      <c r="CY118" s="197">
        <f t="shared" si="307"/>
        <v>423.52324399999998</v>
      </c>
      <c r="CZ118" s="197">
        <f t="shared" si="273"/>
        <v>125.10175600000002</v>
      </c>
      <c r="DA118" s="197">
        <f t="shared" si="274"/>
        <v>455.10175600000002</v>
      </c>
      <c r="DB118" s="196">
        <f t="shared" si="308"/>
        <v>548.625</v>
      </c>
      <c r="DC118" s="197">
        <f t="shared" si="309"/>
        <v>330</v>
      </c>
      <c r="DD118" s="197">
        <f t="shared" si="310"/>
        <v>423.52324399999998</v>
      </c>
      <c r="DE118" s="197">
        <f t="shared" si="311"/>
        <v>125.10175600000002</v>
      </c>
      <c r="DF118" s="199">
        <f t="shared" si="312"/>
        <v>455.10175600000002</v>
      </c>
      <c r="DG118" s="196">
        <f t="shared" si="329"/>
        <v>2329.46875</v>
      </c>
      <c r="DH118" s="197">
        <f t="shared" si="313"/>
        <v>1980</v>
      </c>
      <c r="DI118" s="197">
        <f t="shared" si="313"/>
        <v>4599.117463999999</v>
      </c>
      <c r="DJ118" s="197">
        <f t="shared" si="313"/>
        <v>-2269.6487139999995</v>
      </c>
      <c r="DK118" s="199">
        <f t="shared" si="313"/>
        <v>-289.64871399999947</v>
      </c>
    </row>
    <row r="119" spans="2:115" x14ac:dyDescent="0.3">
      <c r="B119" s="204">
        <f t="shared" si="314"/>
        <v>7</v>
      </c>
      <c r="C119" s="760">
        <f>'Energy NPV'!$D45</f>
        <v>12.54</v>
      </c>
      <c r="D119" s="197">
        <f>'Energy margins'!$L$12</f>
        <v>43.75</v>
      </c>
      <c r="E119" s="197">
        <f t="shared" si="315"/>
        <v>548.625</v>
      </c>
      <c r="F119" s="197">
        <f>'Margins summary'!$S$14</f>
        <v>330</v>
      </c>
      <c r="G119" s="197">
        <f t="shared" si="275"/>
        <v>878.625</v>
      </c>
      <c r="H119" s="197"/>
      <c r="I119" s="918">
        <f>'Energy NPV'!U45</f>
        <v>423.52324399999998</v>
      </c>
      <c r="J119" s="197"/>
      <c r="K119" s="197">
        <f t="shared" si="276"/>
        <v>423.52324399999998</v>
      </c>
      <c r="L119" s="197">
        <f t="shared" si="265"/>
        <v>125.10175600000002</v>
      </c>
      <c r="M119" s="197">
        <f t="shared" si="266"/>
        <v>455.10175600000002</v>
      </c>
      <c r="N119" s="196">
        <f t="shared" si="316"/>
        <v>459.46480032306988</v>
      </c>
      <c r="O119" s="197">
        <f t="shared" si="277"/>
        <v>276.36980470560593</v>
      </c>
      <c r="P119" s="197">
        <f t="shared" si="278"/>
        <v>354.69404918958998</v>
      </c>
      <c r="Q119" s="197">
        <f t="shared" si="279"/>
        <v>104.77075113347992</v>
      </c>
      <c r="R119" s="199">
        <f t="shared" si="280"/>
        <v>381.14055583908589</v>
      </c>
      <c r="S119" s="196">
        <f t="shared" si="317"/>
        <v>2572.9447155639923</v>
      </c>
      <c r="T119" s="197">
        <f t="shared" si="281"/>
        <v>2117.6731764798024</v>
      </c>
      <c r="U119" s="197">
        <f t="shared" si="281"/>
        <v>4766.0004795033146</v>
      </c>
      <c r="V119" s="197">
        <f t="shared" si="281"/>
        <v>-2193.0557639393219</v>
      </c>
      <c r="W119" s="199">
        <f t="shared" si="281"/>
        <v>-75.382587459520209</v>
      </c>
      <c r="Y119" s="204">
        <f t="shared" si="318"/>
        <v>7</v>
      </c>
      <c r="Z119" s="760">
        <f>'Energy NPV'!$D45</f>
        <v>12.54</v>
      </c>
      <c r="AA119" s="197">
        <f>'Energy margins'!$L$12</f>
        <v>43.75</v>
      </c>
      <c r="AB119" s="197">
        <f t="shared" si="319"/>
        <v>548.625</v>
      </c>
      <c r="AC119" s="197">
        <f>'Margins summary'!$S$14</f>
        <v>330</v>
      </c>
      <c r="AD119" s="197">
        <f t="shared" si="282"/>
        <v>878.625</v>
      </c>
      <c r="AE119" s="197"/>
      <c r="AF119" s="918">
        <f>'Energy NPV'!U45</f>
        <v>423.52324399999998</v>
      </c>
      <c r="AG119" s="197"/>
      <c r="AH119" s="197">
        <f t="shared" si="283"/>
        <v>423.52324399999998</v>
      </c>
      <c r="AI119" s="197">
        <f t="shared" si="267"/>
        <v>125.10175600000002</v>
      </c>
      <c r="AJ119" s="197">
        <f t="shared" si="268"/>
        <v>455.10175600000002</v>
      </c>
      <c r="AK119" s="196">
        <f t="shared" si="284"/>
        <v>421.28679941285924</v>
      </c>
      <c r="AL119" s="197">
        <f t="shared" si="285"/>
        <v>253.40559363179506</v>
      </c>
      <c r="AM119" s="197">
        <f t="shared" si="286"/>
        <v>325.22169412934414</v>
      </c>
      <c r="AN119" s="197">
        <f t="shared" si="287"/>
        <v>96.065105283515095</v>
      </c>
      <c r="AO119" s="199">
        <f t="shared" si="288"/>
        <v>349.47069891531015</v>
      </c>
      <c r="AP119" s="196">
        <f t="shared" si="320"/>
        <v>2437.6209665768279</v>
      </c>
      <c r="AQ119" s="197">
        <f t="shared" si="289"/>
        <v>2032.0979192934478</v>
      </c>
      <c r="AR119" s="197">
        <f t="shared" si="289"/>
        <v>4651.5484201636145</v>
      </c>
      <c r="AS119" s="197">
        <f t="shared" si="289"/>
        <v>-2213.9274535867867</v>
      </c>
      <c r="AT119" s="199">
        <f t="shared" si="289"/>
        <v>-181.82953429333855</v>
      </c>
      <c r="AV119" s="204">
        <f t="shared" si="321"/>
        <v>7</v>
      </c>
      <c r="AW119" s="760">
        <f>'Energy NPV'!$D45</f>
        <v>12.54</v>
      </c>
      <c r="AX119" s="197">
        <f>'Energy margins'!$L$12</f>
        <v>43.75</v>
      </c>
      <c r="AY119" s="197">
        <f t="shared" si="322"/>
        <v>548.625</v>
      </c>
      <c r="AZ119" s="197">
        <f>'Margins summary'!$S$14</f>
        <v>330</v>
      </c>
      <c r="BA119" s="197">
        <f t="shared" si="290"/>
        <v>878.625</v>
      </c>
      <c r="BB119" s="197"/>
      <c r="BC119" s="918">
        <f>'Energy NPV'!U45</f>
        <v>423.52324399999998</v>
      </c>
      <c r="BD119" s="197"/>
      <c r="BE119" s="197">
        <f t="shared" si="291"/>
        <v>423.52324399999998</v>
      </c>
      <c r="BF119" s="197">
        <f t="shared" si="269"/>
        <v>125.10175600000002</v>
      </c>
      <c r="BG119" s="197">
        <f t="shared" si="270"/>
        <v>455.10175600000002</v>
      </c>
      <c r="BH119" s="196">
        <f t="shared" si="292"/>
        <v>501.7407103701176</v>
      </c>
      <c r="BI119" s="197">
        <f t="shared" si="293"/>
        <v>301.79892353089781</v>
      </c>
      <c r="BJ119" s="197">
        <f t="shared" si="294"/>
        <v>387.32987615004168</v>
      </c>
      <c r="BK119" s="197">
        <f t="shared" si="295"/>
        <v>114.41083422007588</v>
      </c>
      <c r="BL119" s="199">
        <f t="shared" si="296"/>
        <v>416.20975775097367</v>
      </c>
      <c r="BM119" s="196">
        <f t="shared" si="323"/>
        <v>2719.381411597537</v>
      </c>
      <c r="BN119" s="197">
        <f t="shared" si="297"/>
        <v>2210.0717646068324</v>
      </c>
      <c r="BO119" s="197">
        <f t="shared" si="297"/>
        <v>4889.3923053360277</v>
      </c>
      <c r="BP119" s="197">
        <f t="shared" si="297"/>
        <v>-2170.0108937384907</v>
      </c>
      <c r="BQ119" s="199">
        <f t="shared" si="297"/>
        <v>40.060870868342192</v>
      </c>
      <c r="BS119" s="204">
        <f t="shared" si="324"/>
        <v>7</v>
      </c>
      <c r="BT119" s="760">
        <f>'Energy NPV'!$D45</f>
        <v>12.54</v>
      </c>
      <c r="BU119" s="197">
        <f>'Energy margins'!$L$12</f>
        <v>43.75</v>
      </c>
      <c r="BV119" s="197">
        <f t="shared" si="325"/>
        <v>548.625</v>
      </c>
      <c r="BW119" s="197">
        <f>'Margins summary'!$S$14</f>
        <v>330</v>
      </c>
      <c r="BX119" s="197">
        <f t="shared" si="298"/>
        <v>878.625</v>
      </c>
      <c r="BY119" s="197"/>
      <c r="BZ119" s="918">
        <f>'Energy NPV'!U45</f>
        <v>423.52324399999998</v>
      </c>
      <c r="CA119" s="197"/>
      <c r="CB119" s="197">
        <f t="shared" si="299"/>
        <v>423.52324399999998</v>
      </c>
      <c r="CC119" s="197">
        <f t="shared" si="271"/>
        <v>125.10175600000002</v>
      </c>
      <c r="CD119" s="197">
        <f t="shared" si="272"/>
        <v>455.10175600000002</v>
      </c>
      <c r="CE119" s="196">
        <f t="shared" si="300"/>
        <v>386.7589764987174</v>
      </c>
      <c r="CF119" s="197">
        <f t="shared" si="301"/>
        <v>232.63697834509318</v>
      </c>
      <c r="CG119" s="197">
        <f t="shared" si="302"/>
        <v>298.56717497900485</v>
      </c>
      <c r="CH119" s="197">
        <f t="shared" si="303"/>
        <v>88.191801519712527</v>
      </c>
      <c r="CI119" s="199">
        <f t="shared" si="304"/>
        <v>320.82877986480571</v>
      </c>
      <c r="CJ119" s="196">
        <f t="shared" si="326"/>
        <v>2312.375348671545</v>
      </c>
      <c r="CK119" s="197">
        <f t="shared" si="305"/>
        <v>1952.7170275817787</v>
      </c>
      <c r="CL119" s="197">
        <f t="shared" si="305"/>
        <v>4545.2192857703485</v>
      </c>
      <c r="CM119" s="197">
        <f t="shared" si="305"/>
        <v>-2232.843937098804</v>
      </c>
      <c r="CN119" s="199">
        <f t="shared" si="305"/>
        <v>-280.12690951702598</v>
      </c>
      <c r="CP119" s="204">
        <f t="shared" si="327"/>
        <v>7</v>
      </c>
      <c r="CQ119" s="760">
        <f>'Energy NPV'!$D45</f>
        <v>12.54</v>
      </c>
      <c r="CR119" s="197">
        <f>'Energy margins'!$L$12</f>
        <v>43.75</v>
      </c>
      <c r="CS119" s="197">
        <f t="shared" si="328"/>
        <v>548.625</v>
      </c>
      <c r="CT119" s="197">
        <f>'Margins summary'!$S$14</f>
        <v>330</v>
      </c>
      <c r="CU119" s="197">
        <f t="shared" si="306"/>
        <v>878.625</v>
      </c>
      <c r="CV119" s="197"/>
      <c r="CW119" s="918">
        <f>'Energy NPV'!U45</f>
        <v>423.52324399999998</v>
      </c>
      <c r="CX119" s="197"/>
      <c r="CY119" s="197">
        <f t="shared" si="307"/>
        <v>423.52324399999998</v>
      </c>
      <c r="CZ119" s="197">
        <f t="shared" si="273"/>
        <v>125.10175600000002</v>
      </c>
      <c r="DA119" s="197">
        <f t="shared" si="274"/>
        <v>455.10175600000002</v>
      </c>
      <c r="DB119" s="196">
        <f t="shared" si="308"/>
        <v>548.625</v>
      </c>
      <c r="DC119" s="197">
        <f t="shared" si="309"/>
        <v>330</v>
      </c>
      <c r="DD119" s="197">
        <f t="shared" si="310"/>
        <v>423.52324399999998</v>
      </c>
      <c r="DE119" s="197">
        <f t="shared" si="311"/>
        <v>125.10175600000002</v>
      </c>
      <c r="DF119" s="199">
        <f t="shared" si="312"/>
        <v>455.10175600000002</v>
      </c>
      <c r="DG119" s="196">
        <f t="shared" si="329"/>
        <v>2878.09375</v>
      </c>
      <c r="DH119" s="197">
        <f t="shared" si="313"/>
        <v>2310</v>
      </c>
      <c r="DI119" s="197">
        <f t="shared" si="313"/>
        <v>5022.640707999999</v>
      </c>
      <c r="DJ119" s="197">
        <f t="shared" si="313"/>
        <v>-2144.5469579999994</v>
      </c>
      <c r="DK119" s="199">
        <f t="shared" si="313"/>
        <v>165.45304200000055</v>
      </c>
    </row>
    <row r="120" spans="2:115" x14ac:dyDescent="0.3">
      <c r="B120" s="204">
        <f t="shared" si="314"/>
        <v>8</v>
      </c>
      <c r="C120" s="760">
        <f>'Energy NPV'!$D46</f>
        <v>12.54</v>
      </c>
      <c r="D120" s="197">
        <f>'Energy margins'!$L$12</f>
        <v>43.75</v>
      </c>
      <c r="E120" s="197">
        <f t="shared" si="315"/>
        <v>548.625</v>
      </c>
      <c r="F120" s="197">
        <f>'Margins summary'!$S$14</f>
        <v>330</v>
      </c>
      <c r="G120" s="197">
        <f t="shared" si="275"/>
        <v>878.625</v>
      </c>
      <c r="H120" s="197"/>
      <c r="I120" s="918">
        <f>'Energy NPV'!U46</f>
        <v>423.52324399999998</v>
      </c>
      <c r="J120" s="197"/>
      <c r="K120" s="197">
        <f t="shared" si="276"/>
        <v>423.52324399999998</v>
      </c>
      <c r="L120" s="197">
        <f t="shared" si="265"/>
        <v>125.10175600000002</v>
      </c>
      <c r="M120" s="197">
        <f t="shared" si="266"/>
        <v>455.10175600000002</v>
      </c>
      <c r="N120" s="196">
        <f t="shared" si="316"/>
        <v>446.08233041074743</v>
      </c>
      <c r="O120" s="197">
        <f t="shared" si="277"/>
        <v>268.32019874330672</v>
      </c>
      <c r="P120" s="197">
        <f t="shared" si="278"/>
        <v>344.36315455299996</v>
      </c>
      <c r="Q120" s="197">
        <f t="shared" si="279"/>
        <v>101.71917585774749</v>
      </c>
      <c r="R120" s="199">
        <f t="shared" si="280"/>
        <v>370.03937460105425</v>
      </c>
      <c r="S120" s="196">
        <f t="shared" si="317"/>
        <v>3019.0270459747398</v>
      </c>
      <c r="T120" s="197">
        <f t="shared" si="281"/>
        <v>2385.9933752231091</v>
      </c>
      <c r="U120" s="197">
        <f t="shared" si="281"/>
        <v>5110.3636340563144</v>
      </c>
      <c r="V120" s="197">
        <f t="shared" si="281"/>
        <v>-2091.3365880815745</v>
      </c>
      <c r="W120" s="199">
        <f t="shared" si="281"/>
        <v>294.65678714153404</v>
      </c>
      <c r="Y120" s="204">
        <f t="shared" si="318"/>
        <v>8</v>
      </c>
      <c r="Z120" s="760">
        <f>'Energy NPV'!$D46</f>
        <v>12.54</v>
      </c>
      <c r="AA120" s="197">
        <f>'Energy margins'!$L$12</f>
        <v>43.75</v>
      </c>
      <c r="AB120" s="197">
        <f t="shared" si="319"/>
        <v>548.625</v>
      </c>
      <c r="AC120" s="197">
        <f>'Margins summary'!$S$14</f>
        <v>330</v>
      </c>
      <c r="AD120" s="197">
        <f t="shared" si="282"/>
        <v>878.625</v>
      </c>
      <c r="AE120" s="197"/>
      <c r="AF120" s="918">
        <f>'Energy NPV'!U46</f>
        <v>423.52324399999998</v>
      </c>
      <c r="AG120" s="197"/>
      <c r="AH120" s="197">
        <f t="shared" si="283"/>
        <v>423.52324399999998</v>
      </c>
      <c r="AI120" s="197">
        <f t="shared" si="267"/>
        <v>125.10175600000002</v>
      </c>
      <c r="AJ120" s="197">
        <f t="shared" si="268"/>
        <v>455.10175600000002</v>
      </c>
      <c r="AK120" s="196">
        <f t="shared" si="284"/>
        <v>403.14526259603753</v>
      </c>
      <c r="AL120" s="197">
        <f t="shared" si="285"/>
        <v>242.49339103521055</v>
      </c>
      <c r="AM120" s="197">
        <f t="shared" si="286"/>
        <v>311.21693218119054</v>
      </c>
      <c r="AN120" s="197">
        <f t="shared" si="287"/>
        <v>91.928330414846982</v>
      </c>
      <c r="AO120" s="199">
        <f t="shared" si="288"/>
        <v>334.42172145005753</v>
      </c>
      <c r="AP120" s="196">
        <f t="shared" si="320"/>
        <v>2840.7662291728652</v>
      </c>
      <c r="AQ120" s="197">
        <f t="shared" si="289"/>
        <v>2274.5913103286584</v>
      </c>
      <c r="AR120" s="197">
        <f t="shared" si="289"/>
        <v>4962.7653523448053</v>
      </c>
      <c r="AS120" s="197">
        <f t="shared" si="289"/>
        <v>-2121.9991231719396</v>
      </c>
      <c r="AT120" s="199">
        <f t="shared" si="289"/>
        <v>152.59218715671898</v>
      </c>
      <c r="AV120" s="204">
        <f t="shared" si="321"/>
        <v>8</v>
      </c>
      <c r="AW120" s="760">
        <f>'Energy NPV'!$D46</f>
        <v>12.54</v>
      </c>
      <c r="AX120" s="197">
        <f>'Energy margins'!$L$12</f>
        <v>43.75</v>
      </c>
      <c r="AY120" s="197">
        <f t="shared" si="322"/>
        <v>548.625</v>
      </c>
      <c r="AZ120" s="197">
        <f>'Margins summary'!$S$14</f>
        <v>330</v>
      </c>
      <c r="BA120" s="197">
        <f t="shared" si="290"/>
        <v>878.625</v>
      </c>
      <c r="BB120" s="197"/>
      <c r="BC120" s="918">
        <f>'Energy NPV'!U46</f>
        <v>423.52324399999998</v>
      </c>
      <c r="BD120" s="197"/>
      <c r="BE120" s="197">
        <f t="shared" si="291"/>
        <v>423.52324399999998</v>
      </c>
      <c r="BF120" s="197">
        <f t="shared" si="269"/>
        <v>125.10175600000002</v>
      </c>
      <c r="BG120" s="197">
        <f t="shared" si="270"/>
        <v>455.10175600000002</v>
      </c>
      <c r="BH120" s="196">
        <f t="shared" si="292"/>
        <v>494.32582302474646</v>
      </c>
      <c r="BI120" s="197">
        <f t="shared" si="293"/>
        <v>297.33884091714071</v>
      </c>
      <c r="BJ120" s="197">
        <f t="shared" si="294"/>
        <v>381.60578931038594</v>
      </c>
      <c r="BK120" s="197">
        <f t="shared" si="295"/>
        <v>112.7200337143605</v>
      </c>
      <c r="BL120" s="199">
        <f t="shared" si="296"/>
        <v>410.05887463150123</v>
      </c>
      <c r="BM120" s="196">
        <f t="shared" si="323"/>
        <v>3213.7072346222835</v>
      </c>
      <c r="BN120" s="197">
        <f t="shared" si="297"/>
        <v>2507.4106055239731</v>
      </c>
      <c r="BO120" s="197">
        <f t="shared" si="297"/>
        <v>5270.9980946464138</v>
      </c>
      <c r="BP120" s="197">
        <f t="shared" si="297"/>
        <v>-2057.2908600241303</v>
      </c>
      <c r="BQ120" s="199">
        <f t="shared" si="297"/>
        <v>450.11974549984342</v>
      </c>
      <c r="BS120" s="204">
        <f t="shared" si="324"/>
        <v>8</v>
      </c>
      <c r="BT120" s="760">
        <f>'Energy NPV'!$D46</f>
        <v>12.54</v>
      </c>
      <c r="BU120" s="197">
        <f>'Energy margins'!$L$12</f>
        <v>43.75</v>
      </c>
      <c r="BV120" s="197">
        <f t="shared" si="325"/>
        <v>548.625</v>
      </c>
      <c r="BW120" s="197">
        <f>'Margins summary'!$S$14</f>
        <v>330</v>
      </c>
      <c r="BX120" s="197">
        <f t="shared" si="298"/>
        <v>878.625</v>
      </c>
      <c r="BY120" s="197"/>
      <c r="BZ120" s="918">
        <f>'Energy NPV'!U46</f>
        <v>423.52324399999998</v>
      </c>
      <c r="CA120" s="197"/>
      <c r="CB120" s="197">
        <f t="shared" si="299"/>
        <v>423.52324399999998</v>
      </c>
      <c r="CC120" s="197">
        <f t="shared" si="271"/>
        <v>125.10175600000002</v>
      </c>
      <c r="CD120" s="197">
        <f t="shared" si="272"/>
        <v>455.10175600000002</v>
      </c>
      <c r="CE120" s="196">
        <f t="shared" si="300"/>
        <v>364.86695896105408</v>
      </c>
      <c r="CF120" s="197">
        <f t="shared" si="301"/>
        <v>219.46884749537088</v>
      </c>
      <c r="CG120" s="197">
        <f t="shared" si="302"/>
        <v>281.66714620660832</v>
      </c>
      <c r="CH120" s="197">
        <f t="shared" si="303"/>
        <v>83.199812754445773</v>
      </c>
      <c r="CI120" s="199">
        <f t="shared" si="304"/>
        <v>302.66866024981664</v>
      </c>
      <c r="CJ120" s="196">
        <f t="shared" si="326"/>
        <v>2677.242307632599</v>
      </c>
      <c r="CK120" s="197">
        <f t="shared" si="305"/>
        <v>2172.1858750771494</v>
      </c>
      <c r="CL120" s="197">
        <f t="shared" si="305"/>
        <v>4826.8864319769564</v>
      </c>
      <c r="CM120" s="197">
        <f t="shared" si="305"/>
        <v>-2149.6441243443583</v>
      </c>
      <c r="CN120" s="199">
        <f t="shared" si="305"/>
        <v>22.541750732790661</v>
      </c>
      <c r="CP120" s="204">
        <f t="shared" si="327"/>
        <v>8</v>
      </c>
      <c r="CQ120" s="760">
        <f>'Energy NPV'!$D46</f>
        <v>12.54</v>
      </c>
      <c r="CR120" s="197">
        <f>'Energy margins'!$L$12</f>
        <v>43.75</v>
      </c>
      <c r="CS120" s="197">
        <f t="shared" si="328"/>
        <v>548.625</v>
      </c>
      <c r="CT120" s="197">
        <f>'Margins summary'!$S$14</f>
        <v>330</v>
      </c>
      <c r="CU120" s="197">
        <f t="shared" si="306"/>
        <v>878.625</v>
      </c>
      <c r="CV120" s="197"/>
      <c r="CW120" s="918">
        <f>'Energy NPV'!U46</f>
        <v>423.52324399999998</v>
      </c>
      <c r="CX120" s="197"/>
      <c r="CY120" s="197">
        <f t="shared" si="307"/>
        <v>423.52324399999998</v>
      </c>
      <c r="CZ120" s="197">
        <f t="shared" si="273"/>
        <v>125.10175600000002</v>
      </c>
      <c r="DA120" s="197">
        <f t="shared" si="274"/>
        <v>455.10175600000002</v>
      </c>
      <c r="DB120" s="196">
        <f t="shared" si="308"/>
        <v>548.625</v>
      </c>
      <c r="DC120" s="197">
        <f t="shared" si="309"/>
        <v>330</v>
      </c>
      <c r="DD120" s="197">
        <f t="shared" si="310"/>
        <v>423.52324399999998</v>
      </c>
      <c r="DE120" s="197">
        <f t="shared" si="311"/>
        <v>125.10175600000002</v>
      </c>
      <c r="DF120" s="199">
        <f t="shared" si="312"/>
        <v>455.10175600000002</v>
      </c>
      <c r="DG120" s="196">
        <f t="shared" si="329"/>
        <v>3426.71875</v>
      </c>
      <c r="DH120" s="197">
        <f t="shared" si="313"/>
        <v>2640</v>
      </c>
      <c r="DI120" s="197">
        <f t="shared" si="313"/>
        <v>5446.163951999999</v>
      </c>
      <c r="DJ120" s="197">
        <f t="shared" si="313"/>
        <v>-2019.4452019999994</v>
      </c>
      <c r="DK120" s="199">
        <f t="shared" si="313"/>
        <v>620.55479800000057</v>
      </c>
    </row>
    <row r="121" spans="2:115" x14ac:dyDescent="0.3">
      <c r="B121" s="204">
        <f t="shared" si="314"/>
        <v>9</v>
      </c>
      <c r="C121" s="760">
        <f>'Energy NPV'!$D47</f>
        <v>12.54</v>
      </c>
      <c r="D121" s="197">
        <f>'Energy margins'!$L$12</f>
        <v>43.75</v>
      </c>
      <c r="E121" s="197">
        <f t="shared" si="315"/>
        <v>548.625</v>
      </c>
      <c r="F121" s="197">
        <f>'Margins summary'!$S$14</f>
        <v>330</v>
      </c>
      <c r="G121" s="197">
        <f t="shared" si="275"/>
        <v>878.625</v>
      </c>
      <c r="H121" s="197"/>
      <c r="I121" s="918">
        <f>'Energy NPV'!U47</f>
        <v>423.52324399999998</v>
      </c>
      <c r="J121" s="197"/>
      <c r="K121" s="197">
        <f t="shared" si="276"/>
        <v>423.52324399999998</v>
      </c>
      <c r="L121" s="197">
        <f t="shared" si="265"/>
        <v>125.10175600000002</v>
      </c>
      <c r="M121" s="197">
        <f t="shared" si="266"/>
        <v>455.10175600000002</v>
      </c>
      <c r="N121" s="196">
        <f t="shared" si="316"/>
        <v>433.089641175483</v>
      </c>
      <c r="O121" s="197">
        <f t="shared" si="277"/>
        <v>260.50504732359883</v>
      </c>
      <c r="P121" s="197">
        <f t="shared" si="278"/>
        <v>334.33315976019418</v>
      </c>
      <c r="Q121" s="197">
        <f t="shared" si="279"/>
        <v>98.756481415288846</v>
      </c>
      <c r="R121" s="199">
        <f t="shared" si="280"/>
        <v>359.26152873888765</v>
      </c>
      <c r="S121" s="196">
        <f t="shared" si="317"/>
        <v>3452.1166871502228</v>
      </c>
      <c r="T121" s="197">
        <f t="shared" si="281"/>
        <v>2646.4984225467078</v>
      </c>
      <c r="U121" s="197">
        <f t="shared" si="281"/>
        <v>5444.6967938165089</v>
      </c>
      <c r="V121" s="197">
        <f t="shared" si="281"/>
        <v>-1992.5801066662857</v>
      </c>
      <c r="W121" s="199">
        <f t="shared" si="281"/>
        <v>653.91831588042169</v>
      </c>
      <c r="Y121" s="204">
        <f t="shared" si="318"/>
        <v>9</v>
      </c>
      <c r="Z121" s="760">
        <f>'Energy NPV'!$D47</f>
        <v>12.54</v>
      </c>
      <c r="AA121" s="197">
        <f>'Energy margins'!$L$12</f>
        <v>43.75</v>
      </c>
      <c r="AB121" s="197">
        <f t="shared" si="319"/>
        <v>548.625</v>
      </c>
      <c r="AC121" s="197">
        <f>'Margins summary'!$S$14</f>
        <v>330</v>
      </c>
      <c r="AD121" s="197">
        <f t="shared" si="282"/>
        <v>878.625</v>
      </c>
      <c r="AE121" s="197"/>
      <c r="AF121" s="918">
        <f>'Energy NPV'!U47</f>
        <v>423.52324399999998</v>
      </c>
      <c r="AG121" s="197"/>
      <c r="AH121" s="197">
        <f t="shared" si="283"/>
        <v>423.52324399999998</v>
      </c>
      <c r="AI121" s="197">
        <f t="shared" si="267"/>
        <v>125.10175600000002</v>
      </c>
      <c r="AJ121" s="197">
        <f t="shared" si="268"/>
        <v>455.10175600000002</v>
      </c>
      <c r="AK121" s="196">
        <f t="shared" si="284"/>
        <v>385.78494028328964</v>
      </c>
      <c r="AL121" s="197">
        <f t="shared" si="285"/>
        <v>232.05109189972308</v>
      </c>
      <c r="AM121" s="197">
        <f t="shared" si="286"/>
        <v>297.81524610640253</v>
      </c>
      <c r="AN121" s="197">
        <f t="shared" si="287"/>
        <v>87.969694176887089</v>
      </c>
      <c r="AO121" s="199">
        <f t="shared" si="288"/>
        <v>320.02078607661019</v>
      </c>
      <c r="AP121" s="196">
        <f t="shared" si="320"/>
        <v>3226.5511694561546</v>
      </c>
      <c r="AQ121" s="197">
        <f t="shared" si="289"/>
        <v>2506.6424022283813</v>
      </c>
      <c r="AR121" s="197">
        <f t="shared" si="289"/>
        <v>5260.5805984512081</v>
      </c>
      <c r="AS121" s="197">
        <f t="shared" si="289"/>
        <v>-2034.0294289950525</v>
      </c>
      <c r="AT121" s="199">
        <f t="shared" si="289"/>
        <v>472.61297323332917</v>
      </c>
      <c r="AV121" s="204">
        <f t="shared" si="321"/>
        <v>9</v>
      </c>
      <c r="AW121" s="760">
        <f>'Energy NPV'!$D47</f>
        <v>12.54</v>
      </c>
      <c r="AX121" s="197">
        <f>'Energy margins'!$L$12</f>
        <v>43.75</v>
      </c>
      <c r="AY121" s="197">
        <f t="shared" si="322"/>
        <v>548.625</v>
      </c>
      <c r="AZ121" s="197">
        <f>'Margins summary'!$S$14</f>
        <v>330</v>
      </c>
      <c r="BA121" s="197">
        <f t="shared" si="290"/>
        <v>878.625</v>
      </c>
      <c r="BB121" s="197"/>
      <c r="BC121" s="918">
        <f>'Energy NPV'!U47</f>
        <v>423.52324399999998</v>
      </c>
      <c r="BD121" s="197"/>
      <c r="BE121" s="197">
        <f t="shared" si="291"/>
        <v>423.52324399999998</v>
      </c>
      <c r="BF121" s="197">
        <f t="shared" si="269"/>
        <v>125.10175600000002</v>
      </c>
      <c r="BG121" s="197">
        <f t="shared" si="270"/>
        <v>455.10175600000002</v>
      </c>
      <c r="BH121" s="196">
        <f t="shared" si="292"/>
        <v>487.02051529531673</v>
      </c>
      <c r="BI121" s="197">
        <f t="shared" si="293"/>
        <v>292.94467085432586</v>
      </c>
      <c r="BJ121" s="197">
        <f t="shared" si="294"/>
        <v>375.96629488707981</v>
      </c>
      <c r="BK121" s="197">
        <f t="shared" si="295"/>
        <v>111.05422040823694</v>
      </c>
      <c r="BL121" s="199">
        <f t="shared" si="296"/>
        <v>403.99889126256278</v>
      </c>
      <c r="BM121" s="196">
        <f t="shared" si="323"/>
        <v>3700.7277499176002</v>
      </c>
      <c r="BN121" s="197">
        <f t="shared" si="297"/>
        <v>2800.3552763782991</v>
      </c>
      <c r="BO121" s="197">
        <f t="shared" si="297"/>
        <v>5646.9643895334939</v>
      </c>
      <c r="BP121" s="197">
        <f t="shared" si="297"/>
        <v>-1946.2366396158934</v>
      </c>
      <c r="BQ121" s="199">
        <f t="shared" si="297"/>
        <v>854.11863676240614</v>
      </c>
      <c r="BS121" s="204">
        <f t="shared" si="324"/>
        <v>9</v>
      </c>
      <c r="BT121" s="760">
        <f>'Energy NPV'!$D47</f>
        <v>12.54</v>
      </c>
      <c r="BU121" s="197">
        <f>'Energy margins'!$L$12</f>
        <v>43.75</v>
      </c>
      <c r="BV121" s="197">
        <f t="shared" si="325"/>
        <v>548.625</v>
      </c>
      <c r="BW121" s="197">
        <f>'Margins summary'!$S$14</f>
        <v>330</v>
      </c>
      <c r="BX121" s="197">
        <f t="shared" si="298"/>
        <v>878.625</v>
      </c>
      <c r="BY121" s="197"/>
      <c r="BZ121" s="918">
        <f>'Energy NPV'!U47</f>
        <v>423.52324399999998</v>
      </c>
      <c r="CA121" s="197"/>
      <c r="CB121" s="197">
        <f t="shared" si="299"/>
        <v>423.52324399999998</v>
      </c>
      <c r="CC121" s="197">
        <f t="shared" si="271"/>
        <v>125.10175600000002</v>
      </c>
      <c r="CD121" s="197">
        <f t="shared" si="272"/>
        <v>455.10175600000002</v>
      </c>
      <c r="CE121" s="196">
        <f t="shared" si="300"/>
        <v>344.21411222740954</v>
      </c>
      <c r="CF121" s="197">
        <f t="shared" si="301"/>
        <v>207.04608254280274</v>
      </c>
      <c r="CG121" s="197">
        <f t="shared" si="302"/>
        <v>265.72372283642295</v>
      </c>
      <c r="CH121" s="197">
        <f t="shared" si="303"/>
        <v>78.490389390986593</v>
      </c>
      <c r="CI121" s="199">
        <f t="shared" si="304"/>
        <v>285.53647193378936</v>
      </c>
      <c r="CJ121" s="196">
        <f t="shared" si="326"/>
        <v>3021.4564198600087</v>
      </c>
      <c r="CK121" s="197">
        <f t="shared" si="305"/>
        <v>2379.231957619952</v>
      </c>
      <c r="CL121" s="197">
        <f t="shared" si="305"/>
        <v>5092.6101548133793</v>
      </c>
      <c r="CM121" s="197">
        <f t="shared" si="305"/>
        <v>-2071.1537349533719</v>
      </c>
      <c r="CN121" s="199">
        <f t="shared" si="305"/>
        <v>308.07822266658002</v>
      </c>
      <c r="CP121" s="204">
        <f t="shared" si="327"/>
        <v>9</v>
      </c>
      <c r="CQ121" s="760">
        <f>'Energy NPV'!$D47</f>
        <v>12.54</v>
      </c>
      <c r="CR121" s="197">
        <f>'Energy margins'!$L$12</f>
        <v>43.75</v>
      </c>
      <c r="CS121" s="197">
        <f t="shared" si="328"/>
        <v>548.625</v>
      </c>
      <c r="CT121" s="197">
        <f>'Margins summary'!$S$14</f>
        <v>330</v>
      </c>
      <c r="CU121" s="197">
        <f t="shared" si="306"/>
        <v>878.625</v>
      </c>
      <c r="CV121" s="197"/>
      <c r="CW121" s="918">
        <f>'Energy NPV'!U47</f>
        <v>423.52324399999998</v>
      </c>
      <c r="CX121" s="197"/>
      <c r="CY121" s="197">
        <f t="shared" si="307"/>
        <v>423.52324399999998</v>
      </c>
      <c r="CZ121" s="197">
        <f t="shared" si="273"/>
        <v>125.10175600000002</v>
      </c>
      <c r="DA121" s="197">
        <f t="shared" si="274"/>
        <v>455.10175600000002</v>
      </c>
      <c r="DB121" s="196">
        <f t="shared" si="308"/>
        <v>548.625</v>
      </c>
      <c r="DC121" s="197">
        <f t="shared" si="309"/>
        <v>330</v>
      </c>
      <c r="DD121" s="197">
        <f t="shared" si="310"/>
        <v>423.52324399999998</v>
      </c>
      <c r="DE121" s="197">
        <f t="shared" si="311"/>
        <v>125.10175600000002</v>
      </c>
      <c r="DF121" s="199">
        <f t="shared" si="312"/>
        <v>455.10175600000002</v>
      </c>
      <c r="DG121" s="196">
        <f t="shared" si="329"/>
        <v>3975.34375</v>
      </c>
      <c r="DH121" s="197">
        <f t="shared" si="313"/>
        <v>2970</v>
      </c>
      <c r="DI121" s="197">
        <f t="shared" si="313"/>
        <v>5869.6871959999989</v>
      </c>
      <c r="DJ121" s="197">
        <f t="shared" si="313"/>
        <v>-1894.3434459999994</v>
      </c>
      <c r="DK121" s="199">
        <f t="shared" si="313"/>
        <v>1075.6565540000006</v>
      </c>
    </row>
    <row r="122" spans="2:115" x14ac:dyDescent="0.3">
      <c r="B122" s="204">
        <f t="shared" si="314"/>
        <v>10</v>
      </c>
      <c r="C122" s="760">
        <f>'Energy NPV'!$D48</f>
        <v>12.54</v>
      </c>
      <c r="D122" s="197">
        <f>'Energy margins'!$L$12</f>
        <v>43.75</v>
      </c>
      <c r="E122" s="197">
        <f t="shared" si="315"/>
        <v>548.625</v>
      </c>
      <c r="F122" s="197">
        <f>'Margins summary'!$S$14</f>
        <v>330</v>
      </c>
      <c r="G122" s="197">
        <f t="shared" si="275"/>
        <v>878.625</v>
      </c>
      <c r="H122" s="197"/>
      <c r="I122" s="918">
        <f>'Energy NPV'!U48</f>
        <v>423.52324399999998</v>
      </c>
      <c r="J122" s="197"/>
      <c r="K122" s="197">
        <f t="shared" si="276"/>
        <v>423.52324399999998</v>
      </c>
      <c r="L122" s="197">
        <f t="shared" si="265"/>
        <v>125.10175600000002</v>
      </c>
      <c r="M122" s="197">
        <f t="shared" si="266"/>
        <v>455.10175600000002</v>
      </c>
      <c r="N122" s="196">
        <f t="shared" si="316"/>
        <v>420.47537978202234</v>
      </c>
      <c r="O122" s="197">
        <f t="shared" si="277"/>
        <v>252.91752167339689</v>
      </c>
      <c r="P122" s="197">
        <f t="shared" si="278"/>
        <v>324.59530073805257</v>
      </c>
      <c r="Q122" s="197">
        <f t="shared" si="279"/>
        <v>95.880079043969744</v>
      </c>
      <c r="R122" s="199">
        <f t="shared" si="280"/>
        <v>348.79760071736661</v>
      </c>
      <c r="S122" s="196">
        <f t="shared" si="317"/>
        <v>3872.592066932245</v>
      </c>
      <c r="T122" s="197">
        <f t="shared" si="281"/>
        <v>2899.4159442201048</v>
      </c>
      <c r="U122" s="197">
        <f t="shared" si="281"/>
        <v>5769.2920945545611</v>
      </c>
      <c r="V122" s="197">
        <f t="shared" si="281"/>
        <v>-1896.7000276223159</v>
      </c>
      <c r="W122" s="199">
        <f t="shared" si="281"/>
        <v>1002.7159165977882</v>
      </c>
      <c r="Y122" s="204">
        <f t="shared" si="318"/>
        <v>10</v>
      </c>
      <c r="Z122" s="760">
        <f>'Energy NPV'!$D48</f>
        <v>12.54</v>
      </c>
      <c r="AA122" s="197">
        <f>'Energy margins'!$L$12</f>
        <v>43.75</v>
      </c>
      <c r="AB122" s="197">
        <f t="shared" si="319"/>
        <v>548.625</v>
      </c>
      <c r="AC122" s="197">
        <f>'Margins summary'!$S$14</f>
        <v>330</v>
      </c>
      <c r="AD122" s="197">
        <f t="shared" si="282"/>
        <v>878.625</v>
      </c>
      <c r="AE122" s="197"/>
      <c r="AF122" s="918">
        <f>'Energy NPV'!U48</f>
        <v>423.52324399999998</v>
      </c>
      <c r="AG122" s="197"/>
      <c r="AH122" s="197">
        <f t="shared" si="283"/>
        <v>423.52324399999998</v>
      </c>
      <c r="AI122" s="197">
        <f t="shared" si="267"/>
        <v>125.10175600000002</v>
      </c>
      <c r="AJ122" s="197">
        <f t="shared" si="268"/>
        <v>455.10175600000002</v>
      </c>
      <c r="AK122" s="196">
        <f t="shared" si="284"/>
        <v>369.17219165865038</v>
      </c>
      <c r="AL122" s="197">
        <f t="shared" si="285"/>
        <v>222.05846114806039</v>
      </c>
      <c r="AM122" s="197">
        <f t="shared" si="286"/>
        <v>284.99066613052878</v>
      </c>
      <c r="AN122" s="197">
        <f t="shared" si="287"/>
        <v>84.181525528121625</v>
      </c>
      <c r="AO122" s="199">
        <f t="shared" si="288"/>
        <v>306.23998667618201</v>
      </c>
      <c r="AP122" s="196">
        <f t="shared" si="320"/>
        <v>3595.7233611148049</v>
      </c>
      <c r="AQ122" s="197">
        <f t="shared" si="289"/>
        <v>2728.7008633764417</v>
      </c>
      <c r="AR122" s="197">
        <f t="shared" si="289"/>
        <v>5545.5712645817366</v>
      </c>
      <c r="AS122" s="197">
        <f t="shared" si="289"/>
        <v>-1949.8479034669308</v>
      </c>
      <c r="AT122" s="199">
        <f t="shared" si="289"/>
        <v>778.85295990951113</v>
      </c>
      <c r="AV122" s="204">
        <f t="shared" si="321"/>
        <v>10</v>
      </c>
      <c r="AW122" s="760">
        <f>'Energy NPV'!$D48</f>
        <v>12.54</v>
      </c>
      <c r="AX122" s="197">
        <f>'Energy margins'!$L$12</f>
        <v>43.75</v>
      </c>
      <c r="AY122" s="197">
        <f t="shared" si="322"/>
        <v>548.625</v>
      </c>
      <c r="AZ122" s="197">
        <f>'Margins summary'!$S$14</f>
        <v>330</v>
      </c>
      <c r="BA122" s="197">
        <f t="shared" si="290"/>
        <v>878.625</v>
      </c>
      <c r="BB122" s="197"/>
      <c r="BC122" s="918">
        <f>'Energy NPV'!U48</f>
        <v>423.52324399999998</v>
      </c>
      <c r="BD122" s="197"/>
      <c r="BE122" s="197">
        <f t="shared" si="291"/>
        <v>423.52324399999998</v>
      </c>
      <c r="BF122" s="197">
        <f t="shared" si="269"/>
        <v>125.10175600000002</v>
      </c>
      <c r="BG122" s="197">
        <f t="shared" si="270"/>
        <v>455.10175600000002</v>
      </c>
      <c r="BH122" s="196">
        <f t="shared" si="292"/>
        <v>479.82316777863724</v>
      </c>
      <c r="BI122" s="197">
        <f t="shared" si="293"/>
        <v>288.61543926534569</v>
      </c>
      <c r="BJ122" s="197">
        <f t="shared" si="294"/>
        <v>370.41014274589145</v>
      </c>
      <c r="BK122" s="197">
        <f t="shared" si="295"/>
        <v>109.41302503274578</v>
      </c>
      <c r="BL122" s="199">
        <f t="shared" si="296"/>
        <v>398.02846429809148</v>
      </c>
      <c r="BM122" s="196">
        <f t="shared" si="323"/>
        <v>4180.5509176962378</v>
      </c>
      <c r="BN122" s="197">
        <f t="shared" si="297"/>
        <v>3088.9707156436448</v>
      </c>
      <c r="BO122" s="197">
        <f t="shared" si="297"/>
        <v>6017.3745322793857</v>
      </c>
      <c r="BP122" s="197">
        <f t="shared" si="297"/>
        <v>-1836.8236145831477</v>
      </c>
      <c r="BQ122" s="199">
        <f t="shared" si="297"/>
        <v>1252.1471010604976</v>
      </c>
      <c r="BS122" s="204">
        <f t="shared" si="324"/>
        <v>10</v>
      </c>
      <c r="BT122" s="760">
        <f>'Energy NPV'!$D48</f>
        <v>12.54</v>
      </c>
      <c r="BU122" s="197">
        <f>'Energy margins'!$L$12</f>
        <v>43.75</v>
      </c>
      <c r="BV122" s="197">
        <f t="shared" si="325"/>
        <v>548.625</v>
      </c>
      <c r="BW122" s="197">
        <f>'Margins summary'!$S$14</f>
        <v>330</v>
      </c>
      <c r="BX122" s="197">
        <f t="shared" si="298"/>
        <v>878.625</v>
      </c>
      <c r="BY122" s="197"/>
      <c r="BZ122" s="918">
        <f>'Energy NPV'!U48</f>
        <v>423.52324399999998</v>
      </c>
      <c r="CA122" s="197"/>
      <c r="CB122" s="197">
        <f t="shared" si="299"/>
        <v>423.52324399999998</v>
      </c>
      <c r="CC122" s="197">
        <f t="shared" si="271"/>
        <v>125.10175600000002</v>
      </c>
      <c r="CD122" s="197">
        <f t="shared" si="272"/>
        <v>455.10175600000002</v>
      </c>
      <c r="CE122" s="196">
        <f t="shared" si="300"/>
        <v>324.73029455415997</v>
      </c>
      <c r="CF122" s="197">
        <f t="shared" si="301"/>
        <v>195.32649296490825</v>
      </c>
      <c r="CG122" s="197">
        <f t="shared" si="302"/>
        <v>250.68275739285187</v>
      </c>
      <c r="CH122" s="197">
        <f t="shared" si="303"/>
        <v>74.047537161308099</v>
      </c>
      <c r="CI122" s="199">
        <f t="shared" si="304"/>
        <v>269.37403012621633</v>
      </c>
      <c r="CJ122" s="196">
        <f t="shared" si="326"/>
        <v>3346.1867144141688</v>
      </c>
      <c r="CK122" s="197">
        <f t="shared" si="305"/>
        <v>2574.5584505848601</v>
      </c>
      <c r="CL122" s="197">
        <f t="shared" si="305"/>
        <v>5343.2929122062314</v>
      </c>
      <c r="CM122" s="197">
        <f t="shared" si="305"/>
        <v>-1997.1061977920638</v>
      </c>
      <c r="CN122" s="199">
        <f t="shared" si="305"/>
        <v>577.45225279279634</v>
      </c>
      <c r="CP122" s="204">
        <f t="shared" si="327"/>
        <v>10</v>
      </c>
      <c r="CQ122" s="760">
        <f>'Energy NPV'!$D48</f>
        <v>12.54</v>
      </c>
      <c r="CR122" s="197">
        <f>'Energy margins'!$L$12</f>
        <v>43.75</v>
      </c>
      <c r="CS122" s="197">
        <f t="shared" si="328"/>
        <v>548.625</v>
      </c>
      <c r="CT122" s="197">
        <f>'Margins summary'!$S$14</f>
        <v>330</v>
      </c>
      <c r="CU122" s="197">
        <f t="shared" si="306"/>
        <v>878.625</v>
      </c>
      <c r="CV122" s="197"/>
      <c r="CW122" s="918">
        <f>'Energy NPV'!U48</f>
        <v>423.52324399999998</v>
      </c>
      <c r="CX122" s="197"/>
      <c r="CY122" s="197">
        <f t="shared" si="307"/>
        <v>423.52324399999998</v>
      </c>
      <c r="CZ122" s="197">
        <f t="shared" si="273"/>
        <v>125.10175600000002</v>
      </c>
      <c r="DA122" s="197">
        <f t="shared" si="274"/>
        <v>455.10175600000002</v>
      </c>
      <c r="DB122" s="196">
        <f t="shared" si="308"/>
        <v>548.625</v>
      </c>
      <c r="DC122" s="197">
        <f t="shared" si="309"/>
        <v>330</v>
      </c>
      <c r="DD122" s="197">
        <f t="shared" si="310"/>
        <v>423.52324399999998</v>
      </c>
      <c r="DE122" s="197">
        <f t="shared" si="311"/>
        <v>125.10175600000002</v>
      </c>
      <c r="DF122" s="199">
        <f t="shared" si="312"/>
        <v>455.10175600000002</v>
      </c>
      <c r="DG122" s="196">
        <f t="shared" si="329"/>
        <v>4523.96875</v>
      </c>
      <c r="DH122" s="197">
        <f t="shared" si="313"/>
        <v>3300</v>
      </c>
      <c r="DI122" s="197">
        <f t="shared" si="313"/>
        <v>6293.2104399999989</v>
      </c>
      <c r="DJ122" s="197">
        <f t="shared" si="313"/>
        <v>-1769.2416899999994</v>
      </c>
      <c r="DK122" s="199">
        <f t="shared" si="313"/>
        <v>1530.7583100000006</v>
      </c>
    </row>
    <row r="123" spans="2:115" x14ac:dyDescent="0.3">
      <c r="B123" s="204">
        <f t="shared" si="314"/>
        <v>11</v>
      </c>
      <c r="C123" s="760">
        <f>'Energy NPV'!$D49</f>
        <v>12.54</v>
      </c>
      <c r="D123" s="197">
        <f>'Energy margins'!$L$12</f>
        <v>43.75</v>
      </c>
      <c r="E123" s="197">
        <f t="shared" si="315"/>
        <v>548.625</v>
      </c>
      <c r="F123" s="197">
        <f>'Margins summary'!$S$14</f>
        <v>330</v>
      </c>
      <c r="G123" s="197">
        <f t="shared" si="275"/>
        <v>878.625</v>
      </c>
      <c r="H123" s="197"/>
      <c r="I123" s="918">
        <f>'Energy NPV'!U49</f>
        <v>423.52324399999998</v>
      </c>
      <c r="J123" s="197"/>
      <c r="K123" s="197">
        <f t="shared" si="276"/>
        <v>423.52324399999998</v>
      </c>
      <c r="L123" s="197">
        <f t="shared" si="265"/>
        <v>125.10175600000002</v>
      </c>
      <c r="M123" s="197">
        <f t="shared" si="266"/>
        <v>455.10175600000002</v>
      </c>
      <c r="N123" s="196">
        <f t="shared" si="316"/>
        <v>408.22852406021588</v>
      </c>
      <c r="O123" s="197">
        <f t="shared" si="277"/>
        <v>245.55099191591933</v>
      </c>
      <c r="P123" s="197">
        <f t="shared" si="278"/>
        <v>315.14106867772097</v>
      </c>
      <c r="Q123" s="197">
        <f t="shared" si="279"/>
        <v>93.087455382494895</v>
      </c>
      <c r="R123" s="199">
        <f t="shared" si="280"/>
        <v>338.63844729841423</v>
      </c>
      <c r="S123" s="196">
        <f t="shared" si="317"/>
        <v>4280.8205909924609</v>
      </c>
      <c r="T123" s="197">
        <f t="shared" si="281"/>
        <v>3144.9669361360243</v>
      </c>
      <c r="U123" s="197">
        <f t="shared" si="281"/>
        <v>6084.4331632322819</v>
      </c>
      <c r="V123" s="197">
        <f t="shared" si="281"/>
        <v>-1803.612572239821</v>
      </c>
      <c r="W123" s="199">
        <f t="shared" si="281"/>
        <v>1341.3543638962024</v>
      </c>
      <c r="Y123" s="204">
        <f t="shared" si="318"/>
        <v>11</v>
      </c>
      <c r="Z123" s="760">
        <f>'Energy NPV'!$D49</f>
        <v>12.54</v>
      </c>
      <c r="AA123" s="197">
        <f>'Energy margins'!$L$12</f>
        <v>43.75</v>
      </c>
      <c r="AB123" s="197">
        <f t="shared" si="319"/>
        <v>548.625</v>
      </c>
      <c r="AC123" s="197">
        <f>'Margins summary'!$S$14</f>
        <v>330</v>
      </c>
      <c r="AD123" s="197">
        <f t="shared" si="282"/>
        <v>878.625</v>
      </c>
      <c r="AE123" s="197"/>
      <c r="AF123" s="918">
        <f>'Energy NPV'!U49</f>
        <v>423.52324399999998</v>
      </c>
      <c r="AG123" s="197"/>
      <c r="AH123" s="197">
        <f t="shared" si="283"/>
        <v>423.52324399999998</v>
      </c>
      <c r="AI123" s="197">
        <f t="shared" si="267"/>
        <v>125.10175600000002</v>
      </c>
      <c r="AJ123" s="197">
        <f t="shared" si="268"/>
        <v>455.10175600000002</v>
      </c>
      <c r="AK123" s="196">
        <f t="shared" si="284"/>
        <v>353.27482455373251</v>
      </c>
      <c r="AL123" s="197">
        <f t="shared" si="285"/>
        <v>212.49613506991429</v>
      </c>
      <c r="AM123" s="197">
        <f t="shared" si="286"/>
        <v>272.7183407947644</v>
      </c>
      <c r="AN123" s="197">
        <f t="shared" si="287"/>
        <v>80.556483758968071</v>
      </c>
      <c r="AO123" s="199">
        <f t="shared" si="288"/>
        <v>293.05261882888237</v>
      </c>
      <c r="AP123" s="196">
        <f t="shared" si="320"/>
        <v>3948.9981856685372</v>
      </c>
      <c r="AQ123" s="197">
        <f t="shared" si="289"/>
        <v>2941.1969984463558</v>
      </c>
      <c r="AR123" s="197">
        <f t="shared" si="289"/>
        <v>5818.2896053765007</v>
      </c>
      <c r="AS123" s="197">
        <f t="shared" si="289"/>
        <v>-1869.2914197079626</v>
      </c>
      <c r="AT123" s="199">
        <f t="shared" si="289"/>
        <v>1071.9055787383936</v>
      </c>
      <c r="AV123" s="204">
        <f t="shared" si="321"/>
        <v>11</v>
      </c>
      <c r="AW123" s="760">
        <f>'Energy NPV'!$D49</f>
        <v>12.54</v>
      </c>
      <c r="AX123" s="197">
        <f>'Energy margins'!$L$12</f>
        <v>43.75</v>
      </c>
      <c r="AY123" s="197">
        <f t="shared" si="322"/>
        <v>548.625</v>
      </c>
      <c r="AZ123" s="197">
        <f>'Margins summary'!$S$14</f>
        <v>330</v>
      </c>
      <c r="BA123" s="197">
        <f t="shared" si="290"/>
        <v>878.625</v>
      </c>
      <c r="BB123" s="197"/>
      <c r="BC123" s="918">
        <f>'Energy NPV'!U49</f>
        <v>423.52324399999998</v>
      </c>
      <c r="BD123" s="197"/>
      <c r="BE123" s="197">
        <f t="shared" si="291"/>
        <v>423.52324399999998</v>
      </c>
      <c r="BF123" s="197">
        <f t="shared" si="269"/>
        <v>125.10175600000002</v>
      </c>
      <c r="BG123" s="197">
        <f t="shared" si="270"/>
        <v>455.10175600000002</v>
      </c>
      <c r="BH123" s="196">
        <f t="shared" si="292"/>
        <v>472.73218500358354</v>
      </c>
      <c r="BI123" s="197">
        <f t="shared" si="293"/>
        <v>284.35018646832094</v>
      </c>
      <c r="BJ123" s="197">
        <f t="shared" si="294"/>
        <v>364.9361012274793</v>
      </c>
      <c r="BK123" s="197">
        <f t="shared" si="295"/>
        <v>107.79608377610423</v>
      </c>
      <c r="BL123" s="199">
        <f t="shared" si="296"/>
        <v>392.14627024442512</v>
      </c>
      <c r="BM123" s="196">
        <f t="shared" si="323"/>
        <v>4653.283102699821</v>
      </c>
      <c r="BN123" s="197">
        <f t="shared" si="297"/>
        <v>3373.3209021119656</v>
      </c>
      <c r="BO123" s="197">
        <f t="shared" si="297"/>
        <v>6382.3106335068651</v>
      </c>
      <c r="BP123" s="197">
        <f t="shared" si="297"/>
        <v>-1729.0275308070434</v>
      </c>
      <c r="BQ123" s="199">
        <f t="shared" si="297"/>
        <v>1644.2933713049226</v>
      </c>
      <c r="BS123" s="204">
        <f t="shared" si="324"/>
        <v>11</v>
      </c>
      <c r="BT123" s="760">
        <f>'Energy NPV'!$D49</f>
        <v>12.54</v>
      </c>
      <c r="BU123" s="197">
        <f>'Energy margins'!$L$12</f>
        <v>43.75</v>
      </c>
      <c r="BV123" s="197">
        <f t="shared" si="325"/>
        <v>548.625</v>
      </c>
      <c r="BW123" s="197">
        <f>'Margins summary'!$S$14</f>
        <v>330</v>
      </c>
      <c r="BX123" s="197">
        <f t="shared" si="298"/>
        <v>878.625</v>
      </c>
      <c r="BY123" s="197"/>
      <c r="BZ123" s="918">
        <f>'Energy NPV'!U49</f>
        <v>423.52324399999998</v>
      </c>
      <c r="CA123" s="197"/>
      <c r="CB123" s="197">
        <f t="shared" si="299"/>
        <v>423.52324399999998</v>
      </c>
      <c r="CC123" s="197">
        <f t="shared" si="271"/>
        <v>125.10175600000002</v>
      </c>
      <c r="CD123" s="197">
        <f t="shared" si="272"/>
        <v>455.10175600000002</v>
      </c>
      <c r="CE123" s="196">
        <f t="shared" si="300"/>
        <v>306.34933448505654</v>
      </c>
      <c r="CF123" s="197">
        <f t="shared" si="301"/>
        <v>184.27027638198891</v>
      </c>
      <c r="CG123" s="197">
        <f t="shared" si="302"/>
        <v>236.49316735174702</v>
      </c>
      <c r="CH123" s="197">
        <f t="shared" si="303"/>
        <v>69.856167133309526</v>
      </c>
      <c r="CI123" s="199">
        <f t="shared" si="304"/>
        <v>254.12644351529843</v>
      </c>
      <c r="CJ123" s="196">
        <f t="shared" si="326"/>
        <v>3652.5360488992255</v>
      </c>
      <c r="CK123" s="197">
        <f t="shared" si="305"/>
        <v>2758.828726966849</v>
      </c>
      <c r="CL123" s="197">
        <f t="shared" si="305"/>
        <v>5579.7860795579782</v>
      </c>
      <c r="CM123" s="197">
        <f t="shared" si="305"/>
        <v>-1927.2500306587542</v>
      </c>
      <c r="CN123" s="199">
        <f t="shared" si="305"/>
        <v>831.57869630809478</v>
      </c>
      <c r="CP123" s="204">
        <f t="shared" si="327"/>
        <v>11</v>
      </c>
      <c r="CQ123" s="760">
        <f>'Energy NPV'!$D49</f>
        <v>12.54</v>
      </c>
      <c r="CR123" s="197">
        <f>'Energy margins'!$L$12</f>
        <v>43.75</v>
      </c>
      <c r="CS123" s="197">
        <f t="shared" si="328"/>
        <v>548.625</v>
      </c>
      <c r="CT123" s="197">
        <f>'Margins summary'!$S$14</f>
        <v>330</v>
      </c>
      <c r="CU123" s="197">
        <f t="shared" si="306"/>
        <v>878.625</v>
      </c>
      <c r="CV123" s="197"/>
      <c r="CW123" s="918">
        <f>'Energy NPV'!U49</f>
        <v>423.52324399999998</v>
      </c>
      <c r="CX123" s="197"/>
      <c r="CY123" s="197">
        <f t="shared" si="307"/>
        <v>423.52324399999998</v>
      </c>
      <c r="CZ123" s="197">
        <f t="shared" si="273"/>
        <v>125.10175600000002</v>
      </c>
      <c r="DA123" s="197">
        <f t="shared" si="274"/>
        <v>455.10175600000002</v>
      </c>
      <c r="DB123" s="196">
        <f t="shared" si="308"/>
        <v>548.625</v>
      </c>
      <c r="DC123" s="197">
        <f t="shared" si="309"/>
        <v>330</v>
      </c>
      <c r="DD123" s="197">
        <f t="shared" si="310"/>
        <v>423.52324399999998</v>
      </c>
      <c r="DE123" s="197">
        <f t="shared" si="311"/>
        <v>125.10175600000002</v>
      </c>
      <c r="DF123" s="199">
        <f t="shared" si="312"/>
        <v>455.10175600000002</v>
      </c>
      <c r="DG123" s="196">
        <f t="shared" si="329"/>
        <v>5072.59375</v>
      </c>
      <c r="DH123" s="197">
        <f t="shared" si="313"/>
        <v>3630</v>
      </c>
      <c r="DI123" s="197">
        <f t="shared" si="313"/>
        <v>6716.7336839999989</v>
      </c>
      <c r="DJ123" s="197">
        <f t="shared" si="313"/>
        <v>-1644.1399339999994</v>
      </c>
      <c r="DK123" s="199">
        <f t="shared" si="313"/>
        <v>1985.8600660000006</v>
      </c>
    </row>
    <row r="124" spans="2:115" x14ac:dyDescent="0.3">
      <c r="B124" s="204">
        <f t="shared" si="314"/>
        <v>12</v>
      </c>
      <c r="C124" s="760">
        <f>'Energy NPV'!$D50</f>
        <v>12.54</v>
      </c>
      <c r="D124" s="197">
        <f>'Energy margins'!$L$12</f>
        <v>43.75</v>
      </c>
      <c r="E124" s="197">
        <f t="shared" si="315"/>
        <v>548.625</v>
      </c>
      <c r="F124" s="197">
        <f>'Margins summary'!$S$14</f>
        <v>330</v>
      </c>
      <c r="G124" s="197">
        <f t="shared" si="275"/>
        <v>878.625</v>
      </c>
      <c r="H124" s="197"/>
      <c r="I124" s="918">
        <f>'Energy NPV'!U50</f>
        <v>423.52324399999998</v>
      </c>
      <c r="J124" s="197"/>
      <c r="K124" s="197">
        <f t="shared" si="276"/>
        <v>423.52324399999998</v>
      </c>
      <c r="L124" s="197">
        <f t="shared" si="265"/>
        <v>125.10175600000002</v>
      </c>
      <c r="M124" s="197">
        <f t="shared" si="266"/>
        <v>455.10175600000002</v>
      </c>
      <c r="N124" s="196">
        <f t="shared" si="316"/>
        <v>396.33837287399598</v>
      </c>
      <c r="O124" s="197">
        <f t="shared" si="277"/>
        <v>238.39902127759154</v>
      </c>
      <c r="P124" s="197">
        <f t="shared" si="278"/>
        <v>305.9622025997291</v>
      </c>
      <c r="Q124" s="197">
        <f t="shared" si="279"/>
        <v>90.376170274266883</v>
      </c>
      <c r="R124" s="199">
        <f t="shared" si="280"/>
        <v>328.77519155185843</v>
      </c>
      <c r="S124" s="196">
        <f t="shared" si="317"/>
        <v>4677.1589638664573</v>
      </c>
      <c r="T124" s="197">
        <f t="shared" si="281"/>
        <v>3383.3659574136159</v>
      </c>
      <c r="U124" s="197">
        <f t="shared" si="281"/>
        <v>6390.3953658320106</v>
      </c>
      <c r="V124" s="197">
        <f t="shared" si="281"/>
        <v>-1713.2364019655543</v>
      </c>
      <c r="W124" s="199">
        <f t="shared" si="281"/>
        <v>1670.1295554480607</v>
      </c>
      <c r="Y124" s="204">
        <f t="shared" si="318"/>
        <v>12</v>
      </c>
      <c r="Z124" s="760">
        <f>'Energy NPV'!$D50</f>
        <v>12.54</v>
      </c>
      <c r="AA124" s="197">
        <f>'Energy margins'!$L$12</f>
        <v>43.75</v>
      </c>
      <c r="AB124" s="197">
        <f t="shared" si="319"/>
        <v>548.625</v>
      </c>
      <c r="AC124" s="197">
        <f>'Margins summary'!$S$14</f>
        <v>330</v>
      </c>
      <c r="AD124" s="197">
        <f t="shared" si="282"/>
        <v>878.625</v>
      </c>
      <c r="AE124" s="197"/>
      <c r="AF124" s="918">
        <f>'Energy NPV'!U50</f>
        <v>423.52324399999998</v>
      </c>
      <c r="AG124" s="197"/>
      <c r="AH124" s="197">
        <f t="shared" si="283"/>
        <v>423.52324399999998</v>
      </c>
      <c r="AI124" s="197">
        <f t="shared" si="267"/>
        <v>125.10175600000002</v>
      </c>
      <c r="AJ124" s="197">
        <f t="shared" si="268"/>
        <v>455.10175600000002</v>
      </c>
      <c r="AK124" s="196">
        <f t="shared" si="284"/>
        <v>338.06203306577271</v>
      </c>
      <c r="AL124" s="197">
        <f t="shared" si="285"/>
        <v>203.34558379896103</v>
      </c>
      <c r="AM124" s="197">
        <f t="shared" si="286"/>
        <v>260.97448879881762</v>
      </c>
      <c r="AN124" s="197">
        <f t="shared" si="287"/>
        <v>77.087544266955092</v>
      </c>
      <c r="AO124" s="199">
        <f t="shared" si="288"/>
        <v>280.43312806591615</v>
      </c>
      <c r="AP124" s="196">
        <f t="shared" si="320"/>
        <v>4287.0602187343102</v>
      </c>
      <c r="AQ124" s="197">
        <f t="shared" si="289"/>
        <v>3144.5425822453167</v>
      </c>
      <c r="AR124" s="197">
        <f t="shared" si="289"/>
        <v>6079.264094175318</v>
      </c>
      <c r="AS124" s="197">
        <f t="shared" si="289"/>
        <v>-1792.2038754410075</v>
      </c>
      <c r="AT124" s="199">
        <f t="shared" si="289"/>
        <v>1352.3387068043098</v>
      </c>
      <c r="AV124" s="204">
        <f t="shared" si="321"/>
        <v>12</v>
      </c>
      <c r="AW124" s="760">
        <f>'Energy NPV'!$D50</f>
        <v>12.54</v>
      </c>
      <c r="AX124" s="197">
        <f>'Energy margins'!$L$12</f>
        <v>43.75</v>
      </c>
      <c r="AY124" s="197">
        <f t="shared" si="322"/>
        <v>548.625</v>
      </c>
      <c r="AZ124" s="197">
        <f>'Margins summary'!$S$14</f>
        <v>330</v>
      </c>
      <c r="BA124" s="197">
        <f t="shared" si="290"/>
        <v>878.625</v>
      </c>
      <c r="BB124" s="197"/>
      <c r="BC124" s="918">
        <f>'Energy NPV'!U50</f>
        <v>423.52324399999998</v>
      </c>
      <c r="BD124" s="197"/>
      <c r="BE124" s="197">
        <f t="shared" si="291"/>
        <v>423.52324399999998</v>
      </c>
      <c r="BF124" s="197">
        <f t="shared" si="269"/>
        <v>125.10175600000002</v>
      </c>
      <c r="BG124" s="197">
        <f t="shared" si="270"/>
        <v>455.10175600000002</v>
      </c>
      <c r="BH124" s="196">
        <f t="shared" si="292"/>
        <v>465.74599507742226</v>
      </c>
      <c r="BI124" s="197">
        <f t="shared" si="293"/>
        <v>280.14796696386304</v>
      </c>
      <c r="BJ124" s="197">
        <f t="shared" si="294"/>
        <v>359.54295687436388</v>
      </c>
      <c r="BK124" s="197">
        <f t="shared" si="295"/>
        <v>106.20303820305836</v>
      </c>
      <c r="BL124" s="199">
        <f t="shared" si="296"/>
        <v>386.35100516692137</v>
      </c>
      <c r="BM124" s="196">
        <f t="shared" si="323"/>
        <v>5119.0290977772429</v>
      </c>
      <c r="BN124" s="197">
        <f t="shared" si="297"/>
        <v>3653.4688690758285</v>
      </c>
      <c r="BO124" s="197">
        <f t="shared" si="297"/>
        <v>6741.853590381229</v>
      </c>
      <c r="BP124" s="197">
        <f t="shared" si="297"/>
        <v>-1622.8244926039849</v>
      </c>
      <c r="BQ124" s="199">
        <f t="shared" si="297"/>
        <v>2030.644376471844</v>
      </c>
      <c r="BS124" s="204">
        <f t="shared" si="324"/>
        <v>12</v>
      </c>
      <c r="BT124" s="760">
        <f>'Energy NPV'!$D50</f>
        <v>12.54</v>
      </c>
      <c r="BU124" s="197">
        <f>'Energy margins'!$L$12</f>
        <v>43.75</v>
      </c>
      <c r="BV124" s="197">
        <f t="shared" si="325"/>
        <v>548.625</v>
      </c>
      <c r="BW124" s="197">
        <f>'Margins summary'!$S$14</f>
        <v>330</v>
      </c>
      <c r="BX124" s="197">
        <f t="shared" si="298"/>
        <v>878.625</v>
      </c>
      <c r="BY124" s="197"/>
      <c r="BZ124" s="918">
        <f>'Energy NPV'!U50</f>
        <v>423.52324399999998</v>
      </c>
      <c r="CA124" s="197"/>
      <c r="CB124" s="197">
        <f t="shared" si="299"/>
        <v>423.52324399999998</v>
      </c>
      <c r="CC124" s="197">
        <f t="shared" si="271"/>
        <v>125.10175600000002</v>
      </c>
      <c r="CD124" s="197">
        <f t="shared" si="272"/>
        <v>455.10175600000002</v>
      </c>
      <c r="CE124" s="196">
        <f t="shared" si="300"/>
        <v>289.00880611797783</v>
      </c>
      <c r="CF124" s="197">
        <f t="shared" si="301"/>
        <v>173.83988337923478</v>
      </c>
      <c r="CG124" s="197">
        <f t="shared" si="302"/>
        <v>223.1067616525915</v>
      </c>
      <c r="CH124" s="197">
        <f t="shared" si="303"/>
        <v>65.902044465386325</v>
      </c>
      <c r="CI124" s="199">
        <f t="shared" si="304"/>
        <v>239.7419278446211</v>
      </c>
      <c r="CJ124" s="196">
        <f t="shared" si="326"/>
        <v>3941.5448550172032</v>
      </c>
      <c r="CK124" s="197">
        <f t="shared" si="305"/>
        <v>2932.6686103460838</v>
      </c>
      <c r="CL124" s="197">
        <f t="shared" si="305"/>
        <v>5802.8928412105697</v>
      </c>
      <c r="CM124" s="197">
        <f t="shared" si="305"/>
        <v>-1861.3479861933679</v>
      </c>
      <c r="CN124" s="199">
        <f t="shared" si="305"/>
        <v>1071.3206241527159</v>
      </c>
      <c r="CP124" s="204">
        <f t="shared" si="327"/>
        <v>12</v>
      </c>
      <c r="CQ124" s="760">
        <f>'Energy NPV'!$D50</f>
        <v>12.54</v>
      </c>
      <c r="CR124" s="197">
        <f>'Energy margins'!$L$12</f>
        <v>43.75</v>
      </c>
      <c r="CS124" s="197">
        <f t="shared" si="328"/>
        <v>548.625</v>
      </c>
      <c r="CT124" s="197">
        <f>'Margins summary'!$S$14</f>
        <v>330</v>
      </c>
      <c r="CU124" s="197">
        <f t="shared" si="306"/>
        <v>878.625</v>
      </c>
      <c r="CV124" s="197"/>
      <c r="CW124" s="918">
        <f>'Energy NPV'!U50</f>
        <v>423.52324399999998</v>
      </c>
      <c r="CX124" s="197"/>
      <c r="CY124" s="197">
        <f t="shared" si="307"/>
        <v>423.52324399999998</v>
      </c>
      <c r="CZ124" s="197">
        <f t="shared" si="273"/>
        <v>125.10175600000002</v>
      </c>
      <c r="DA124" s="197">
        <f t="shared" si="274"/>
        <v>455.10175600000002</v>
      </c>
      <c r="DB124" s="196">
        <f t="shared" si="308"/>
        <v>548.625</v>
      </c>
      <c r="DC124" s="197">
        <f t="shared" si="309"/>
        <v>330</v>
      </c>
      <c r="DD124" s="197">
        <f t="shared" si="310"/>
        <v>423.52324399999998</v>
      </c>
      <c r="DE124" s="197">
        <f t="shared" si="311"/>
        <v>125.10175600000002</v>
      </c>
      <c r="DF124" s="199">
        <f t="shared" si="312"/>
        <v>455.10175600000002</v>
      </c>
      <c r="DG124" s="196">
        <f t="shared" si="329"/>
        <v>5621.21875</v>
      </c>
      <c r="DH124" s="197">
        <f t="shared" si="313"/>
        <v>3960</v>
      </c>
      <c r="DI124" s="197">
        <f t="shared" si="313"/>
        <v>7140.2569279999989</v>
      </c>
      <c r="DJ124" s="197">
        <f t="shared" si="313"/>
        <v>-1519.0381779999993</v>
      </c>
      <c r="DK124" s="199">
        <f t="shared" si="313"/>
        <v>2440.9618220000007</v>
      </c>
    </row>
    <row r="125" spans="2:115" x14ac:dyDescent="0.3">
      <c r="B125" s="204">
        <f t="shared" si="314"/>
        <v>13</v>
      </c>
      <c r="C125" s="760">
        <f>'Energy NPV'!$D51</f>
        <v>12.54</v>
      </c>
      <c r="D125" s="197">
        <f>'Energy margins'!$L$12</f>
        <v>43.75</v>
      </c>
      <c r="E125" s="197">
        <f t="shared" si="315"/>
        <v>548.625</v>
      </c>
      <c r="F125" s="197">
        <f>'Margins summary'!$S$14</f>
        <v>330</v>
      </c>
      <c r="G125" s="197">
        <f t="shared" si="275"/>
        <v>878.625</v>
      </c>
      <c r="H125" s="197"/>
      <c r="I125" s="918">
        <f>'Energy NPV'!U51</f>
        <v>423.52324399999998</v>
      </c>
      <c r="J125" s="197"/>
      <c r="K125" s="197">
        <f t="shared" si="276"/>
        <v>423.52324399999998</v>
      </c>
      <c r="L125" s="197">
        <f t="shared" si="265"/>
        <v>125.10175600000002</v>
      </c>
      <c r="M125" s="197">
        <f t="shared" si="266"/>
        <v>455.10175600000002</v>
      </c>
      <c r="N125" s="196">
        <f t="shared" si="316"/>
        <v>384.79453677086991</v>
      </c>
      <c r="O125" s="197">
        <f t="shared" si="277"/>
        <v>231.45536046368116</v>
      </c>
      <c r="P125" s="197">
        <f t="shared" si="278"/>
        <v>297.05068213565932</v>
      </c>
      <c r="Q125" s="197">
        <f t="shared" si="279"/>
        <v>87.743854635210582</v>
      </c>
      <c r="R125" s="199">
        <f t="shared" si="280"/>
        <v>319.19921509889173</v>
      </c>
      <c r="S125" s="196">
        <f t="shared" si="317"/>
        <v>5061.9535006373271</v>
      </c>
      <c r="T125" s="197">
        <f t="shared" si="281"/>
        <v>3614.8213178772971</v>
      </c>
      <c r="U125" s="197">
        <f t="shared" si="281"/>
        <v>6687.44604796767</v>
      </c>
      <c r="V125" s="197">
        <f t="shared" si="281"/>
        <v>-1625.4925473303438</v>
      </c>
      <c r="W125" s="199">
        <f t="shared" si="281"/>
        <v>1989.3287705469525</v>
      </c>
      <c r="Y125" s="204">
        <f t="shared" si="318"/>
        <v>13</v>
      </c>
      <c r="Z125" s="760">
        <f>'Energy NPV'!$D51</f>
        <v>12.54</v>
      </c>
      <c r="AA125" s="197">
        <f>'Energy margins'!$L$12</f>
        <v>43.75</v>
      </c>
      <c r="AB125" s="197">
        <f t="shared" si="319"/>
        <v>548.625</v>
      </c>
      <c r="AC125" s="197">
        <f>'Margins summary'!$S$14</f>
        <v>330</v>
      </c>
      <c r="AD125" s="197">
        <f t="shared" si="282"/>
        <v>878.625</v>
      </c>
      <c r="AE125" s="197"/>
      <c r="AF125" s="918">
        <f>'Energy NPV'!U51</f>
        <v>423.52324399999998</v>
      </c>
      <c r="AG125" s="197"/>
      <c r="AH125" s="197">
        <f t="shared" si="283"/>
        <v>423.52324399999998</v>
      </c>
      <c r="AI125" s="197">
        <f t="shared" si="267"/>
        <v>125.10175600000002</v>
      </c>
      <c r="AJ125" s="197">
        <f t="shared" si="268"/>
        <v>455.10175600000002</v>
      </c>
      <c r="AK125" s="196">
        <f t="shared" si="284"/>
        <v>323.50433786198352</v>
      </c>
      <c r="AL125" s="197">
        <f t="shared" si="285"/>
        <v>194.58907540570439</v>
      </c>
      <c r="AM125" s="197">
        <f t="shared" si="286"/>
        <v>249.73635291752888</v>
      </c>
      <c r="AN125" s="197">
        <f t="shared" si="287"/>
        <v>73.767984944454653</v>
      </c>
      <c r="AO125" s="199">
        <f t="shared" si="288"/>
        <v>268.35706035015903</v>
      </c>
      <c r="AP125" s="196">
        <f t="shared" si="320"/>
        <v>4610.5645565962941</v>
      </c>
      <c r="AQ125" s="197">
        <f t="shared" si="289"/>
        <v>3339.1316576510212</v>
      </c>
      <c r="AR125" s="197">
        <f t="shared" si="289"/>
        <v>6329.000447092847</v>
      </c>
      <c r="AS125" s="197">
        <f t="shared" si="289"/>
        <v>-1718.4358904965529</v>
      </c>
      <c r="AT125" s="199">
        <f t="shared" si="289"/>
        <v>1620.6957671544687</v>
      </c>
      <c r="AV125" s="204">
        <f t="shared" si="321"/>
        <v>13</v>
      </c>
      <c r="AW125" s="760">
        <f>'Energy NPV'!$D51</f>
        <v>12.54</v>
      </c>
      <c r="AX125" s="197">
        <f>'Energy margins'!$L$12</f>
        <v>43.75</v>
      </c>
      <c r="AY125" s="197">
        <f t="shared" si="322"/>
        <v>548.625</v>
      </c>
      <c r="AZ125" s="197">
        <f>'Margins summary'!$S$14</f>
        <v>330</v>
      </c>
      <c r="BA125" s="197">
        <f t="shared" si="290"/>
        <v>878.625</v>
      </c>
      <c r="BB125" s="197"/>
      <c r="BC125" s="918">
        <f>'Energy NPV'!U51</f>
        <v>423.52324399999998</v>
      </c>
      <c r="BD125" s="197"/>
      <c r="BE125" s="197">
        <f t="shared" si="291"/>
        <v>423.52324399999998</v>
      </c>
      <c r="BF125" s="197">
        <f t="shared" si="269"/>
        <v>125.10175600000002</v>
      </c>
      <c r="BG125" s="197">
        <f t="shared" si="270"/>
        <v>455.10175600000002</v>
      </c>
      <c r="BH125" s="196">
        <f t="shared" si="292"/>
        <v>458.86304933736193</v>
      </c>
      <c r="BI125" s="197">
        <f t="shared" si="293"/>
        <v>276.00784922548087</v>
      </c>
      <c r="BJ125" s="197">
        <f t="shared" si="294"/>
        <v>354.22951416193496</v>
      </c>
      <c r="BK125" s="197">
        <f t="shared" si="295"/>
        <v>104.63353517542697</v>
      </c>
      <c r="BL125" s="199">
        <f t="shared" si="296"/>
        <v>380.64138440090784</v>
      </c>
      <c r="BM125" s="196">
        <f t="shared" si="323"/>
        <v>5577.892147114605</v>
      </c>
      <c r="BN125" s="197">
        <f t="shared" si="297"/>
        <v>3929.4767183013091</v>
      </c>
      <c r="BO125" s="197">
        <f t="shared" si="297"/>
        <v>7096.0831045431642</v>
      </c>
      <c r="BP125" s="197">
        <f t="shared" si="297"/>
        <v>-1518.190957428558</v>
      </c>
      <c r="BQ125" s="199">
        <f t="shared" si="297"/>
        <v>2411.2857608727518</v>
      </c>
      <c r="BS125" s="204">
        <f t="shared" si="324"/>
        <v>13</v>
      </c>
      <c r="BT125" s="760">
        <f>'Energy NPV'!$D51</f>
        <v>12.54</v>
      </c>
      <c r="BU125" s="197">
        <f>'Energy margins'!$L$12</f>
        <v>43.75</v>
      </c>
      <c r="BV125" s="197">
        <f t="shared" si="325"/>
        <v>548.625</v>
      </c>
      <c r="BW125" s="197">
        <f>'Margins summary'!$S$14</f>
        <v>330</v>
      </c>
      <c r="BX125" s="197">
        <f t="shared" si="298"/>
        <v>878.625</v>
      </c>
      <c r="BY125" s="197"/>
      <c r="BZ125" s="918">
        <f>'Energy NPV'!U51</f>
        <v>423.52324399999998</v>
      </c>
      <c r="CA125" s="197"/>
      <c r="CB125" s="197">
        <f t="shared" si="299"/>
        <v>423.52324399999998</v>
      </c>
      <c r="CC125" s="197">
        <f t="shared" si="271"/>
        <v>125.10175600000002</v>
      </c>
      <c r="CD125" s="197">
        <f t="shared" si="272"/>
        <v>455.10175600000002</v>
      </c>
      <c r="CE125" s="196">
        <f t="shared" si="300"/>
        <v>272.64981709243187</v>
      </c>
      <c r="CF125" s="197">
        <f t="shared" si="301"/>
        <v>163.99988998041016</v>
      </c>
      <c r="CG125" s="197">
        <f t="shared" si="302"/>
        <v>210.47807703074668</v>
      </c>
      <c r="CH125" s="197">
        <f t="shared" si="303"/>
        <v>62.171740061685213</v>
      </c>
      <c r="CI125" s="199">
        <f t="shared" si="304"/>
        <v>226.17163004209539</v>
      </c>
      <c r="CJ125" s="196">
        <f t="shared" si="326"/>
        <v>4214.1946721096347</v>
      </c>
      <c r="CK125" s="197">
        <f t="shared" si="305"/>
        <v>3096.6685003264938</v>
      </c>
      <c r="CL125" s="197">
        <f t="shared" si="305"/>
        <v>6013.3709182413168</v>
      </c>
      <c r="CM125" s="197">
        <f t="shared" si="305"/>
        <v>-1799.1762461316828</v>
      </c>
      <c r="CN125" s="199">
        <f t="shared" si="305"/>
        <v>1297.4922541948113</v>
      </c>
      <c r="CP125" s="204">
        <f t="shared" si="327"/>
        <v>13</v>
      </c>
      <c r="CQ125" s="760">
        <f>'Energy NPV'!$D51</f>
        <v>12.54</v>
      </c>
      <c r="CR125" s="197">
        <f>'Energy margins'!$L$12</f>
        <v>43.75</v>
      </c>
      <c r="CS125" s="197">
        <f t="shared" si="328"/>
        <v>548.625</v>
      </c>
      <c r="CT125" s="197">
        <f>'Margins summary'!$S$14</f>
        <v>330</v>
      </c>
      <c r="CU125" s="197">
        <f t="shared" si="306"/>
        <v>878.625</v>
      </c>
      <c r="CV125" s="197"/>
      <c r="CW125" s="918">
        <f>'Energy NPV'!U51</f>
        <v>423.52324399999998</v>
      </c>
      <c r="CX125" s="197"/>
      <c r="CY125" s="197">
        <f t="shared" si="307"/>
        <v>423.52324399999998</v>
      </c>
      <c r="CZ125" s="197">
        <f t="shared" si="273"/>
        <v>125.10175600000002</v>
      </c>
      <c r="DA125" s="197">
        <f t="shared" si="274"/>
        <v>455.10175600000002</v>
      </c>
      <c r="DB125" s="196">
        <f t="shared" si="308"/>
        <v>548.625</v>
      </c>
      <c r="DC125" s="197">
        <f t="shared" si="309"/>
        <v>330</v>
      </c>
      <c r="DD125" s="197">
        <f t="shared" si="310"/>
        <v>423.52324399999998</v>
      </c>
      <c r="DE125" s="197">
        <f t="shared" si="311"/>
        <v>125.10175600000002</v>
      </c>
      <c r="DF125" s="199">
        <f t="shared" si="312"/>
        <v>455.10175600000002</v>
      </c>
      <c r="DG125" s="196">
        <f t="shared" si="329"/>
        <v>6169.84375</v>
      </c>
      <c r="DH125" s="197">
        <f t="shared" si="313"/>
        <v>4290</v>
      </c>
      <c r="DI125" s="197">
        <f t="shared" si="313"/>
        <v>7563.7801719999989</v>
      </c>
      <c r="DJ125" s="197">
        <f t="shared" si="313"/>
        <v>-1393.9364219999993</v>
      </c>
      <c r="DK125" s="199">
        <f t="shared" si="313"/>
        <v>2896.0635780000007</v>
      </c>
    </row>
    <row r="126" spans="2:115" x14ac:dyDescent="0.3">
      <c r="B126" s="204">
        <f t="shared" si="314"/>
        <v>14</v>
      </c>
      <c r="C126" s="760">
        <f>'Energy NPV'!$D52</f>
        <v>12.54</v>
      </c>
      <c r="D126" s="197">
        <f>'Energy margins'!$L$12</f>
        <v>43.75</v>
      </c>
      <c r="E126" s="197">
        <f t="shared" si="315"/>
        <v>548.625</v>
      </c>
      <c r="F126" s="197">
        <f>'Margins summary'!$S$14</f>
        <v>330</v>
      </c>
      <c r="G126" s="197">
        <f t="shared" si="275"/>
        <v>878.625</v>
      </c>
      <c r="H126" s="197"/>
      <c r="I126" s="918">
        <f>'Energy NPV'!U52</f>
        <v>423.52324399999998</v>
      </c>
      <c r="J126" s="197"/>
      <c r="K126" s="197">
        <f t="shared" si="276"/>
        <v>423.52324399999998</v>
      </c>
      <c r="L126" s="197">
        <f t="shared" si="265"/>
        <v>125.10175600000002</v>
      </c>
      <c r="M126" s="197">
        <f t="shared" si="266"/>
        <v>455.10175600000002</v>
      </c>
      <c r="N126" s="196">
        <f t="shared" si="316"/>
        <v>373.58692890375721</v>
      </c>
      <c r="O126" s="197">
        <f t="shared" si="277"/>
        <v>224.71394219774871</v>
      </c>
      <c r="P126" s="197">
        <f t="shared" si="278"/>
        <v>288.39872052005762</v>
      </c>
      <c r="Q126" s="197">
        <f t="shared" si="279"/>
        <v>85.188208383699603</v>
      </c>
      <c r="R126" s="199">
        <f t="shared" si="280"/>
        <v>309.90215058144832</v>
      </c>
      <c r="S126" s="196">
        <f t="shared" si="317"/>
        <v>5435.5404295410844</v>
      </c>
      <c r="T126" s="197">
        <f t="shared" si="281"/>
        <v>3839.5352600750457</v>
      </c>
      <c r="U126" s="197">
        <f t="shared" si="281"/>
        <v>6975.8447684877274</v>
      </c>
      <c r="V126" s="197">
        <f t="shared" si="281"/>
        <v>-1540.3043389466441</v>
      </c>
      <c r="W126" s="199">
        <f t="shared" si="281"/>
        <v>2299.230921128401</v>
      </c>
      <c r="Y126" s="204">
        <f t="shared" si="318"/>
        <v>14</v>
      </c>
      <c r="Z126" s="760">
        <f>'Energy NPV'!$D52</f>
        <v>12.54</v>
      </c>
      <c r="AA126" s="197">
        <f>'Energy margins'!$L$12</f>
        <v>43.75</v>
      </c>
      <c r="AB126" s="197">
        <f t="shared" si="319"/>
        <v>548.625</v>
      </c>
      <c r="AC126" s="197">
        <f>'Margins summary'!$S$14</f>
        <v>330</v>
      </c>
      <c r="AD126" s="197">
        <f t="shared" si="282"/>
        <v>878.625</v>
      </c>
      <c r="AE126" s="197"/>
      <c r="AF126" s="918">
        <f>'Energy NPV'!U52</f>
        <v>423.52324399999998</v>
      </c>
      <c r="AG126" s="197"/>
      <c r="AH126" s="197">
        <f t="shared" si="283"/>
        <v>423.52324399999998</v>
      </c>
      <c r="AI126" s="197">
        <f t="shared" si="267"/>
        <v>125.10175600000002</v>
      </c>
      <c r="AJ126" s="197">
        <f t="shared" si="268"/>
        <v>455.10175600000002</v>
      </c>
      <c r="AK126" s="196">
        <f t="shared" si="284"/>
        <v>309.57352905452967</v>
      </c>
      <c r="AL126" s="197">
        <f t="shared" si="285"/>
        <v>186.20964153655922</v>
      </c>
      <c r="AM126" s="197">
        <f t="shared" si="286"/>
        <v>238.9821559019415</v>
      </c>
      <c r="AN126" s="197">
        <f t="shared" si="287"/>
        <v>70.591373152588176</v>
      </c>
      <c r="AO126" s="199">
        <f t="shared" si="288"/>
        <v>256.80101468914739</v>
      </c>
      <c r="AP126" s="196">
        <f t="shared" si="320"/>
        <v>4920.138085650824</v>
      </c>
      <c r="AQ126" s="197">
        <f t="shared" si="289"/>
        <v>3525.3412991875803</v>
      </c>
      <c r="AR126" s="197">
        <f t="shared" si="289"/>
        <v>6567.982602994789</v>
      </c>
      <c r="AS126" s="197">
        <f t="shared" si="289"/>
        <v>-1647.8445173439648</v>
      </c>
      <c r="AT126" s="199">
        <f t="shared" si="289"/>
        <v>1877.4967818436162</v>
      </c>
      <c r="AV126" s="204">
        <f t="shared" si="321"/>
        <v>14</v>
      </c>
      <c r="AW126" s="760">
        <f>'Energy NPV'!$D52</f>
        <v>12.54</v>
      </c>
      <c r="AX126" s="197">
        <f>'Energy margins'!$L$12</f>
        <v>43.75</v>
      </c>
      <c r="AY126" s="197">
        <f t="shared" si="322"/>
        <v>548.625</v>
      </c>
      <c r="AZ126" s="197">
        <f>'Margins summary'!$S$14</f>
        <v>330</v>
      </c>
      <c r="BA126" s="197">
        <f t="shared" si="290"/>
        <v>878.625</v>
      </c>
      <c r="BB126" s="197"/>
      <c r="BC126" s="918">
        <f>'Energy NPV'!U52</f>
        <v>423.52324399999998</v>
      </c>
      <c r="BD126" s="197"/>
      <c r="BE126" s="197">
        <f t="shared" si="291"/>
        <v>423.52324399999998</v>
      </c>
      <c r="BF126" s="197">
        <f t="shared" si="269"/>
        <v>125.10175600000002</v>
      </c>
      <c r="BG126" s="197">
        <f t="shared" si="270"/>
        <v>455.10175600000002</v>
      </c>
      <c r="BH126" s="196">
        <f t="shared" si="292"/>
        <v>452.08182200725315</v>
      </c>
      <c r="BI126" s="197">
        <f t="shared" si="293"/>
        <v>271.92891549308462</v>
      </c>
      <c r="BJ126" s="197">
        <f t="shared" si="294"/>
        <v>348.99459523343347</v>
      </c>
      <c r="BK126" s="197">
        <f t="shared" si="295"/>
        <v>103.08722677381969</v>
      </c>
      <c r="BL126" s="199">
        <f t="shared" si="296"/>
        <v>375.0161422669043</v>
      </c>
      <c r="BM126" s="196">
        <f t="shared" si="323"/>
        <v>6029.9739691218583</v>
      </c>
      <c r="BN126" s="197">
        <f t="shared" si="297"/>
        <v>4201.4056337943939</v>
      </c>
      <c r="BO126" s="197">
        <f t="shared" si="297"/>
        <v>7445.0776997765979</v>
      </c>
      <c r="BP126" s="197">
        <f t="shared" si="297"/>
        <v>-1415.1037306547382</v>
      </c>
      <c r="BQ126" s="199">
        <f t="shared" si="297"/>
        <v>2786.3019031396561</v>
      </c>
      <c r="BS126" s="204">
        <f t="shared" si="324"/>
        <v>14</v>
      </c>
      <c r="BT126" s="760">
        <f>'Energy NPV'!$D52</f>
        <v>12.54</v>
      </c>
      <c r="BU126" s="197">
        <f>'Energy margins'!$L$12</f>
        <v>43.75</v>
      </c>
      <c r="BV126" s="197">
        <f t="shared" si="325"/>
        <v>548.625</v>
      </c>
      <c r="BW126" s="197">
        <f>'Margins summary'!$S$14</f>
        <v>330</v>
      </c>
      <c r="BX126" s="197">
        <f t="shared" si="298"/>
        <v>878.625</v>
      </c>
      <c r="BY126" s="197"/>
      <c r="BZ126" s="918">
        <f>'Energy NPV'!U52</f>
        <v>423.52324399999998</v>
      </c>
      <c r="CA126" s="197"/>
      <c r="CB126" s="197">
        <f t="shared" si="299"/>
        <v>423.52324399999998</v>
      </c>
      <c r="CC126" s="197">
        <f t="shared" si="271"/>
        <v>125.10175600000002</v>
      </c>
      <c r="CD126" s="197">
        <f t="shared" si="272"/>
        <v>455.10175600000002</v>
      </c>
      <c r="CE126" s="196">
        <f t="shared" si="300"/>
        <v>257.2168085777659</v>
      </c>
      <c r="CF126" s="197">
        <f t="shared" si="301"/>
        <v>154.71687734000957</v>
      </c>
      <c r="CG126" s="197">
        <f t="shared" si="302"/>
        <v>198.56422361391193</v>
      </c>
      <c r="CH126" s="197">
        <f t="shared" si="303"/>
        <v>58.652584963853968</v>
      </c>
      <c r="CI126" s="199">
        <f t="shared" si="304"/>
        <v>213.36946230386354</v>
      </c>
      <c r="CJ126" s="196">
        <f t="shared" si="326"/>
        <v>4471.4114806874004</v>
      </c>
      <c r="CK126" s="197">
        <f t="shared" si="305"/>
        <v>3251.3853776665032</v>
      </c>
      <c r="CL126" s="197">
        <f t="shared" si="305"/>
        <v>6211.9351418552287</v>
      </c>
      <c r="CM126" s="197">
        <f t="shared" si="305"/>
        <v>-1740.5236611678288</v>
      </c>
      <c r="CN126" s="199">
        <f t="shared" si="305"/>
        <v>1510.8617164986749</v>
      </c>
      <c r="CP126" s="204">
        <f t="shared" si="327"/>
        <v>14</v>
      </c>
      <c r="CQ126" s="760">
        <f>'Energy NPV'!$D52</f>
        <v>12.54</v>
      </c>
      <c r="CR126" s="197">
        <f>'Energy margins'!$L$12</f>
        <v>43.75</v>
      </c>
      <c r="CS126" s="197">
        <f t="shared" si="328"/>
        <v>548.625</v>
      </c>
      <c r="CT126" s="197">
        <f>'Margins summary'!$S$14</f>
        <v>330</v>
      </c>
      <c r="CU126" s="197">
        <f t="shared" si="306"/>
        <v>878.625</v>
      </c>
      <c r="CV126" s="197"/>
      <c r="CW126" s="918">
        <f>'Energy NPV'!U52</f>
        <v>423.52324399999998</v>
      </c>
      <c r="CX126" s="197"/>
      <c r="CY126" s="197">
        <f t="shared" si="307"/>
        <v>423.52324399999998</v>
      </c>
      <c r="CZ126" s="197">
        <f t="shared" si="273"/>
        <v>125.10175600000002</v>
      </c>
      <c r="DA126" s="197">
        <f t="shared" si="274"/>
        <v>455.10175600000002</v>
      </c>
      <c r="DB126" s="196">
        <f t="shared" si="308"/>
        <v>548.625</v>
      </c>
      <c r="DC126" s="197">
        <f t="shared" si="309"/>
        <v>330</v>
      </c>
      <c r="DD126" s="197">
        <f t="shared" si="310"/>
        <v>423.52324399999998</v>
      </c>
      <c r="DE126" s="197">
        <f t="shared" si="311"/>
        <v>125.10175600000002</v>
      </c>
      <c r="DF126" s="199">
        <f t="shared" si="312"/>
        <v>455.10175600000002</v>
      </c>
      <c r="DG126" s="196">
        <f t="shared" si="329"/>
        <v>6718.46875</v>
      </c>
      <c r="DH126" s="197">
        <f t="shared" si="313"/>
        <v>4620</v>
      </c>
      <c r="DI126" s="197">
        <f t="shared" si="313"/>
        <v>7987.3034159999988</v>
      </c>
      <c r="DJ126" s="197">
        <f t="shared" si="313"/>
        <v>-1268.8346659999993</v>
      </c>
      <c r="DK126" s="199">
        <f t="shared" si="313"/>
        <v>3351.1653340000007</v>
      </c>
    </row>
    <row r="127" spans="2:115" x14ac:dyDescent="0.3">
      <c r="B127" s="204">
        <f t="shared" si="314"/>
        <v>15</v>
      </c>
      <c r="C127" s="760">
        <f>'Energy NPV'!$D53</f>
        <v>12.54</v>
      </c>
      <c r="D127" s="197">
        <f>'Energy margins'!$L$12</f>
        <v>43.75</v>
      </c>
      <c r="E127" s="197">
        <f t="shared" si="315"/>
        <v>548.625</v>
      </c>
      <c r="F127" s="197">
        <f>'Margins summary'!$S$14</f>
        <v>330</v>
      </c>
      <c r="G127" s="197">
        <f t="shared" si="275"/>
        <v>878.625</v>
      </c>
      <c r="H127" s="197"/>
      <c r="I127" s="918">
        <f>'Energy NPV'!U53</f>
        <v>423.52324399999998</v>
      </c>
      <c r="J127" s="197"/>
      <c r="K127" s="197">
        <f t="shared" si="276"/>
        <v>423.52324399999998</v>
      </c>
      <c r="L127" s="197">
        <f t="shared" si="265"/>
        <v>125.10175600000002</v>
      </c>
      <c r="M127" s="197">
        <f t="shared" si="266"/>
        <v>455.10175600000002</v>
      </c>
      <c r="N127" s="196">
        <f t="shared" si="316"/>
        <v>362.70575621723998</v>
      </c>
      <c r="O127" s="197">
        <f t="shared" si="277"/>
        <v>218.16887592014436</v>
      </c>
      <c r="P127" s="197">
        <f t="shared" si="278"/>
        <v>279.99875778646367</v>
      </c>
      <c r="Q127" s="197">
        <f t="shared" si="279"/>
        <v>82.706998430776295</v>
      </c>
      <c r="R127" s="199">
        <f t="shared" si="280"/>
        <v>300.87587435092064</v>
      </c>
      <c r="S127" s="196">
        <f t="shared" si="317"/>
        <v>5798.2461857583248</v>
      </c>
      <c r="T127" s="197">
        <f t="shared" si="281"/>
        <v>4057.70413599519</v>
      </c>
      <c r="U127" s="197">
        <f t="shared" si="281"/>
        <v>7255.8435262741914</v>
      </c>
      <c r="V127" s="197">
        <f t="shared" si="281"/>
        <v>-1457.5973405158677</v>
      </c>
      <c r="W127" s="199">
        <f t="shared" si="281"/>
        <v>2600.1067954793216</v>
      </c>
      <c r="Y127" s="204">
        <f t="shared" si="318"/>
        <v>15</v>
      </c>
      <c r="Z127" s="760">
        <f>'Energy NPV'!$D53</f>
        <v>12.54</v>
      </c>
      <c r="AA127" s="197">
        <f>'Energy margins'!$L$12</f>
        <v>43.75</v>
      </c>
      <c r="AB127" s="197">
        <f t="shared" si="319"/>
        <v>548.625</v>
      </c>
      <c r="AC127" s="197">
        <f>'Margins summary'!$S$14</f>
        <v>330</v>
      </c>
      <c r="AD127" s="197">
        <f t="shared" si="282"/>
        <v>878.625</v>
      </c>
      <c r="AE127" s="197"/>
      <c r="AF127" s="918">
        <f>'Energy NPV'!U53</f>
        <v>423.52324399999998</v>
      </c>
      <c r="AG127" s="197"/>
      <c r="AH127" s="197">
        <f t="shared" si="283"/>
        <v>423.52324399999998</v>
      </c>
      <c r="AI127" s="197">
        <f t="shared" si="267"/>
        <v>125.10175600000002</v>
      </c>
      <c r="AJ127" s="197">
        <f t="shared" si="268"/>
        <v>455.10175600000002</v>
      </c>
      <c r="AK127" s="196">
        <f t="shared" si="284"/>
        <v>296.24261153543517</v>
      </c>
      <c r="AL127" s="197">
        <f t="shared" si="285"/>
        <v>178.1910445325926</v>
      </c>
      <c r="AM127" s="197">
        <f t="shared" si="286"/>
        <v>228.69105827936991</v>
      </c>
      <c r="AN127" s="197">
        <f t="shared" si="287"/>
        <v>67.551553256065262</v>
      </c>
      <c r="AO127" s="199">
        <f t="shared" si="288"/>
        <v>245.74259778865786</v>
      </c>
      <c r="AP127" s="196">
        <f t="shared" si="320"/>
        <v>5216.3806971862596</v>
      </c>
      <c r="AQ127" s="197">
        <f t="shared" si="289"/>
        <v>3703.5323437201728</v>
      </c>
      <c r="AR127" s="197">
        <f t="shared" si="289"/>
        <v>6796.6736612741588</v>
      </c>
      <c r="AS127" s="197">
        <f t="shared" si="289"/>
        <v>-1580.2929640878995</v>
      </c>
      <c r="AT127" s="199">
        <f t="shared" si="289"/>
        <v>2123.239379632274</v>
      </c>
      <c r="AV127" s="204">
        <f t="shared" si="321"/>
        <v>15</v>
      </c>
      <c r="AW127" s="760">
        <f>'Energy NPV'!$D53</f>
        <v>12.54</v>
      </c>
      <c r="AX127" s="197">
        <f>'Energy margins'!$L$12</f>
        <v>43.75</v>
      </c>
      <c r="AY127" s="197">
        <f t="shared" si="322"/>
        <v>548.625</v>
      </c>
      <c r="AZ127" s="197">
        <f>'Margins summary'!$S$14</f>
        <v>330</v>
      </c>
      <c r="BA127" s="197">
        <f t="shared" si="290"/>
        <v>878.625</v>
      </c>
      <c r="BB127" s="197"/>
      <c r="BC127" s="918">
        <f>'Energy NPV'!U53</f>
        <v>423.52324399999998</v>
      </c>
      <c r="BD127" s="197"/>
      <c r="BE127" s="197">
        <f t="shared" si="291"/>
        <v>423.52324399999998</v>
      </c>
      <c r="BF127" s="197">
        <f t="shared" si="269"/>
        <v>125.10175600000002</v>
      </c>
      <c r="BG127" s="197">
        <f t="shared" si="270"/>
        <v>455.10175600000002</v>
      </c>
      <c r="BH127" s="196">
        <f t="shared" si="292"/>
        <v>445.40080985936282</v>
      </c>
      <c r="BI127" s="197">
        <f t="shared" si="293"/>
        <v>267.91026156954155</v>
      </c>
      <c r="BJ127" s="197">
        <f t="shared" si="294"/>
        <v>343.8370396388508</v>
      </c>
      <c r="BK127" s="197">
        <f t="shared" si="295"/>
        <v>101.56377022051204</v>
      </c>
      <c r="BL127" s="199">
        <f t="shared" si="296"/>
        <v>369.47403179005357</v>
      </c>
      <c r="BM127" s="196">
        <f t="shared" si="323"/>
        <v>6475.3747789812214</v>
      </c>
      <c r="BN127" s="197">
        <f t="shared" si="297"/>
        <v>4469.3158953639359</v>
      </c>
      <c r="BO127" s="197">
        <f t="shared" si="297"/>
        <v>7788.9147394154488</v>
      </c>
      <c r="BP127" s="197">
        <f t="shared" si="297"/>
        <v>-1313.5399604342263</v>
      </c>
      <c r="BQ127" s="199">
        <f t="shared" si="297"/>
        <v>3155.7759349297098</v>
      </c>
      <c r="BS127" s="204">
        <f t="shared" si="324"/>
        <v>15</v>
      </c>
      <c r="BT127" s="760">
        <f>'Energy NPV'!$D53</f>
        <v>12.54</v>
      </c>
      <c r="BU127" s="197">
        <f>'Energy margins'!$L$12</f>
        <v>43.75</v>
      </c>
      <c r="BV127" s="197">
        <f t="shared" si="325"/>
        <v>548.625</v>
      </c>
      <c r="BW127" s="197">
        <f>'Margins summary'!$S$14</f>
        <v>330</v>
      </c>
      <c r="BX127" s="197">
        <f t="shared" si="298"/>
        <v>878.625</v>
      </c>
      <c r="BY127" s="197"/>
      <c r="BZ127" s="918">
        <f>'Energy NPV'!U53</f>
        <v>423.52324399999998</v>
      </c>
      <c r="CA127" s="197"/>
      <c r="CB127" s="197">
        <f t="shared" si="299"/>
        <v>423.52324399999998</v>
      </c>
      <c r="CC127" s="197">
        <f t="shared" si="271"/>
        <v>125.10175600000002</v>
      </c>
      <c r="CD127" s="197">
        <f t="shared" si="272"/>
        <v>455.10175600000002</v>
      </c>
      <c r="CE127" s="196">
        <f t="shared" si="300"/>
        <v>242.65736658279803</v>
      </c>
      <c r="CF127" s="197">
        <f t="shared" si="301"/>
        <v>145.95931824529205</v>
      </c>
      <c r="CG127" s="197">
        <f t="shared" si="302"/>
        <v>187.3247392584075</v>
      </c>
      <c r="CH127" s="197">
        <f t="shared" si="303"/>
        <v>55.332627324390543</v>
      </c>
      <c r="CI127" s="199">
        <f t="shared" si="304"/>
        <v>201.29194556968261</v>
      </c>
      <c r="CJ127" s="196">
        <f t="shared" si="326"/>
        <v>4714.0688472701986</v>
      </c>
      <c r="CK127" s="197">
        <f t="shared" si="305"/>
        <v>3397.3446959117955</v>
      </c>
      <c r="CL127" s="197">
        <f t="shared" si="305"/>
        <v>6399.2598811136359</v>
      </c>
      <c r="CM127" s="197">
        <f t="shared" si="305"/>
        <v>-1685.1910338434382</v>
      </c>
      <c r="CN127" s="199">
        <f t="shared" si="305"/>
        <v>1712.1536620683576</v>
      </c>
      <c r="CP127" s="204">
        <f t="shared" si="327"/>
        <v>15</v>
      </c>
      <c r="CQ127" s="760">
        <f>'Energy NPV'!$D53</f>
        <v>12.54</v>
      </c>
      <c r="CR127" s="197">
        <f>'Energy margins'!$L$12</f>
        <v>43.75</v>
      </c>
      <c r="CS127" s="197">
        <f t="shared" si="328"/>
        <v>548.625</v>
      </c>
      <c r="CT127" s="197">
        <f>'Margins summary'!$S$14</f>
        <v>330</v>
      </c>
      <c r="CU127" s="197">
        <f t="shared" si="306"/>
        <v>878.625</v>
      </c>
      <c r="CV127" s="197"/>
      <c r="CW127" s="918">
        <f>'Energy NPV'!U53</f>
        <v>423.52324399999998</v>
      </c>
      <c r="CX127" s="197"/>
      <c r="CY127" s="197">
        <f t="shared" si="307"/>
        <v>423.52324399999998</v>
      </c>
      <c r="CZ127" s="197">
        <f t="shared" si="273"/>
        <v>125.10175600000002</v>
      </c>
      <c r="DA127" s="197">
        <f t="shared" si="274"/>
        <v>455.10175600000002</v>
      </c>
      <c r="DB127" s="196">
        <f t="shared" si="308"/>
        <v>548.625</v>
      </c>
      <c r="DC127" s="197">
        <f t="shared" si="309"/>
        <v>330</v>
      </c>
      <c r="DD127" s="197">
        <f t="shared" si="310"/>
        <v>423.52324399999998</v>
      </c>
      <c r="DE127" s="197">
        <f t="shared" si="311"/>
        <v>125.10175600000002</v>
      </c>
      <c r="DF127" s="199">
        <f t="shared" si="312"/>
        <v>455.10175600000002</v>
      </c>
      <c r="DG127" s="196">
        <f t="shared" si="329"/>
        <v>7267.09375</v>
      </c>
      <c r="DH127" s="197">
        <f t="shared" si="313"/>
        <v>4950</v>
      </c>
      <c r="DI127" s="197">
        <f t="shared" si="313"/>
        <v>8410.8266599999988</v>
      </c>
      <c r="DJ127" s="197">
        <f t="shared" si="313"/>
        <v>-1143.7329099999993</v>
      </c>
      <c r="DK127" s="199">
        <f t="shared" si="313"/>
        <v>3806.2670900000007</v>
      </c>
    </row>
    <row r="128" spans="2:115" x14ac:dyDescent="0.3">
      <c r="B128" s="206">
        <f t="shared" si="314"/>
        <v>16</v>
      </c>
      <c r="C128" s="761">
        <f>'Energy NPV'!$D54</f>
        <v>12.54</v>
      </c>
      <c r="D128" s="207">
        <f>'Energy margins'!$L$12</f>
        <v>43.75</v>
      </c>
      <c r="E128" s="207">
        <f t="shared" si="315"/>
        <v>548.625</v>
      </c>
      <c r="F128" s="207">
        <f>'Margins summary'!$S$14</f>
        <v>330</v>
      </c>
      <c r="G128" s="207">
        <f t="shared" si="275"/>
        <v>878.625</v>
      </c>
      <c r="H128" s="207"/>
      <c r="I128" s="918">
        <f>'Energy NPV'!U54</f>
        <v>423.52324399999998</v>
      </c>
      <c r="J128" s="207">
        <f>'Energy margins'!$Q$67</f>
        <v>192.1</v>
      </c>
      <c r="K128" s="207">
        <f t="shared" si="276"/>
        <v>615.623244</v>
      </c>
      <c r="L128" s="207">
        <f t="shared" si="265"/>
        <v>-66.998244</v>
      </c>
      <c r="M128" s="207">
        <f t="shared" si="266"/>
        <v>263.001756</v>
      </c>
      <c r="N128" s="208">
        <f t="shared" si="316"/>
        <v>352.14151089052422</v>
      </c>
      <c r="O128" s="207">
        <f t="shared" si="277"/>
        <v>211.81444264091684</v>
      </c>
      <c r="P128" s="207">
        <f t="shared" si="278"/>
        <v>395.14513425652467</v>
      </c>
      <c r="Q128" s="207">
        <f t="shared" si="279"/>
        <v>-43.003623366000454</v>
      </c>
      <c r="R128" s="209">
        <f t="shared" si="280"/>
        <v>168.81081927491638</v>
      </c>
      <c r="S128" s="208">
        <f t="shared" si="317"/>
        <v>6150.3876966488488</v>
      </c>
      <c r="T128" s="207">
        <f t="shared" si="281"/>
        <v>4269.5185786361071</v>
      </c>
      <c r="U128" s="207">
        <f t="shared" si="281"/>
        <v>7650.9886605307165</v>
      </c>
      <c r="V128" s="207">
        <f t="shared" si="281"/>
        <v>-1500.6009638818682</v>
      </c>
      <c r="W128" s="209">
        <f t="shared" si="281"/>
        <v>2768.917614754238</v>
      </c>
      <c r="Y128" s="206">
        <f t="shared" si="318"/>
        <v>16</v>
      </c>
      <c r="Z128" s="761">
        <f>'Energy NPV'!$D54</f>
        <v>12.54</v>
      </c>
      <c r="AA128" s="207">
        <f>'Energy margins'!$L$12</f>
        <v>43.75</v>
      </c>
      <c r="AB128" s="207">
        <f t="shared" si="319"/>
        <v>548.625</v>
      </c>
      <c r="AC128" s="207">
        <f>'Margins summary'!$S$14</f>
        <v>330</v>
      </c>
      <c r="AD128" s="207">
        <f t="shared" si="282"/>
        <v>878.625</v>
      </c>
      <c r="AE128" s="207"/>
      <c r="AF128" s="918">
        <f>'Energy NPV'!U54</f>
        <v>423.52324399999998</v>
      </c>
      <c r="AG128" s="207">
        <f>'Energy margins'!$Q$67</f>
        <v>192.1</v>
      </c>
      <c r="AH128" s="207">
        <f t="shared" si="283"/>
        <v>615.623244</v>
      </c>
      <c r="AI128" s="207">
        <f t="shared" si="267"/>
        <v>-66.998244</v>
      </c>
      <c r="AJ128" s="207">
        <f t="shared" si="268"/>
        <v>263.001756</v>
      </c>
      <c r="AK128" s="208">
        <f t="shared" si="284"/>
        <v>283.48575266548818</v>
      </c>
      <c r="AL128" s="207">
        <f t="shared" si="285"/>
        <v>170.51774596420341</v>
      </c>
      <c r="AM128" s="207">
        <f t="shared" si="286"/>
        <v>318.10511493954795</v>
      </c>
      <c r="AN128" s="207">
        <f t="shared" si="287"/>
        <v>-34.619362274059746</v>
      </c>
      <c r="AO128" s="209">
        <f t="shared" si="288"/>
        <v>135.89838369014367</v>
      </c>
      <c r="AP128" s="208">
        <f>AP127+AK128</f>
        <v>5499.8664498517473</v>
      </c>
      <c r="AQ128" s="207">
        <f t="shared" si="289"/>
        <v>3874.050089684376</v>
      </c>
      <c r="AR128" s="207">
        <f t="shared" si="289"/>
        <v>7114.7787762137068</v>
      </c>
      <c r="AS128" s="207">
        <f t="shared" si="289"/>
        <v>-1614.9123263619592</v>
      </c>
      <c r="AT128" s="209">
        <f t="shared" si="289"/>
        <v>2259.1377633224179</v>
      </c>
      <c r="AV128" s="206">
        <f t="shared" si="321"/>
        <v>16</v>
      </c>
      <c r="AW128" s="761">
        <f>'Energy NPV'!$D54</f>
        <v>12.54</v>
      </c>
      <c r="AX128" s="207">
        <f>'Energy margins'!$L$12</f>
        <v>43.75</v>
      </c>
      <c r="AY128" s="207">
        <f t="shared" si="322"/>
        <v>548.625</v>
      </c>
      <c r="AZ128" s="207">
        <f>'Margins summary'!$S$14</f>
        <v>330</v>
      </c>
      <c r="BA128" s="207">
        <f t="shared" si="290"/>
        <v>878.625</v>
      </c>
      <c r="BB128" s="207"/>
      <c r="BC128" s="918">
        <f>'Energy NPV'!U54</f>
        <v>423.52324399999998</v>
      </c>
      <c r="BD128" s="207">
        <f>'Energy margins'!$Q$67</f>
        <v>192.1</v>
      </c>
      <c r="BE128" s="207">
        <f t="shared" si="291"/>
        <v>615.623244</v>
      </c>
      <c r="BF128" s="207">
        <f t="shared" si="269"/>
        <v>-66.998244</v>
      </c>
      <c r="BG128" s="207">
        <f t="shared" si="270"/>
        <v>263.001756</v>
      </c>
      <c r="BH128" s="208">
        <f t="shared" si="292"/>
        <v>438.8185318811457</v>
      </c>
      <c r="BI128" s="207">
        <f t="shared" si="293"/>
        <v>263.95099662023802</v>
      </c>
      <c r="BJ128" s="207">
        <f t="shared" si="294"/>
        <v>492.4071781708605</v>
      </c>
      <c r="BK128" s="207">
        <f t="shared" si="295"/>
        <v>-53.588646289714795</v>
      </c>
      <c r="BL128" s="209">
        <f t="shared" si="296"/>
        <v>210.36235033052321</v>
      </c>
      <c r="BM128" s="208">
        <f t="shared" si="323"/>
        <v>6914.1933108623671</v>
      </c>
      <c r="BN128" s="207">
        <f t="shared" si="297"/>
        <v>4733.2668919841735</v>
      </c>
      <c r="BO128" s="207">
        <f t="shared" si="297"/>
        <v>8281.3219175863087</v>
      </c>
      <c r="BP128" s="207">
        <f t="shared" si="297"/>
        <v>-1367.1286067239409</v>
      </c>
      <c r="BQ128" s="209">
        <f t="shared" si="297"/>
        <v>3366.1382852602328</v>
      </c>
      <c r="BS128" s="206">
        <f t="shared" si="324"/>
        <v>16</v>
      </c>
      <c r="BT128" s="761">
        <f>'Energy NPV'!$D54</f>
        <v>12.54</v>
      </c>
      <c r="BU128" s="207">
        <f>'Energy margins'!$L$12</f>
        <v>43.75</v>
      </c>
      <c r="BV128" s="207">
        <f t="shared" si="325"/>
        <v>548.625</v>
      </c>
      <c r="BW128" s="207">
        <f>'Margins summary'!$S$14</f>
        <v>330</v>
      </c>
      <c r="BX128" s="207">
        <f t="shared" si="298"/>
        <v>878.625</v>
      </c>
      <c r="BY128" s="207"/>
      <c r="BZ128" s="918">
        <f>'Energy NPV'!U54</f>
        <v>423.52324399999998</v>
      </c>
      <c r="CA128" s="207">
        <f>'Energy margins'!$Q$67</f>
        <v>192.1</v>
      </c>
      <c r="CB128" s="207">
        <f t="shared" si="299"/>
        <v>615.623244</v>
      </c>
      <c r="CC128" s="207">
        <f t="shared" si="271"/>
        <v>-66.998244</v>
      </c>
      <c r="CD128" s="207">
        <f t="shared" si="272"/>
        <v>263.001756</v>
      </c>
      <c r="CE128" s="208">
        <f t="shared" si="300"/>
        <v>228.92204394603581</v>
      </c>
      <c r="CF128" s="207">
        <f t="shared" si="301"/>
        <v>137.69747004272833</v>
      </c>
      <c r="CG128" s="207">
        <f t="shared" si="302"/>
        <v>256.87807029787035</v>
      </c>
      <c r="CH128" s="207">
        <f t="shared" si="303"/>
        <v>-27.956026351834552</v>
      </c>
      <c r="CI128" s="209">
        <f t="shared" si="304"/>
        <v>109.74144369089376</v>
      </c>
      <c r="CJ128" s="208">
        <f t="shared" si="326"/>
        <v>4942.9908912162346</v>
      </c>
      <c r="CK128" s="207">
        <f t="shared" si="305"/>
        <v>3535.0421659545236</v>
      </c>
      <c r="CL128" s="207">
        <f t="shared" si="305"/>
        <v>6656.137951411506</v>
      </c>
      <c r="CM128" s="207">
        <f t="shared" si="305"/>
        <v>-1713.1470601952726</v>
      </c>
      <c r="CN128" s="209">
        <f t="shared" si="305"/>
        <v>1821.8951057592512</v>
      </c>
      <c r="CP128" s="206">
        <f t="shared" si="327"/>
        <v>16</v>
      </c>
      <c r="CQ128" s="761">
        <f>'Energy NPV'!$D54</f>
        <v>12.54</v>
      </c>
      <c r="CR128" s="207">
        <f>'Energy margins'!$L$12</f>
        <v>43.75</v>
      </c>
      <c r="CS128" s="207">
        <f t="shared" si="328"/>
        <v>548.625</v>
      </c>
      <c r="CT128" s="207">
        <f>'Margins summary'!$S$14</f>
        <v>330</v>
      </c>
      <c r="CU128" s="207">
        <f t="shared" si="306"/>
        <v>878.625</v>
      </c>
      <c r="CV128" s="207"/>
      <c r="CW128" s="918">
        <f>'Energy NPV'!U54</f>
        <v>423.52324399999998</v>
      </c>
      <c r="CX128" s="207">
        <f>'Energy margins'!$Q$67</f>
        <v>192.1</v>
      </c>
      <c r="CY128" s="207">
        <f t="shared" si="307"/>
        <v>615.623244</v>
      </c>
      <c r="CZ128" s="207">
        <f t="shared" si="273"/>
        <v>-66.998244</v>
      </c>
      <c r="DA128" s="207">
        <f t="shared" si="274"/>
        <v>263.001756</v>
      </c>
      <c r="DB128" s="208">
        <f t="shared" si="308"/>
        <v>548.625</v>
      </c>
      <c r="DC128" s="207">
        <f t="shared" si="309"/>
        <v>330</v>
      </c>
      <c r="DD128" s="207">
        <f t="shared" si="310"/>
        <v>615.623244</v>
      </c>
      <c r="DE128" s="207">
        <f t="shared" si="311"/>
        <v>-66.998244</v>
      </c>
      <c r="DF128" s="209">
        <f>DA128/((1+$F$4)^(CP128-1))</f>
        <v>263.001756</v>
      </c>
      <c r="DG128" s="208">
        <f t="shared" si="329"/>
        <v>7815.71875</v>
      </c>
      <c r="DH128" s="207">
        <f t="shared" si="313"/>
        <v>5280</v>
      </c>
      <c r="DI128" s="207">
        <f t="shared" si="313"/>
        <v>9026.4499039999992</v>
      </c>
      <c r="DJ128" s="207">
        <f t="shared" si="313"/>
        <v>-1210.7311539999992</v>
      </c>
      <c r="DK128" s="209">
        <f t="shared" si="313"/>
        <v>4069.2688460000008</v>
      </c>
    </row>
    <row r="134" spans="2:114" x14ac:dyDescent="0.3">
      <c r="B134" s="212" t="s">
        <v>255</v>
      </c>
      <c r="C134" s="763" t="s">
        <v>410</v>
      </c>
      <c r="D134" s="269" t="s">
        <v>395</v>
      </c>
      <c r="E134" s="913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Y134" s="212" t="s">
        <v>255</v>
      </c>
      <c r="Z134" s="211" t="s">
        <v>418</v>
      </c>
      <c r="AA134" s="269"/>
      <c r="AB134" s="913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V134" s="212" t="s">
        <v>255</v>
      </c>
      <c r="AW134" s="211" t="s">
        <v>417</v>
      </c>
      <c r="AX134" s="269"/>
      <c r="AY134" s="913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S134" s="212" t="s">
        <v>255</v>
      </c>
      <c r="BT134" s="211" t="s">
        <v>416</v>
      </c>
      <c r="BU134" s="269"/>
      <c r="BV134" s="913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P134" s="212" t="s">
        <v>255</v>
      </c>
      <c r="CQ134" s="211" t="s">
        <v>415</v>
      </c>
      <c r="CR134" s="269"/>
      <c r="CS134" s="913"/>
      <c r="CT134" s="102"/>
      <c r="CU134" s="102"/>
      <c r="CV134" s="102"/>
      <c r="CW134" s="102"/>
      <c r="CX134" s="102"/>
      <c r="CY134" s="102"/>
      <c r="CZ134" s="102"/>
      <c r="DA134" s="102"/>
      <c r="DB134" s="102"/>
      <c r="DC134" s="102"/>
      <c r="DD134" s="102"/>
      <c r="DE134" s="102"/>
      <c r="DF134" s="102"/>
      <c r="DG134" s="102"/>
      <c r="DH134" s="102"/>
    </row>
    <row r="135" spans="2:114" x14ac:dyDescent="0.3">
      <c r="B135" s="203"/>
      <c r="D135" s="158"/>
      <c r="E135" s="758"/>
      <c r="F135" s="758"/>
      <c r="G135" s="758"/>
      <c r="H135" s="148"/>
      <c r="I135" s="148"/>
      <c r="J135" s="758"/>
      <c r="K135" s="148"/>
      <c r="L135" s="148"/>
      <c r="M135" s="894" t="s">
        <v>270</v>
      </c>
      <c r="N135" s="895"/>
      <c r="O135" s="895"/>
      <c r="P135" s="895"/>
      <c r="Q135" s="896"/>
      <c r="R135" s="894" t="s">
        <v>271</v>
      </c>
      <c r="S135" s="895"/>
      <c r="T135" s="895"/>
      <c r="U135" s="895"/>
      <c r="V135" s="896"/>
      <c r="Y135" s="203"/>
      <c r="AA135" s="158"/>
      <c r="AB135" s="758"/>
      <c r="AC135" s="758"/>
      <c r="AD135" s="758"/>
      <c r="AE135" s="148"/>
      <c r="AF135" s="148"/>
      <c r="AG135" s="758"/>
      <c r="AH135" s="148"/>
      <c r="AI135" s="148"/>
      <c r="AJ135" s="894" t="s">
        <v>270</v>
      </c>
      <c r="AK135" s="895"/>
      <c r="AL135" s="895"/>
      <c r="AM135" s="895"/>
      <c r="AN135" s="896"/>
      <c r="AO135" s="894" t="s">
        <v>271</v>
      </c>
      <c r="AP135" s="895"/>
      <c r="AQ135" s="895"/>
      <c r="AR135" s="895"/>
      <c r="AS135" s="896"/>
      <c r="AV135" s="203"/>
      <c r="AX135" s="158"/>
      <c r="AY135" s="758"/>
      <c r="AZ135" s="758"/>
      <c r="BA135" s="758"/>
      <c r="BB135" s="148"/>
      <c r="BC135" s="148"/>
      <c r="BD135" s="758"/>
      <c r="BE135" s="148"/>
      <c r="BF135" s="148"/>
      <c r="BG135" s="894" t="s">
        <v>270</v>
      </c>
      <c r="BH135" s="895"/>
      <c r="BI135" s="895"/>
      <c r="BJ135" s="895"/>
      <c r="BK135" s="896"/>
      <c r="BL135" s="894" t="s">
        <v>271</v>
      </c>
      <c r="BM135" s="895"/>
      <c r="BN135" s="895"/>
      <c r="BO135" s="895"/>
      <c r="BP135" s="896"/>
      <c r="BS135" s="203"/>
      <c r="BU135" s="158"/>
      <c r="BV135" s="758"/>
      <c r="BW135" s="758"/>
      <c r="BX135" s="758"/>
      <c r="BY135" s="148"/>
      <c r="BZ135" s="148"/>
      <c r="CA135" s="758"/>
      <c r="CB135" s="148"/>
      <c r="CC135" s="148"/>
      <c r="CD135" s="894" t="s">
        <v>270</v>
      </c>
      <c r="CE135" s="895"/>
      <c r="CF135" s="895"/>
      <c r="CG135" s="895"/>
      <c r="CH135" s="896"/>
      <c r="CI135" s="894" t="s">
        <v>271</v>
      </c>
      <c r="CJ135" s="895"/>
      <c r="CK135" s="895"/>
      <c r="CL135" s="895"/>
      <c r="CM135" s="896"/>
      <c r="CP135" s="203"/>
      <c r="CR135" s="158"/>
      <c r="CS135" s="758"/>
      <c r="CT135" s="758"/>
      <c r="CU135" s="758"/>
      <c r="CV135" s="148"/>
      <c r="CW135" s="148"/>
      <c r="CX135" s="758"/>
      <c r="CY135" s="148"/>
      <c r="CZ135" s="148"/>
      <c r="DA135" s="894" t="s">
        <v>270</v>
      </c>
      <c r="DB135" s="895"/>
      <c r="DC135" s="895"/>
      <c r="DD135" s="895"/>
      <c r="DE135" s="896"/>
      <c r="DF135" s="894" t="s">
        <v>271</v>
      </c>
      <c r="DG135" s="895"/>
      <c r="DH135" s="895"/>
      <c r="DI135" s="895"/>
      <c r="DJ135" s="896"/>
    </row>
    <row r="136" spans="2:114" ht="51" x14ac:dyDescent="0.3">
      <c r="B136" s="204" t="s">
        <v>272</v>
      </c>
      <c r="C136" s="205" t="s">
        <v>289</v>
      </c>
      <c r="D136" s="205" t="s">
        <v>290</v>
      </c>
      <c r="E136" s="171" t="s">
        <v>676</v>
      </c>
      <c r="F136" s="171" t="s">
        <v>672</v>
      </c>
      <c r="G136" s="171" t="s">
        <v>677</v>
      </c>
      <c r="H136" s="205" t="str">
        <f>'Arable NPV'!$G$141</f>
        <v>Total Variable Costs</v>
      </c>
      <c r="I136" s="205" t="str">
        <f>'Arable NPV'!$H$141</f>
        <v>Total Fixed Costs</v>
      </c>
      <c r="J136" s="171" t="s">
        <v>276</v>
      </c>
      <c r="K136" s="171" t="s">
        <v>678</v>
      </c>
      <c r="L136" s="171" t="s">
        <v>679</v>
      </c>
      <c r="M136" s="195" t="s">
        <v>277</v>
      </c>
      <c r="N136" s="171" t="s">
        <v>680</v>
      </c>
      <c r="O136" s="171" t="s">
        <v>278</v>
      </c>
      <c r="P136" s="171" t="s">
        <v>681</v>
      </c>
      <c r="Q136" s="198" t="s">
        <v>279</v>
      </c>
      <c r="R136" s="195" t="s">
        <v>280</v>
      </c>
      <c r="S136" s="171" t="s">
        <v>682</v>
      </c>
      <c r="T136" s="171" t="s">
        <v>281</v>
      </c>
      <c r="U136" s="171" t="s">
        <v>683</v>
      </c>
      <c r="V136" s="198" t="s">
        <v>282</v>
      </c>
      <c r="Y136" s="204" t="s">
        <v>272</v>
      </c>
      <c r="Z136" s="205" t="s">
        <v>289</v>
      </c>
      <c r="AA136" s="205" t="s">
        <v>290</v>
      </c>
      <c r="AB136" s="171" t="s">
        <v>676</v>
      </c>
      <c r="AC136" s="171" t="s">
        <v>672</v>
      </c>
      <c r="AD136" s="171" t="s">
        <v>677</v>
      </c>
      <c r="AE136" s="205" t="str">
        <f>'Arable NPV'!$G$141</f>
        <v>Total Variable Costs</v>
      </c>
      <c r="AF136" s="205" t="str">
        <f>'Arable NPV'!$H$141</f>
        <v>Total Fixed Costs</v>
      </c>
      <c r="AG136" s="171" t="s">
        <v>276</v>
      </c>
      <c r="AH136" s="171" t="s">
        <v>678</v>
      </c>
      <c r="AI136" s="171" t="s">
        <v>679</v>
      </c>
      <c r="AJ136" s="195" t="s">
        <v>277</v>
      </c>
      <c r="AK136" s="171" t="s">
        <v>680</v>
      </c>
      <c r="AL136" s="171" t="s">
        <v>278</v>
      </c>
      <c r="AM136" s="171" t="s">
        <v>681</v>
      </c>
      <c r="AN136" s="198" t="s">
        <v>279</v>
      </c>
      <c r="AO136" s="195" t="s">
        <v>280</v>
      </c>
      <c r="AP136" s="171" t="s">
        <v>682</v>
      </c>
      <c r="AQ136" s="171" t="s">
        <v>281</v>
      </c>
      <c r="AR136" s="171" t="s">
        <v>683</v>
      </c>
      <c r="AS136" s="198" t="s">
        <v>282</v>
      </c>
      <c r="AV136" s="204" t="s">
        <v>272</v>
      </c>
      <c r="AW136" s="205" t="s">
        <v>289</v>
      </c>
      <c r="AX136" s="205" t="s">
        <v>290</v>
      </c>
      <c r="AY136" s="171" t="s">
        <v>676</v>
      </c>
      <c r="AZ136" s="171" t="s">
        <v>672</v>
      </c>
      <c r="BA136" s="171" t="s">
        <v>677</v>
      </c>
      <c r="BB136" s="205" t="str">
        <f>'Arable NPV'!$G$141</f>
        <v>Total Variable Costs</v>
      </c>
      <c r="BC136" s="205" t="str">
        <f>'Arable NPV'!$H$141</f>
        <v>Total Fixed Costs</v>
      </c>
      <c r="BD136" s="171" t="s">
        <v>276</v>
      </c>
      <c r="BE136" s="171" t="s">
        <v>678</v>
      </c>
      <c r="BF136" s="171" t="s">
        <v>679</v>
      </c>
      <c r="BG136" s="195" t="s">
        <v>277</v>
      </c>
      <c r="BH136" s="171" t="s">
        <v>680</v>
      </c>
      <c r="BI136" s="171" t="s">
        <v>278</v>
      </c>
      <c r="BJ136" s="171" t="s">
        <v>681</v>
      </c>
      <c r="BK136" s="198" t="s">
        <v>279</v>
      </c>
      <c r="BL136" s="195" t="s">
        <v>280</v>
      </c>
      <c r="BM136" s="171" t="s">
        <v>682</v>
      </c>
      <c r="BN136" s="171" t="s">
        <v>281</v>
      </c>
      <c r="BO136" s="171" t="s">
        <v>683</v>
      </c>
      <c r="BP136" s="198" t="s">
        <v>282</v>
      </c>
      <c r="BS136" s="204" t="s">
        <v>272</v>
      </c>
      <c r="BT136" s="205" t="s">
        <v>289</v>
      </c>
      <c r="BU136" s="205" t="s">
        <v>290</v>
      </c>
      <c r="BV136" s="171" t="s">
        <v>676</v>
      </c>
      <c r="BW136" s="171" t="s">
        <v>672</v>
      </c>
      <c r="BX136" s="171" t="s">
        <v>677</v>
      </c>
      <c r="BY136" s="205" t="str">
        <f>'Arable NPV'!$G$141</f>
        <v>Total Variable Costs</v>
      </c>
      <c r="BZ136" s="205" t="str">
        <f>'Arable NPV'!$H$141</f>
        <v>Total Fixed Costs</v>
      </c>
      <c r="CA136" s="171" t="s">
        <v>276</v>
      </c>
      <c r="CB136" s="171" t="s">
        <v>678</v>
      </c>
      <c r="CC136" s="171" t="s">
        <v>679</v>
      </c>
      <c r="CD136" s="195" t="s">
        <v>277</v>
      </c>
      <c r="CE136" s="171" t="s">
        <v>680</v>
      </c>
      <c r="CF136" s="171" t="s">
        <v>278</v>
      </c>
      <c r="CG136" s="171" t="s">
        <v>681</v>
      </c>
      <c r="CH136" s="198" t="s">
        <v>279</v>
      </c>
      <c r="CI136" s="195" t="s">
        <v>280</v>
      </c>
      <c r="CJ136" s="171" t="s">
        <v>682</v>
      </c>
      <c r="CK136" s="171" t="s">
        <v>281</v>
      </c>
      <c r="CL136" s="171" t="s">
        <v>683</v>
      </c>
      <c r="CM136" s="198" t="s">
        <v>282</v>
      </c>
      <c r="CP136" s="204" t="s">
        <v>272</v>
      </c>
      <c r="CQ136" s="205" t="s">
        <v>289</v>
      </c>
      <c r="CR136" s="205" t="s">
        <v>290</v>
      </c>
      <c r="CS136" s="171" t="s">
        <v>676</v>
      </c>
      <c r="CT136" s="171" t="s">
        <v>672</v>
      </c>
      <c r="CU136" s="171" t="s">
        <v>677</v>
      </c>
      <c r="CV136" s="205" t="str">
        <f>'Arable NPV'!$G$141</f>
        <v>Total Variable Costs</v>
      </c>
      <c r="CW136" s="205" t="str">
        <f>'Arable NPV'!$H$141</f>
        <v>Total Fixed Costs</v>
      </c>
      <c r="CX136" s="171" t="s">
        <v>276</v>
      </c>
      <c r="CY136" s="171" t="s">
        <v>678</v>
      </c>
      <c r="CZ136" s="171" t="s">
        <v>679</v>
      </c>
      <c r="DA136" s="195" t="s">
        <v>277</v>
      </c>
      <c r="DB136" s="171" t="s">
        <v>680</v>
      </c>
      <c r="DC136" s="171" t="s">
        <v>278</v>
      </c>
      <c r="DD136" s="171" t="s">
        <v>681</v>
      </c>
      <c r="DE136" s="198" t="s">
        <v>279</v>
      </c>
      <c r="DF136" s="195" t="s">
        <v>280</v>
      </c>
      <c r="DG136" s="171" t="s">
        <v>682</v>
      </c>
      <c r="DH136" s="171" t="s">
        <v>281</v>
      </c>
      <c r="DI136" s="171" t="s">
        <v>683</v>
      </c>
      <c r="DJ136" s="198" t="s">
        <v>282</v>
      </c>
    </row>
    <row r="137" spans="2:114" x14ac:dyDescent="0.3">
      <c r="B137" s="173"/>
      <c r="C137" s="226" t="s">
        <v>332</v>
      </c>
      <c r="D137" s="226" t="s">
        <v>569</v>
      </c>
      <c r="E137" s="201" t="s">
        <v>567</v>
      </c>
      <c r="F137" s="201" t="s">
        <v>567</v>
      </c>
      <c r="G137" s="201" t="s">
        <v>567</v>
      </c>
      <c r="H137" s="201" t="s">
        <v>567</v>
      </c>
      <c r="I137" s="201" t="s">
        <v>567</v>
      </c>
      <c r="J137" s="201" t="s">
        <v>567</v>
      </c>
      <c r="K137" s="201" t="s">
        <v>567</v>
      </c>
      <c r="L137" s="202" t="s">
        <v>567</v>
      </c>
      <c r="M137" s="201" t="s">
        <v>567</v>
      </c>
      <c r="N137" s="201" t="s">
        <v>567</v>
      </c>
      <c r="O137" s="201" t="s">
        <v>567</v>
      </c>
      <c r="P137" s="201" t="s">
        <v>567</v>
      </c>
      <c r="Q137" s="202" t="s">
        <v>567</v>
      </c>
      <c r="R137" s="201" t="s">
        <v>567</v>
      </c>
      <c r="S137" s="201" t="s">
        <v>567</v>
      </c>
      <c r="T137" s="201" t="s">
        <v>567</v>
      </c>
      <c r="U137" s="201" t="s">
        <v>567</v>
      </c>
      <c r="V137" s="202" t="s">
        <v>567</v>
      </c>
      <c r="Y137" s="173"/>
      <c r="Z137" s="226" t="s">
        <v>332</v>
      </c>
      <c r="AA137" s="226" t="s">
        <v>569</v>
      </c>
      <c r="AB137" s="201" t="s">
        <v>567</v>
      </c>
      <c r="AC137" s="201" t="s">
        <v>567</v>
      </c>
      <c r="AD137" s="201" t="s">
        <v>567</v>
      </c>
      <c r="AE137" s="201" t="s">
        <v>567</v>
      </c>
      <c r="AF137" s="201" t="s">
        <v>567</v>
      </c>
      <c r="AG137" s="201" t="s">
        <v>567</v>
      </c>
      <c r="AH137" s="201" t="s">
        <v>567</v>
      </c>
      <c r="AI137" s="202" t="s">
        <v>567</v>
      </c>
      <c r="AJ137" s="201" t="s">
        <v>567</v>
      </c>
      <c r="AK137" s="201" t="s">
        <v>567</v>
      </c>
      <c r="AL137" s="201" t="s">
        <v>567</v>
      </c>
      <c r="AM137" s="201" t="s">
        <v>567</v>
      </c>
      <c r="AN137" s="202" t="s">
        <v>567</v>
      </c>
      <c r="AO137" s="201" t="s">
        <v>567</v>
      </c>
      <c r="AP137" s="201" t="s">
        <v>567</v>
      </c>
      <c r="AQ137" s="201" t="s">
        <v>567</v>
      </c>
      <c r="AR137" s="201" t="s">
        <v>567</v>
      </c>
      <c r="AS137" s="202" t="s">
        <v>567</v>
      </c>
      <c r="AV137" s="173"/>
      <c r="AW137" s="226" t="s">
        <v>332</v>
      </c>
      <c r="AX137" s="226" t="s">
        <v>569</v>
      </c>
      <c r="AY137" s="201" t="s">
        <v>567</v>
      </c>
      <c r="AZ137" s="201" t="s">
        <v>567</v>
      </c>
      <c r="BA137" s="201" t="s">
        <v>567</v>
      </c>
      <c r="BB137" s="201" t="s">
        <v>567</v>
      </c>
      <c r="BC137" s="201" t="s">
        <v>567</v>
      </c>
      <c r="BD137" s="201" t="s">
        <v>567</v>
      </c>
      <c r="BE137" s="201" t="s">
        <v>567</v>
      </c>
      <c r="BF137" s="202" t="s">
        <v>567</v>
      </c>
      <c r="BG137" s="201" t="s">
        <v>567</v>
      </c>
      <c r="BH137" s="201" t="s">
        <v>567</v>
      </c>
      <c r="BI137" s="201" t="s">
        <v>567</v>
      </c>
      <c r="BJ137" s="201" t="s">
        <v>567</v>
      </c>
      <c r="BK137" s="202" t="s">
        <v>567</v>
      </c>
      <c r="BL137" s="201" t="s">
        <v>567</v>
      </c>
      <c r="BM137" s="201" t="s">
        <v>567</v>
      </c>
      <c r="BN137" s="201" t="s">
        <v>567</v>
      </c>
      <c r="BO137" s="201" t="s">
        <v>567</v>
      </c>
      <c r="BP137" s="202" t="s">
        <v>567</v>
      </c>
      <c r="BS137" s="173"/>
      <c r="BT137" s="226" t="s">
        <v>332</v>
      </c>
      <c r="BU137" s="226" t="s">
        <v>569</v>
      </c>
      <c r="BV137" s="201" t="s">
        <v>567</v>
      </c>
      <c r="BW137" s="201" t="s">
        <v>567</v>
      </c>
      <c r="BX137" s="201" t="s">
        <v>567</v>
      </c>
      <c r="BY137" s="201" t="s">
        <v>567</v>
      </c>
      <c r="BZ137" s="201" t="s">
        <v>567</v>
      </c>
      <c r="CA137" s="201" t="s">
        <v>567</v>
      </c>
      <c r="CB137" s="201" t="s">
        <v>567</v>
      </c>
      <c r="CC137" s="202" t="s">
        <v>567</v>
      </c>
      <c r="CD137" s="201" t="s">
        <v>567</v>
      </c>
      <c r="CE137" s="201" t="s">
        <v>567</v>
      </c>
      <c r="CF137" s="201" t="s">
        <v>567</v>
      </c>
      <c r="CG137" s="201" t="s">
        <v>567</v>
      </c>
      <c r="CH137" s="202" t="s">
        <v>567</v>
      </c>
      <c r="CI137" s="201" t="s">
        <v>567</v>
      </c>
      <c r="CJ137" s="201" t="s">
        <v>567</v>
      </c>
      <c r="CK137" s="201" t="s">
        <v>567</v>
      </c>
      <c r="CL137" s="201" t="s">
        <v>567</v>
      </c>
      <c r="CM137" s="202" t="s">
        <v>567</v>
      </c>
      <c r="CP137" s="173"/>
      <c r="CQ137" s="226" t="s">
        <v>332</v>
      </c>
      <c r="CR137" s="226" t="s">
        <v>569</v>
      </c>
      <c r="CS137" s="201" t="s">
        <v>567</v>
      </c>
      <c r="CT137" s="201" t="s">
        <v>567</v>
      </c>
      <c r="CU137" s="201" t="s">
        <v>567</v>
      </c>
      <c r="CV137" s="201" t="s">
        <v>567</v>
      </c>
      <c r="CW137" s="201" t="s">
        <v>567</v>
      </c>
      <c r="CX137" s="201" t="s">
        <v>567</v>
      </c>
      <c r="CY137" s="201" t="s">
        <v>567</v>
      </c>
      <c r="CZ137" s="202" t="s">
        <v>567</v>
      </c>
      <c r="DA137" s="201" t="s">
        <v>567</v>
      </c>
      <c r="DB137" s="201" t="s">
        <v>567</v>
      </c>
      <c r="DC137" s="201" t="s">
        <v>567</v>
      </c>
      <c r="DD137" s="201" t="s">
        <v>567</v>
      </c>
      <c r="DE137" s="202" t="s">
        <v>567</v>
      </c>
      <c r="DF137" s="201" t="s">
        <v>567</v>
      </c>
      <c r="DG137" s="201" t="s">
        <v>567</v>
      </c>
      <c r="DH137" s="201" t="s">
        <v>567</v>
      </c>
      <c r="DI137" s="201" t="s">
        <v>567</v>
      </c>
      <c r="DJ137" s="202" t="s">
        <v>567</v>
      </c>
    </row>
    <row r="138" spans="2:114" x14ac:dyDescent="0.3">
      <c r="B138" s="899">
        <v>1</v>
      </c>
      <c r="C138" s="911">
        <f>'Arable Inputs'!$H$18</f>
        <v>9.4</v>
      </c>
      <c r="D138" s="760">
        <f>'Arable Inputs'!$H$25</f>
        <v>94.285714285714292</v>
      </c>
      <c r="E138" s="762">
        <f>C138*D138</f>
        <v>886.28571428571433</v>
      </c>
      <c r="F138" s="197">
        <f>'Arable NPV'!$D117</f>
        <v>330</v>
      </c>
      <c r="G138" s="197">
        <f>E138+F138</f>
        <v>1216.2857142857142</v>
      </c>
      <c r="H138" s="197">
        <f>'Arable NPV'!$F117</f>
        <v>566.71194999999989</v>
      </c>
      <c r="I138" s="197">
        <f>'Arable NPV'!$G117</f>
        <v>691.46913599999993</v>
      </c>
      <c r="J138" s="197">
        <f>(H138+I138)</f>
        <v>1258.1810859999998</v>
      </c>
      <c r="K138" s="197">
        <f>E138-J138</f>
        <v>-371.89537171428549</v>
      </c>
      <c r="L138" s="197">
        <f>G138-J138</f>
        <v>-41.895371714285602</v>
      </c>
      <c r="M138" s="1033">
        <f>E138/(1+$B$4)^(B138-1)</f>
        <v>886.28571428571433</v>
      </c>
      <c r="N138" s="213">
        <f>F138/(1+$B$4)^(B138-1)</f>
        <v>330</v>
      </c>
      <c r="O138" s="213">
        <f>J138/(1+$B$4)^(B138-1)</f>
        <v>1258.1810859999998</v>
      </c>
      <c r="P138" s="213">
        <f>K138/(1+$B$4)^(B138-1)</f>
        <v>-371.89537171428549</v>
      </c>
      <c r="Q138" s="929">
        <f>L138/(1+$B$4)^(B138-1)</f>
        <v>-41.895371714285602</v>
      </c>
      <c r="R138" s="196">
        <f>M138</f>
        <v>886.28571428571433</v>
      </c>
      <c r="S138" s="197">
        <f>N138</f>
        <v>330</v>
      </c>
      <c r="T138" s="197">
        <f>O138</f>
        <v>1258.1810859999998</v>
      </c>
      <c r="U138" s="197">
        <f>P138</f>
        <v>-371.89537171428549</v>
      </c>
      <c r="V138" s="199">
        <f>Q138</f>
        <v>-41.895371714285602</v>
      </c>
      <c r="Y138" s="899">
        <v>1</v>
      </c>
      <c r="Z138" s="911">
        <f>'Arable Inputs'!$H$18</f>
        <v>9.4</v>
      </c>
      <c r="AA138" s="760">
        <f>'Arable Inputs'!$H$25</f>
        <v>94.285714285714292</v>
      </c>
      <c r="AB138" s="762">
        <f>Z138*AA138</f>
        <v>886.28571428571433</v>
      </c>
      <c r="AC138" s="197">
        <f>'Arable NPV'!$D117</f>
        <v>330</v>
      </c>
      <c r="AD138" s="197">
        <f>AB138+AC138</f>
        <v>1216.2857142857142</v>
      </c>
      <c r="AE138" s="197">
        <f>'Arable NPV'!$F117</f>
        <v>566.71194999999989</v>
      </c>
      <c r="AF138" s="197">
        <f>'Arable NPV'!$G117</f>
        <v>691.46913599999993</v>
      </c>
      <c r="AG138" s="197">
        <f>(AE138+AF138)</f>
        <v>1258.1810859999998</v>
      </c>
      <c r="AH138" s="197">
        <f>AB138-AG138</f>
        <v>-371.89537171428549</v>
      </c>
      <c r="AI138" s="197">
        <f>AD138-AG138</f>
        <v>-41.895371714285602</v>
      </c>
      <c r="AJ138" s="1033">
        <f>AB138/(1+$C$4)^(Y138-1)</f>
        <v>886.28571428571433</v>
      </c>
      <c r="AK138" s="213">
        <f>AC138/(1+$C$4)^(Y138-1)</f>
        <v>330</v>
      </c>
      <c r="AL138" s="213">
        <f>AG138/(1+$C$4)^(Y138-1)</f>
        <v>1258.1810859999998</v>
      </c>
      <c r="AM138" s="213">
        <f>AH138/(1+$C$4)^(Y138-1)</f>
        <v>-371.89537171428549</v>
      </c>
      <c r="AN138" s="929">
        <f>AI138/(1+$C$4)^(Y138-1)</f>
        <v>-41.895371714285602</v>
      </c>
      <c r="AO138" s="196">
        <f>AJ138</f>
        <v>886.28571428571433</v>
      </c>
      <c r="AP138" s="197">
        <f>AK138</f>
        <v>330</v>
      </c>
      <c r="AQ138" s="197">
        <f>AL138</f>
        <v>1258.1810859999998</v>
      </c>
      <c r="AR138" s="197">
        <f>AM138</f>
        <v>-371.89537171428549</v>
      </c>
      <c r="AS138" s="199">
        <f>AN138</f>
        <v>-41.895371714285602</v>
      </c>
      <c r="AV138" s="899">
        <v>1</v>
      </c>
      <c r="AW138" s="911">
        <f>'Arable Inputs'!$H$18</f>
        <v>9.4</v>
      </c>
      <c r="AX138" s="760">
        <f>'Arable Inputs'!$H$25</f>
        <v>94.285714285714292</v>
      </c>
      <c r="AY138" s="762">
        <f>AW138*AX138</f>
        <v>886.28571428571433</v>
      </c>
      <c r="AZ138" s="197">
        <f>'Arable NPV'!$D117</f>
        <v>330</v>
      </c>
      <c r="BA138" s="197">
        <f>AY138+AZ138</f>
        <v>1216.2857142857142</v>
      </c>
      <c r="BB138" s="197">
        <f>'Arable NPV'!$F117</f>
        <v>566.71194999999989</v>
      </c>
      <c r="BC138" s="197">
        <f>'Arable NPV'!$G117</f>
        <v>691.46913599999993</v>
      </c>
      <c r="BD138" s="197">
        <f>(BB138+BC138)</f>
        <v>1258.1810859999998</v>
      </c>
      <c r="BE138" s="197">
        <f>AY138-BD138</f>
        <v>-371.89537171428549</v>
      </c>
      <c r="BF138" s="197">
        <f>BA138-BD138</f>
        <v>-41.895371714285602</v>
      </c>
      <c r="BG138" s="1033">
        <f>AY138/(1+$D$4)^(AV138-1)</f>
        <v>886.28571428571433</v>
      </c>
      <c r="BH138" s="213">
        <f>AZ138/(1+$D$4)^(AV138-1)</f>
        <v>330</v>
      </c>
      <c r="BI138" s="213">
        <f>BD138/(1+$D$4)^(AV138-1)</f>
        <v>1258.1810859999998</v>
      </c>
      <c r="BJ138" s="213">
        <f>BE138/(1+$D$4)^(AV138-1)</f>
        <v>-371.89537171428549</v>
      </c>
      <c r="BK138" s="929">
        <f>BF138/(1+$D$4)^(AV138-1)</f>
        <v>-41.895371714285602</v>
      </c>
      <c r="BL138" s="196">
        <f>BG138</f>
        <v>886.28571428571433</v>
      </c>
      <c r="BM138" s="197">
        <f>BH138</f>
        <v>330</v>
      </c>
      <c r="BN138" s="197">
        <f>BI138</f>
        <v>1258.1810859999998</v>
      </c>
      <c r="BO138" s="197">
        <f>BJ138</f>
        <v>-371.89537171428549</v>
      </c>
      <c r="BP138" s="199">
        <f>BK138</f>
        <v>-41.895371714285602</v>
      </c>
      <c r="BS138" s="899">
        <v>1</v>
      </c>
      <c r="BT138" s="911">
        <f>'Arable Inputs'!$H$18</f>
        <v>9.4</v>
      </c>
      <c r="BU138" s="760">
        <f>'Arable Inputs'!$H$25</f>
        <v>94.285714285714292</v>
      </c>
      <c r="BV138" s="762">
        <f>BT138*BU138</f>
        <v>886.28571428571433</v>
      </c>
      <c r="BW138" s="197">
        <f>'Arable NPV'!$D117</f>
        <v>330</v>
      </c>
      <c r="BX138" s="197">
        <f>BV138+BW138</f>
        <v>1216.2857142857142</v>
      </c>
      <c r="BY138" s="197">
        <f>'Arable NPV'!$F117</f>
        <v>566.71194999999989</v>
      </c>
      <c r="BZ138" s="197">
        <f>'Arable NPV'!$G117</f>
        <v>691.46913599999993</v>
      </c>
      <c r="CA138" s="197">
        <f>(BY138+BZ138)</f>
        <v>1258.1810859999998</v>
      </c>
      <c r="CB138" s="197">
        <f>BV138-CA138</f>
        <v>-371.89537171428549</v>
      </c>
      <c r="CC138" s="197">
        <f>BX138-CA138</f>
        <v>-41.895371714285602</v>
      </c>
      <c r="CD138" s="1033">
        <f>BV138/(1+$E$4)^(BS138-1)</f>
        <v>886.28571428571433</v>
      </c>
      <c r="CE138" s="213">
        <f>BW138/(1+$E$4)^(BS138-1)</f>
        <v>330</v>
      </c>
      <c r="CF138" s="213">
        <f>CA138/(1+$E$4)^(BS138-1)</f>
        <v>1258.1810859999998</v>
      </c>
      <c r="CG138" s="213">
        <f>CB138/(1+$E$4)^(BS138-1)</f>
        <v>-371.89537171428549</v>
      </c>
      <c r="CH138" s="929">
        <f>CC138/(1+$E$4)^(BS138-1)</f>
        <v>-41.895371714285602</v>
      </c>
      <c r="CI138" s="196">
        <f>CD138</f>
        <v>886.28571428571433</v>
      </c>
      <c r="CJ138" s="197">
        <f>CE138</f>
        <v>330</v>
      </c>
      <c r="CK138" s="197">
        <f>CF138</f>
        <v>1258.1810859999998</v>
      </c>
      <c r="CL138" s="197">
        <f>CG138</f>
        <v>-371.89537171428549</v>
      </c>
      <c r="CM138" s="199">
        <f>CH138</f>
        <v>-41.895371714285602</v>
      </c>
      <c r="CP138" s="899">
        <v>1</v>
      </c>
      <c r="CQ138" s="911">
        <f>'Arable Inputs'!$H$18</f>
        <v>9.4</v>
      </c>
      <c r="CR138" s="760">
        <f>'Arable Inputs'!$H$25</f>
        <v>94.285714285714292</v>
      </c>
      <c r="CS138" s="762">
        <f>CQ138*CR138</f>
        <v>886.28571428571433</v>
      </c>
      <c r="CT138" s="197">
        <f>'Arable NPV'!$D117</f>
        <v>330</v>
      </c>
      <c r="CU138" s="197">
        <f>CS138+CT138</f>
        <v>1216.2857142857142</v>
      </c>
      <c r="CV138" s="197">
        <f>'Arable NPV'!$F117</f>
        <v>566.71194999999989</v>
      </c>
      <c r="CW138" s="197">
        <f>'Arable NPV'!$G117</f>
        <v>691.46913599999993</v>
      </c>
      <c r="CX138" s="197">
        <f>(CV138+CW138)</f>
        <v>1258.1810859999998</v>
      </c>
      <c r="CY138" s="197">
        <f>CS138-CX138</f>
        <v>-371.89537171428549</v>
      </c>
      <c r="CZ138" s="197">
        <f>CU138-CX138</f>
        <v>-41.895371714285602</v>
      </c>
      <c r="DA138" s="1033">
        <f>CS138/(1+$F$4)^(CP138-1)</f>
        <v>886.28571428571433</v>
      </c>
      <c r="DB138" s="213">
        <f>CT138/(1+$F$4)^(CP138-1)</f>
        <v>330</v>
      </c>
      <c r="DC138" s="213">
        <f>CX138/(1+$F$4)^(CP138-1)</f>
        <v>1258.1810859999998</v>
      </c>
      <c r="DD138" s="213">
        <f>CY138/(1+$F$4)^(CP138-1)</f>
        <v>-371.89537171428549</v>
      </c>
      <c r="DE138" s="929">
        <f>CZ138/(1+$F$4)^(CP138-1)</f>
        <v>-41.895371714285602</v>
      </c>
      <c r="DF138" s="196">
        <f>DA138</f>
        <v>886.28571428571433</v>
      </c>
      <c r="DG138" s="197">
        <f>DB138</f>
        <v>330</v>
      </c>
      <c r="DH138" s="197">
        <f>DC138</f>
        <v>1258.1810859999998</v>
      </c>
      <c r="DI138" s="197">
        <f>DD138</f>
        <v>-371.89537171428549</v>
      </c>
      <c r="DJ138" s="199">
        <f>DE138</f>
        <v>-41.895371714285602</v>
      </c>
    </row>
    <row r="139" spans="2:114" x14ac:dyDescent="0.3">
      <c r="B139" s="900">
        <v>2</v>
      </c>
      <c r="C139" s="911">
        <f>'Arable Inputs'!$H$18</f>
        <v>9.4</v>
      </c>
      <c r="D139" s="760">
        <f>'Arable Inputs'!$H$25</f>
        <v>94.285714285714292</v>
      </c>
      <c r="E139" s="762">
        <f t="shared" ref="E139:E153" si="330">C139*D139</f>
        <v>886.28571428571433</v>
      </c>
      <c r="F139" s="197">
        <f>'Arable NPV'!$D118</f>
        <v>330</v>
      </c>
      <c r="G139" s="197">
        <f>E139+F139</f>
        <v>1216.2857142857142</v>
      </c>
      <c r="H139" s="197">
        <f>'Arable NPV'!$F118</f>
        <v>566.71194999999989</v>
      </c>
      <c r="I139" s="197">
        <f>'Arable NPV'!$G118</f>
        <v>691.46913599999993</v>
      </c>
      <c r="J139" s="197">
        <f t="shared" ref="J139:J153" si="331">(H139+I139)</f>
        <v>1258.1810859999998</v>
      </c>
      <c r="K139" s="197">
        <f t="shared" ref="K139:K153" si="332">E139-J139</f>
        <v>-371.89537171428549</v>
      </c>
      <c r="L139" s="197">
        <f t="shared" ref="L139:L153" si="333">G139-J139</f>
        <v>-41.895371714285602</v>
      </c>
      <c r="M139" s="196">
        <f t="shared" ref="M139:M153" si="334">E139/(1+$B$4)^(B139-1)</f>
        <v>860.47156726768378</v>
      </c>
      <c r="N139" s="197">
        <f t="shared" ref="N139:N153" si="335">F139/(1+$B$4)^(B139-1)</f>
        <v>320.38834951456312</v>
      </c>
      <c r="O139" s="197">
        <f t="shared" ref="O139:O153" si="336">J139/(1+$B$4)^(B139-1)</f>
        <v>1221.5350349514561</v>
      </c>
      <c r="P139" s="197">
        <f t="shared" ref="P139:P153" si="337">K139/(1+$B$4)^(B139-1)</f>
        <v>-361.06346768377233</v>
      </c>
      <c r="Q139" s="199">
        <f t="shared" ref="Q139:Q153" si="338">L139/(1+$B$4)^(B139-1)</f>
        <v>-40.67511816920932</v>
      </c>
      <c r="R139" s="196">
        <f t="shared" ref="R139:V153" si="339">R138+M139</f>
        <v>1746.7572815533981</v>
      </c>
      <c r="S139" s="197">
        <f t="shared" si="339"/>
        <v>650.38834951456306</v>
      </c>
      <c r="T139" s="197">
        <f t="shared" si="339"/>
        <v>2479.7161209514561</v>
      </c>
      <c r="U139" s="197">
        <f t="shared" si="339"/>
        <v>-732.95883939805776</v>
      </c>
      <c r="V139" s="199">
        <f t="shared" si="339"/>
        <v>-82.570489883494929</v>
      </c>
      <c r="Y139" s="900">
        <v>2</v>
      </c>
      <c r="Z139" s="911">
        <f>'Arable Inputs'!$H$18</f>
        <v>9.4</v>
      </c>
      <c r="AA139" s="760">
        <f>'Arable Inputs'!$H$25</f>
        <v>94.285714285714292</v>
      </c>
      <c r="AB139" s="762">
        <f t="shared" ref="AB139:AB153" si="340">Z139*AA139</f>
        <v>886.28571428571433</v>
      </c>
      <c r="AC139" s="197">
        <f>'Arable NPV'!$D118</f>
        <v>330</v>
      </c>
      <c r="AD139" s="197">
        <f>AB139+AC139</f>
        <v>1216.2857142857142</v>
      </c>
      <c r="AE139" s="197">
        <f>'Arable NPV'!$F118</f>
        <v>566.71194999999989</v>
      </c>
      <c r="AF139" s="197">
        <f>'Arable NPV'!$G118</f>
        <v>691.46913599999993</v>
      </c>
      <c r="AG139" s="197">
        <f t="shared" ref="AG139:AG153" si="341">(AE139+AF139)</f>
        <v>1258.1810859999998</v>
      </c>
      <c r="AH139" s="197">
        <f t="shared" ref="AH139:AH153" si="342">AB139-AG139</f>
        <v>-371.89537171428549</v>
      </c>
      <c r="AI139" s="197">
        <f t="shared" ref="AI139:AI153" si="343">AD139-AG139</f>
        <v>-41.895371714285602</v>
      </c>
      <c r="AJ139" s="196">
        <f t="shared" ref="AJ139:AJ153" si="344">AB139/(1+$C$4)^(Y139-1)</f>
        <v>848.12030075187977</v>
      </c>
      <c r="AK139" s="197">
        <f t="shared" ref="AK139:AK153" si="345">AC139/(1+$C$4)^(Y139-1)</f>
        <v>315.78947368421052</v>
      </c>
      <c r="AL139" s="197">
        <f t="shared" ref="AL139:AL153" si="346">AG139/(1+$C$4)^(Y139-1)</f>
        <v>1204.0010392344498</v>
      </c>
      <c r="AM139" s="197">
        <f t="shared" ref="AM139:AM153" si="347">AH139/(1+$C$4)^(Y139-1)</f>
        <v>-355.88073848256988</v>
      </c>
      <c r="AN139" s="199">
        <f t="shared" ref="AN139:AN153" si="348">AI139/(1+$C$4)^(Y139-1)</f>
        <v>-40.091264798359433</v>
      </c>
      <c r="AO139" s="196">
        <f t="shared" ref="AO139:AO153" si="349">AO138+AJ139</f>
        <v>1734.406015037594</v>
      </c>
      <c r="AP139" s="197">
        <f t="shared" ref="AP139:AP153" si="350">AP138+AK139</f>
        <v>645.78947368421052</v>
      </c>
      <c r="AQ139" s="197">
        <f t="shared" ref="AQ139:AQ153" si="351">AQ138+AL139</f>
        <v>2462.1821252344498</v>
      </c>
      <c r="AR139" s="197">
        <f t="shared" ref="AR139:AR153" si="352">AR138+AM139</f>
        <v>-727.77611019685537</v>
      </c>
      <c r="AS139" s="199">
        <f t="shared" ref="AS139:AS153" si="353">AS138+AN139</f>
        <v>-81.986636512645035</v>
      </c>
      <c r="AV139" s="900">
        <v>2</v>
      </c>
      <c r="AW139" s="911">
        <f>'Arable Inputs'!$H$18</f>
        <v>9.4</v>
      </c>
      <c r="AX139" s="760">
        <f>'Arable Inputs'!$H$25</f>
        <v>94.285714285714292</v>
      </c>
      <c r="AY139" s="762">
        <f t="shared" ref="AY139:AY153" si="354">AW139*AX139</f>
        <v>886.28571428571433</v>
      </c>
      <c r="AZ139" s="197">
        <f>'Arable NPV'!$D118</f>
        <v>330</v>
      </c>
      <c r="BA139" s="197">
        <f>AY139+AZ139</f>
        <v>1216.2857142857142</v>
      </c>
      <c r="BB139" s="197">
        <f>'Arable NPV'!$F118</f>
        <v>566.71194999999989</v>
      </c>
      <c r="BC139" s="197">
        <f>'Arable NPV'!$G118</f>
        <v>691.46913599999993</v>
      </c>
      <c r="BD139" s="197">
        <f t="shared" ref="BD139:BD153" si="355">(BB139+BC139)</f>
        <v>1258.1810859999998</v>
      </c>
      <c r="BE139" s="197">
        <f t="shared" ref="BE139:BE153" si="356">AY139-BD139</f>
        <v>-371.89537171428549</v>
      </c>
      <c r="BF139" s="197">
        <f t="shared" ref="BF139:BF153" si="357">BA139-BD139</f>
        <v>-41.895371714285602</v>
      </c>
      <c r="BG139" s="196">
        <f t="shared" ref="BG139:BG153" si="358">AY139/(1+$D$4)^(AV139-1)</f>
        <v>873.18789584799447</v>
      </c>
      <c r="BH139" s="197">
        <f t="shared" ref="BH139:BH153" si="359">AZ139/(1+$D$4)^(AV139-1)</f>
        <v>325.12315270935966</v>
      </c>
      <c r="BI139" s="197">
        <f t="shared" ref="BI139:BI153" si="360">BD139/(1+$D$4)^(AV139-1)</f>
        <v>1239.5872768472907</v>
      </c>
      <c r="BJ139" s="197">
        <f t="shared" ref="BJ139:BJ153" si="361">BE139/(1+$D$4)^(AV139-1)</f>
        <v>-366.39938099929606</v>
      </c>
      <c r="BK139" s="199">
        <f t="shared" ref="BK139:BK153" si="362">BF139/(1+$D$4)^(AV139-1)</f>
        <v>-41.276228289936554</v>
      </c>
      <c r="BL139" s="196">
        <f t="shared" ref="BL139:BL153" si="363">BL138+BG139</f>
        <v>1759.4736101337089</v>
      </c>
      <c r="BM139" s="197">
        <f t="shared" ref="BM139:BM153" si="364">BM138+BH139</f>
        <v>655.1231527093596</v>
      </c>
      <c r="BN139" s="197">
        <f t="shared" ref="BN139:BN153" si="365">BN138+BI139</f>
        <v>2497.7683628472905</v>
      </c>
      <c r="BO139" s="197">
        <f t="shared" ref="BO139:BO153" si="366">BO138+BJ139</f>
        <v>-738.2947527135816</v>
      </c>
      <c r="BP139" s="199">
        <f t="shared" ref="BP139:BP153" si="367">BP138+BK139</f>
        <v>-83.171600004222157</v>
      </c>
      <c r="BS139" s="900">
        <v>2</v>
      </c>
      <c r="BT139" s="911">
        <f>'Arable Inputs'!$H$18</f>
        <v>9.4</v>
      </c>
      <c r="BU139" s="760">
        <f>'Arable Inputs'!$H$25</f>
        <v>94.285714285714292</v>
      </c>
      <c r="BV139" s="762">
        <f t="shared" ref="BV139:BV153" si="368">BT139*BU139</f>
        <v>886.28571428571433</v>
      </c>
      <c r="BW139" s="197">
        <f>'Arable NPV'!$D118</f>
        <v>330</v>
      </c>
      <c r="BX139" s="197">
        <f>BV139+BW139</f>
        <v>1216.2857142857142</v>
      </c>
      <c r="BY139" s="197">
        <f>'Arable NPV'!$F118</f>
        <v>566.71194999999989</v>
      </c>
      <c r="BZ139" s="197">
        <f>'Arable NPV'!$G118</f>
        <v>691.46913599999993</v>
      </c>
      <c r="CA139" s="197">
        <f t="shared" ref="CA139:CA153" si="369">(BY139+BZ139)</f>
        <v>1258.1810859999998</v>
      </c>
      <c r="CB139" s="197">
        <f t="shared" ref="CB139:CB153" si="370">BV139-CA139</f>
        <v>-371.89537171428549</v>
      </c>
      <c r="CC139" s="197">
        <f t="shared" ref="CC139:CC153" si="371">BX139-CA139</f>
        <v>-41.895371714285602</v>
      </c>
      <c r="CD139" s="196">
        <f t="shared" ref="CD139:CD153" si="372">BV139/(1+$E$4)^(BS139-1)</f>
        <v>836.11859838274938</v>
      </c>
      <c r="CE139" s="197">
        <f t="shared" ref="CE139:CE153" si="373">BW139/(1+$E$4)^(BS139-1)</f>
        <v>311.32075471698113</v>
      </c>
      <c r="CF139" s="197">
        <f t="shared" ref="CF139:CF153" si="374">CA139/(1+$E$4)^(BS139-1)</f>
        <v>1186.9632886792451</v>
      </c>
      <c r="CG139" s="197">
        <f t="shared" ref="CG139:CG153" si="375">CB139/(1+$E$4)^(BS139-1)</f>
        <v>-350.84469029649574</v>
      </c>
      <c r="CH139" s="199">
        <f t="shared" ref="CH139:CH153" si="376">CC139/(1+$E$4)^(BS139-1)</f>
        <v>-39.52393557951472</v>
      </c>
      <c r="CI139" s="196">
        <f t="shared" ref="CI139:CI153" si="377">CI138+CD139</f>
        <v>1722.4043126684637</v>
      </c>
      <c r="CJ139" s="197">
        <f t="shared" ref="CJ139:CJ153" si="378">CJ138+CE139</f>
        <v>641.32075471698113</v>
      </c>
      <c r="CK139" s="197">
        <f t="shared" ref="CK139:CK153" si="379">CK138+CF139</f>
        <v>2445.1443746792447</v>
      </c>
      <c r="CL139" s="197">
        <f t="shared" ref="CL139:CL153" si="380">CL138+CG139</f>
        <v>-722.74006201078123</v>
      </c>
      <c r="CM139" s="199">
        <f t="shared" ref="CM139:CM153" si="381">CM138+CH139</f>
        <v>-81.41930729380033</v>
      </c>
      <c r="CP139" s="900">
        <v>2</v>
      </c>
      <c r="CQ139" s="911">
        <f>'Arable Inputs'!$H$18</f>
        <v>9.4</v>
      </c>
      <c r="CR139" s="760">
        <f>'Arable Inputs'!$H$25</f>
        <v>94.285714285714292</v>
      </c>
      <c r="CS139" s="762">
        <f t="shared" ref="CS139:CS153" si="382">CQ139*CR139</f>
        <v>886.28571428571433</v>
      </c>
      <c r="CT139" s="197">
        <f>'Arable NPV'!$D118</f>
        <v>330</v>
      </c>
      <c r="CU139" s="197">
        <f>CS139+CT139</f>
        <v>1216.2857142857142</v>
      </c>
      <c r="CV139" s="197">
        <f>'Arable NPV'!$F118</f>
        <v>566.71194999999989</v>
      </c>
      <c r="CW139" s="197">
        <f>'Arable NPV'!$G118</f>
        <v>691.46913599999993</v>
      </c>
      <c r="CX139" s="197">
        <f t="shared" ref="CX139:CX153" si="383">(CV139+CW139)</f>
        <v>1258.1810859999998</v>
      </c>
      <c r="CY139" s="197">
        <f t="shared" ref="CY139:CY153" si="384">CS139-CX139</f>
        <v>-371.89537171428549</v>
      </c>
      <c r="CZ139" s="197">
        <f t="shared" ref="CZ139:CZ153" si="385">CU139-CX139</f>
        <v>-41.895371714285602</v>
      </c>
      <c r="DA139" s="196">
        <f t="shared" ref="DA139:DA153" si="386">CS139/(1+$F$4)^(CP139-1)</f>
        <v>886.28571428571433</v>
      </c>
      <c r="DB139" s="197">
        <f t="shared" ref="DB139:DB153" si="387">CT139/(1+$F$4)^(CP139-1)</f>
        <v>330</v>
      </c>
      <c r="DC139" s="197">
        <f t="shared" ref="DC139:DC153" si="388">CX139/(1+$F$4)^(CP139-1)</f>
        <v>1258.1810859999998</v>
      </c>
      <c r="DD139" s="197">
        <f t="shared" ref="DD139:DD153" si="389">CY139/(1+$F$4)^(CP139-1)</f>
        <v>-371.89537171428549</v>
      </c>
      <c r="DE139" s="199">
        <f t="shared" ref="DE139:DE153" si="390">CZ139/(1+$F$4)^(CP139-1)</f>
        <v>-41.895371714285602</v>
      </c>
      <c r="DF139" s="196">
        <f t="shared" ref="DF139:DF153" si="391">DF138+DA139</f>
        <v>1772.5714285714287</v>
      </c>
      <c r="DG139" s="197">
        <f t="shared" ref="DG139:DG153" si="392">DG138+DB139</f>
        <v>660</v>
      </c>
      <c r="DH139" s="197">
        <f t="shared" ref="DH139:DH153" si="393">DH138+DC139</f>
        <v>2516.3621719999996</v>
      </c>
      <c r="DI139" s="197">
        <f t="shared" ref="DI139:DI153" si="394">DI138+DD139</f>
        <v>-743.79074342857098</v>
      </c>
      <c r="DJ139" s="199">
        <f t="shared" ref="DJ139:DJ153" si="395">DJ138+DE139</f>
        <v>-83.790743428571204</v>
      </c>
    </row>
    <row r="140" spans="2:114" x14ac:dyDescent="0.3">
      <c r="B140" s="900">
        <v>3</v>
      </c>
      <c r="C140" s="911">
        <f>'Arable Inputs'!$H$18</f>
        <v>9.4</v>
      </c>
      <c r="D140" s="760">
        <f>'Arable Inputs'!$H$25</f>
        <v>94.285714285714292</v>
      </c>
      <c r="E140" s="762">
        <f t="shared" si="330"/>
        <v>886.28571428571433</v>
      </c>
      <c r="F140" s="197">
        <f>'Arable NPV'!$D119</f>
        <v>330</v>
      </c>
      <c r="G140" s="197">
        <f t="shared" ref="G140:G152" si="396">E140+F140</f>
        <v>1216.2857142857142</v>
      </c>
      <c r="H140" s="197">
        <f>'Arable NPV'!$F119</f>
        <v>566.71194999999989</v>
      </c>
      <c r="I140" s="197">
        <f>'Arable NPV'!$G119</f>
        <v>691.46913599999993</v>
      </c>
      <c r="J140" s="197">
        <f t="shared" si="331"/>
        <v>1258.1810859999998</v>
      </c>
      <c r="K140" s="197">
        <f t="shared" si="332"/>
        <v>-371.89537171428549</v>
      </c>
      <c r="L140" s="197">
        <f t="shared" si="333"/>
        <v>-41.895371714285602</v>
      </c>
      <c r="M140" s="196">
        <f t="shared" si="334"/>
        <v>835.40928860940176</v>
      </c>
      <c r="N140" s="197">
        <f t="shared" si="335"/>
        <v>311.05665001413894</v>
      </c>
      <c r="O140" s="197">
        <f t="shared" si="336"/>
        <v>1185.9563446130642</v>
      </c>
      <c r="P140" s="197">
        <f t="shared" si="337"/>
        <v>-350.54705600366248</v>
      </c>
      <c r="Q140" s="199">
        <f t="shared" si="338"/>
        <v>-39.490405989523616</v>
      </c>
      <c r="R140" s="196">
        <f t="shared" si="339"/>
        <v>2582.1665701627999</v>
      </c>
      <c r="S140" s="197">
        <f t="shared" si="339"/>
        <v>961.44499952870206</v>
      </c>
      <c r="T140" s="197">
        <f t="shared" si="339"/>
        <v>3665.6724655645203</v>
      </c>
      <c r="U140" s="197">
        <f t="shared" si="339"/>
        <v>-1083.5058954017202</v>
      </c>
      <c r="V140" s="199">
        <f t="shared" si="339"/>
        <v>-122.06089587301855</v>
      </c>
      <c r="Y140" s="900">
        <v>3</v>
      </c>
      <c r="Z140" s="911">
        <f>'Arable Inputs'!$H$18</f>
        <v>9.4</v>
      </c>
      <c r="AA140" s="760">
        <f>'Arable Inputs'!$H$25</f>
        <v>94.285714285714292</v>
      </c>
      <c r="AB140" s="762">
        <f t="shared" si="340"/>
        <v>886.28571428571433</v>
      </c>
      <c r="AC140" s="197">
        <f>'Arable NPV'!$D119</f>
        <v>330</v>
      </c>
      <c r="AD140" s="197">
        <f t="shared" ref="AD140:AD152" si="397">AB140+AC140</f>
        <v>1216.2857142857142</v>
      </c>
      <c r="AE140" s="197">
        <f>'Arable NPV'!$F119</f>
        <v>566.71194999999989</v>
      </c>
      <c r="AF140" s="197">
        <f>'Arable NPV'!$G119</f>
        <v>691.46913599999993</v>
      </c>
      <c r="AG140" s="197">
        <f t="shared" si="341"/>
        <v>1258.1810859999998</v>
      </c>
      <c r="AH140" s="197">
        <f t="shared" si="342"/>
        <v>-371.89537171428549</v>
      </c>
      <c r="AI140" s="197">
        <f t="shared" si="343"/>
        <v>-41.895371714285602</v>
      </c>
      <c r="AJ140" s="196">
        <f t="shared" si="344"/>
        <v>811.59837392524389</v>
      </c>
      <c r="AK140" s="197">
        <f t="shared" si="345"/>
        <v>302.19088390833548</v>
      </c>
      <c r="AL140" s="197">
        <f t="shared" si="346"/>
        <v>1152.1541045305739</v>
      </c>
      <c r="AM140" s="197">
        <f t="shared" si="347"/>
        <v>-340.55573060533004</v>
      </c>
      <c r="AN140" s="199">
        <f t="shared" si="348"/>
        <v>-38.364846696994675</v>
      </c>
      <c r="AO140" s="196">
        <f t="shared" si="349"/>
        <v>2546.0043889628378</v>
      </c>
      <c r="AP140" s="197">
        <f t="shared" si="350"/>
        <v>947.98035759254594</v>
      </c>
      <c r="AQ140" s="197">
        <f t="shared" si="351"/>
        <v>3614.3362297650237</v>
      </c>
      <c r="AR140" s="197">
        <f t="shared" si="352"/>
        <v>-1068.3318408021855</v>
      </c>
      <c r="AS140" s="199">
        <f t="shared" si="353"/>
        <v>-120.35148320963971</v>
      </c>
      <c r="AV140" s="900">
        <v>3</v>
      </c>
      <c r="AW140" s="911">
        <f>'Arable Inputs'!$H$18</f>
        <v>9.4</v>
      </c>
      <c r="AX140" s="760">
        <f>'Arable Inputs'!$H$25</f>
        <v>94.285714285714292</v>
      </c>
      <c r="AY140" s="762">
        <f t="shared" si="354"/>
        <v>886.28571428571433</v>
      </c>
      <c r="AZ140" s="197">
        <f>'Arable NPV'!$D119</f>
        <v>330</v>
      </c>
      <c r="BA140" s="197">
        <f t="shared" ref="BA140:BA152" si="398">AY140+AZ140</f>
        <v>1216.2857142857142</v>
      </c>
      <c r="BB140" s="197">
        <f>'Arable NPV'!$F119</f>
        <v>566.71194999999989</v>
      </c>
      <c r="BC140" s="197">
        <f>'Arable NPV'!$G119</f>
        <v>691.46913599999993</v>
      </c>
      <c r="BD140" s="197">
        <f t="shared" si="355"/>
        <v>1258.1810859999998</v>
      </c>
      <c r="BE140" s="197">
        <f t="shared" si="356"/>
        <v>-371.89537171428549</v>
      </c>
      <c r="BF140" s="197">
        <f t="shared" si="357"/>
        <v>-41.895371714285602</v>
      </c>
      <c r="BG140" s="196">
        <f t="shared" si="358"/>
        <v>860.28364122955134</v>
      </c>
      <c r="BH140" s="197">
        <f t="shared" si="359"/>
        <v>320.31837705355633</v>
      </c>
      <c r="BI140" s="197">
        <f t="shared" si="360"/>
        <v>1221.2682530515181</v>
      </c>
      <c r="BJ140" s="197">
        <f t="shared" si="361"/>
        <v>-360.98461182196667</v>
      </c>
      <c r="BK140" s="199">
        <f t="shared" si="362"/>
        <v>-40.666234768410412</v>
      </c>
      <c r="BL140" s="196">
        <f t="shared" si="363"/>
        <v>2619.7572513632604</v>
      </c>
      <c r="BM140" s="197">
        <f t="shared" si="364"/>
        <v>975.44152976291593</v>
      </c>
      <c r="BN140" s="197">
        <f t="shared" si="365"/>
        <v>3719.0366158988086</v>
      </c>
      <c r="BO140" s="197">
        <f t="shared" si="366"/>
        <v>-1099.2793645355482</v>
      </c>
      <c r="BP140" s="199">
        <f t="shared" si="367"/>
        <v>-123.83783477263256</v>
      </c>
      <c r="BS140" s="900">
        <v>3</v>
      </c>
      <c r="BT140" s="911">
        <f>'Arable Inputs'!$H$18</f>
        <v>9.4</v>
      </c>
      <c r="BU140" s="760">
        <f>'Arable Inputs'!$H$25</f>
        <v>94.285714285714292</v>
      </c>
      <c r="BV140" s="762">
        <f t="shared" si="368"/>
        <v>886.28571428571433</v>
      </c>
      <c r="BW140" s="197">
        <f>'Arable NPV'!$D119</f>
        <v>330</v>
      </c>
      <c r="BX140" s="197">
        <f t="shared" ref="BX140:BX152" si="399">BV140+BW140</f>
        <v>1216.2857142857142</v>
      </c>
      <c r="BY140" s="197">
        <f>'Arable NPV'!$F119</f>
        <v>566.71194999999989</v>
      </c>
      <c r="BZ140" s="197">
        <f>'Arable NPV'!$G119</f>
        <v>691.46913599999993</v>
      </c>
      <c r="CA140" s="197">
        <f t="shared" si="369"/>
        <v>1258.1810859999998</v>
      </c>
      <c r="CB140" s="197">
        <f t="shared" si="370"/>
        <v>-371.89537171428549</v>
      </c>
      <c r="CC140" s="197">
        <f t="shared" si="371"/>
        <v>-41.895371714285602</v>
      </c>
      <c r="CD140" s="196">
        <f t="shared" si="372"/>
        <v>788.79113054976347</v>
      </c>
      <c r="CE140" s="197">
        <f t="shared" si="373"/>
        <v>293.69882520469912</v>
      </c>
      <c r="CF140" s="197">
        <f t="shared" si="374"/>
        <v>1119.7766874332499</v>
      </c>
      <c r="CG140" s="197">
        <f t="shared" si="375"/>
        <v>-330.98555688348648</v>
      </c>
      <c r="CH140" s="199">
        <f t="shared" si="376"/>
        <v>-37.286731678787469</v>
      </c>
      <c r="CI140" s="196">
        <f t="shared" si="377"/>
        <v>2511.1954432182274</v>
      </c>
      <c r="CJ140" s="197">
        <f t="shared" si="378"/>
        <v>935.01957992168025</v>
      </c>
      <c r="CK140" s="197">
        <f t="shared" si="379"/>
        <v>3564.9210621124948</v>
      </c>
      <c r="CL140" s="197">
        <f t="shared" si="380"/>
        <v>-1053.7256188942677</v>
      </c>
      <c r="CM140" s="199">
        <f t="shared" si="381"/>
        <v>-118.70603897258781</v>
      </c>
      <c r="CP140" s="900">
        <v>3</v>
      </c>
      <c r="CQ140" s="911">
        <f>'Arable Inputs'!$H$18</f>
        <v>9.4</v>
      </c>
      <c r="CR140" s="760">
        <f>'Arable Inputs'!$H$25</f>
        <v>94.285714285714292</v>
      </c>
      <c r="CS140" s="762">
        <f t="shared" si="382"/>
        <v>886.28571428571433</v>
      </c>
      <c r="CT140" s="197">
        <f>'Arable NPV'!$D119</f>
        <v>330</v>
      </c>
      <c r="CU140" s="197">
        <f t="shared" ref="CU140:CU152" si="400">CS140+CT140</f>
        <v>1216.2857142857142</v>
      </c>
      <c r="CV140" s="197">
        <f>'Arable NPV'!$F119</f>
        <v>566.71194999999989</v>
      </c>
      <c r="CW140" s="197">
        <f>'Arable NPV'!$G119</f>
        <v>691.46913599999993</v>
      </c>
      <c r="CX140" s="197">
        <f t="shared" si="383"/>
        <v>1258.1810859999998</v>
      </c>
      <c r="CY140" s="197">
        <f t="shared" si="384"/>
        <v>-371.89537171428549</v>
      </c>
      <c r="CZ140" s="197">
        <f t="shared" si="385"/>
        <v>-41.895371714285602</v>
      </c>
      <c r="DA140" s="196">
        <f t="shared" si="386"/>
        <v>886.28571428571433</v>
      </c>
      <c r="DB140" s="197">
        <f t="shared" si="387"/>
        <v>330</v>
      </c>
      <c r="DC140" s="197">
        <f t="shared" si="388"/>
        <v>1258.1810859999998</v>
      </c>
      <c r="DD140" s="197">
        <f t="shared" si="389"/>
        <v>-371.89537171428549</v>
      </c>
      <c r="DE140" s="199">
        <f t="shared" si="390"/>
        <v>-41.895371714285602</v>
      </c>
      <c r="DF140" s="196">
        <f t="shared" si="391"/>
        <v>2658.8571428571431</v>
      </c>
      <c r="DG140" s="197">
        <f t="shared" si="392"/>
        <v>990</v>
      </c>
      <c r="DH140" s="197">
        <f t="shared" si="393"/>
        <v>3774.5432579999997</v>
      </c>
      <c r="DI140" s="197">
        <f t="shared" si="394"/>
        <v>-1115.6861151428566</v>
      </c>
      <c r="DJ140" s="199">
        <f t="shared" si="395"/>
        <v>-125.68611514285681</v>
      </c>
    </row>
    <row r="141" spans="2:114" x14ac:dyDescent="0.3">
      <c r="B141" s="900">
        <v>4</v>
      </c>
      <c r="C141" s="911">
        <f>'Arable Inputs'!$H$18</f>
        <v>9.4</v>
      </c>
      <c r="D141" s="760">
        <f>'Arable Inputs'!$H$25</f>
        <v>94.285714285714292</v>
      </c>
      <c r="E141" s="762">
        <f t="shared" si="330"/>
        <v>886.28571428571433</v>
      </c>
      <c r="F141" s="197">
        <f>'Arable NPV'!$D120</f>
        <v>330</v>
      </c>
      <c r="G141" s="197">
        <f t="shared" si="396"/>
        <v>1216.2857142857142</v>
      </c>
      <c r="H141" s="197">
        <f>'Arable NPV'!$F120</f>
        <v>566.71194999999989</v>
      </c>
      <c r="I141" s="197">
        <f>'Arable NPV'!$G120</f>
        <v>691.46913599999993</v>
      </c>
      <c r="J141" s="197">
        <f t="shared" si="331"/>
        <v>1258.1810859999998</v>
      </c>
      <c r="K141" s="197">
        <f t="shared" si="332"/>
        <v>-371.89537171428549</v>
      </c>
      <c r="L141" s="197">
        <f t="shared" si="333"/>
        <v>-41.895371714285602</v>
      </c>
      <c r="M141" s="196">
        <f t="shared" si="334"/>
        <v>811.07697923242893</v>
      </c>
      <c r="N141" s="197">
        <f t="shared" si="335"/>
        <v>301.99674758654265</v>
      </c>
      <c r="O141" s="197">
        <f t="shared" si="336"/>
        <v>1151.4139268088002</v>
      </c>
      <c r="P141" s="197">
        <f t="shared" si="337"/>
        <v>-340.3369475763713</v>
      </c>
      <c r="Q141" s="199">
        <f t="shared" si="338"/>
        <v>-38.340199989828754</v>
      </c>
      <c r="R141" s="196">
        <f t="shared" si="339"/>
        <v>3393.2435493952289</v>
      </c>
      <c r="S141" s="197">
        <f t="shared" si="339"/>
        <v>1263.4417471152447</v>
      </c>
      <c r="T141" s="197">
        <f t="shared" si="339"/>
        <v>4817.0863923733205</v>
      </c>
      <c r="U141" s="197">
        <f t="shared" si="339"/>
        <v>-1423.8428429780915</v>
      </c>
      <c r="V141" s="199">
        <f t="shared" si="339"/>
        <v>-160.40109586284731</v>
      </c>
      <c r="Y141" s="900">
        <v>4</v>
      </c>
      <c r="Z141" s="911">
        <f>'Arable Inputs'!$H$18</f>
        <v>9.4</v>
      </c>
      <c r="AA141" s="760">
        <f>'Arable Inputs'!$H$25</f>
        <v>94.285714285714292</v>
      </c>
      <c r="AB141" s="762">
        <f t="shared" si="340"/>
        <v>886.28571428571433</v>
      </c>
      <c r="AC141" s="197">
        <f>'Arable NPV'!$D120</f>
        <v>330</v>
      </c>
      <c r="AD141" s="197">
        <f t="shared" si="397"/>
        <v>1216.2857142857142</v>
      </c>
      <c r="AE141" s="197">
        <f>'Arable NPV'!$F120</f>
        <v>566.71194999999989</v>
      </c>
      <c r="AF141" s="197">
        <f>'Arable NPV'!$G120</f>
        <v>691.46913599999993</v>
      </c>
      <c r="AG141" s="197">
        <f t="shared" si="341"/>
        <v>1258.1810859999998</v>
      </c>
      <c r="AH141" s="197">
        <f t="shared" si="342"/>
        <v>-371.89537171428549</v>
      </c>
      <c r="AI141" s="197">
        <f t="shared" si="343"/>
        <v>-41.895371714285602</v>
      </c>
      <c r="AJ141" s="196">
        <f t="shared" si="344"/>
        <v>776.6491616509511</v>
      </c>
      <c r="AK141" s="197">
        <f t="shared" si="345"/>
        <v>289.17787933812008</v>
      </c>
      <c r="AL141" s="197">
        <f t="shared" si="346"/>
        <v>1102.5398129479177</v>
      </c>
      <c r="AM141" s="197">
        <f t="shared" si="347"/>
        <v>-325.89065129696655</v>
      </c>
      <c r="AN141" s="199">
        <f t="shared" si="348"/>
        <v>-36.712771958846581</v>
      </c>
      <c r="AO141" s="196">
        <f t="shared" si="349"/>
        <v>3322.6535506137889</v>
      </c>
      <c r="AP141" s="197">
        <f t="shared" si="350"/>
        <v>1237.1582369306661</v>
      </c>
      <c r="AQ141" s="197">
        <f t="shared" si="351"/>
        <v>4716.8760427129419</v>
      </c>
      <c r="AR141" s="197">
        <f t="shared" si="352"/>
        <v>-1394.2224920991521</v>
      </c>
      <c r="AS141" s="199">
        <f t="shared" si="353"/>
        <v>-157.06425516848628</v>
      </c>
      <c r="AV141" s="900">
        <v>4</v>
      </c>
      <c r="AW141" s="911">
        <f>'Arable Inputs'!$H$18</f>
        <v>9.4</v>
      </c>
      <c r="AX141" s="760">
        <f>'Arable Inputs'!$H$25</f>
        <v>94.285714285714292</v>
      </c>
      <c r="AY141" s="762">
        <f t="shared" si="354"/>
        <v>886.28571428571433</v>
      </c>
      <c r="AZ141" s="197">
        <f>'Arable NPV'!$D120</f>
        <v>330</v>
      </c>
      <c r="BA141" s="197">
        <f t="shared" si="398"/>
        <v>1216.2857142857142</v>
      </c>
      <c r="BB141" s="197">
        <f>'Arable NPV'!$F120</f>
        <v>566.71194999999989</v>
      </c>
      <c r="BC141" s="197">
        <f>'Arable NPV'!$G120</f>
        <v>691.46913599999993</v>
      </c>
      <c r="BD141" s="197">
        <f t="shared" si="355"/>
        <v>1258.1810859999998</v>
      </c>
      <c r="BE141" s="197">
        <f t="shared" si="356"/>
        <v>-371.89537171428549</v>
      </c>
      <c r="BF141" s="197">
        <f t="shared" si="357"/>
        <v>-41.895371714285602</v>
      </c>
      <c r="BG141" s="196">
        <f t="shared" si="358"/>
        <v>847.57008988133146</v>
      </c>
      <c r="BH141" s="197">
        <f t="shared" si="359"/>
        <v>315.58460793453833</v>
      </c>
      <c r="BI141" s="197">
        <f t="shared" si="360"/>
        <v>1203.219953745338</v>
      </c>
      <c r="BJ141" s="197">
        <f t="shared" si="361"/>
        <v>-355.64986386400659</v>
      </c>
      <c r="BK141" s="199">
        <f t="shared" si="362"/>
        <v>-40.065255929468385</v>
      </c>
      <c r="BL141" s="196">
        <f t="shared" si="363"/>
        <v>3467.3273412445919</v>
      </c>
      <c r="BM141" s="197">
        <f t="shared" si="364"/>
        <v>1291.0261376974543</v>
      </c>
      <c r="BN141" s="197">
        <f t="shared" si="365"/>
        <v>4922.256569644147</v>
      </c>
      <c r="BO141" s="197">
        <f t="shared" si="366"/>
        <v>-1454.9292283995549</v>
      </c>
      <c r="BP141" s="199">
        <f t="shared" si="367"/>
        <v>-163.90309070210094</v>
      </c>
      <c r="BS141" s="900">
        <v>4</v>
      </c>
      <c r="BT141" s="911">
        <f>'Arable Inputs'!$H$18</f>
        <v>9.4</v>
      </c>
      <c r="BU141" s="760">
        <f>'Arable Inputs'!$H$25</f>
        <v>94.285714285714292</v>
      </c>
      <c r="BV141" s="762">
        <f t="shared" si="368"/>
        <v>886.28571428571433</v>
      </c>
      <c r="BW141" s="197">
        <f>'Arable NPV'!$D120</f>
        <v>330</v>
      </c>
      <c r="BX141" s="197">
        <f t="shared" si="399"/>
        <v>1216.2857142857142</v>
      </c>
      <c r="BY141" s="197">
        <f>'Arable NPV'!$F120</f>
        <v>566.71194999999989</v>
      </c>
      <c r="BZ141" s="197">
        <f>'Arable NPV'!$G120</f>
        <v>691.46913599999993</v>
      </c>
      <c r="CA141" s="197">
        <f t="shared" si="369"/>
        <v>1258.1810859999998</v>
      </c>
      <c r="CB141" s="197">
        <f t="shared" si="370"/>
        <v>-371.89537171428549</v>
      </c>
      <c r="CC141" s="197">
        <f t="shared" si="371"/>
        <v>-41.895371714285602</v>
      </c>
      <c r="CD141" s="196">
        <f t="shared" si="372"/>
        <v>744.14257599034283</v>
      </c>
      <c r="CE141" s="197">
        <f t="shared" si="373"/>
        <v>277.07436340065954</v>
      </c>
      <c r="CF141" s="197">
        <f t="shared" si="374"/>
        <v>1056.3931013521226</v>
      </c>
      <c r="CG141" s="197">
        <f t="shared" si="375"/>
        <v>-312.25052536177969</v>
      </c>
      <c r="CH141" s="199">
        <f t="shared" si="376"/>
        <v>-35.176161961120243</v>
      </c>
      <c r="CI141" s="196">
        <f t="shared" si="377"/>
        <v>3255.3380192085701</v>
      </c>
      <c r="CJ141" s="197">
        <f t="shared" si="378"/>
        <v>1212.0939433223398</v>
      </c>
      <c r="CK141" s="197">
        <f t="shared" si="379"/>
        <v>4621.3141634646172</v>
      </c>
      <c r="CL141" s="197">
        <f t="shared" si="380"/>
        <v>-1365.9761442560473</v>
      </c>
      <c r="CM141" s="199">
        <f t="shared" si="381"/>
        <v>-153.88220093370805</v>
      </c>
      <c r="CP141" s="900">
        <v>4</v>
      </c>
      <c r="CQ141" s="911">
        <f>'Arable Inputs'!$H$18</f>
        <v>9.4</v>
      </c>
      <c r="CR141" s="760">
        <f>'Arable Inputs'!$H$25</f>
        <v>94.285714285714292</v>
      </c>
      <c r="CS141" s="762">
        <f t="shared" si="382"/>
        <v>886.28571428571433</v>
      </c>
      <c r="CT141" s="197">
        <f>'Arable NPV'!$D120</f>
        <v>330</v>
      </c>
      <c r="CU141" s="197">
        <f t="shared" si="400"/>
        <v>1216.2857142857142</v>
      </c>
      <c r="CV141" s="197">
        <f>'Arable NPV'!$F120</f>
        <v>566.71194999999989</v>
      </c>
      <c r="CW141" s="197">
        <f>'Arable NPV'!$G120</f>
        <v>691.46913599999993</v>
      </c>
      <c r="CX141" s="197">
        <f t="shared" si="383"/>
        <v>1258.1810859999998</v>
      </c>
      <c r="CY141" s="197">
        <f t="shared" si="384"/>
        <v>-371.89537171428549</v>
      </c>
      <c r="CZ141" s="197">
        <f t="shared" si="385"/>
        <v>-41.895371714285602</v>
      </c>
      <c r="DA141" s="196">
        <f t="shared" si="386"/>
        <v>886.28571428571433</v>
      </c>
      <c r="DB141" s="197">
        <f t="shared" si="387"/>
        <v>330</v>
      </c>
      <c r="DC141" s="197">
        <f t="shared" si="388"/>
        <v>1258.1810859999998</v>
      </c>
      <c r="DD141" s="197">
        <f t="shared" si="389"/>
        <v>-371.89537171428549</v>
      </c>
      <c r="DE141" s="199">
        <f t="shared" si="390"/>
        <v>-41.895371714285602</v>
      </c>
      <c r="DF141" s="196">
        <f t="shared" si="391"/>
        <v>3545.1428571428573</v>
      </c>
      <c r="DG141" s="197">
        <f t="shared" si="392"/>
        <v>1320</v>
      </c>
      <c r="DH141" s="197">
        <f t="shared" si="393"/>
        <v>5032.7243439999993</v>
      </c>
      <c r="DI141" s="197">
        <f t="shared" si="394"/>
        <v>-1487.581486857142</v>
      </c>
      <c r="DJ141" s="199">
        <f t="shared" si="395"/>
        <v>-167.58148685714241</v>
      </c>
    </row>
    <row r="142" spans="2:114" x14ac:dyDescent="0.3">
      <c r="B142" s="900">
        <v>5</v>
      </c>
      <c r="C142" s="911">
        <f>'Arable Inputs'!$H$18</f>
        <v>9.4</v>
      </c>
      <c r="D142" s="760">
        <f>'Arable Inputs'!$H$25</f>
        <v>94.285714285714292</v>
      </c>
      <c r="E142" s="762">
        <f t="shared" si="330"/>
        <v>886.28571428571433</v>
      </c>
      <c r="F142" s="197">
        <f>'Arable NPV'!$D121</f>
        <v>330</v>
      </c>
      <c r="G142" s="197">
        <f t="shared" si="396"/>
        <v>1216.2857142857142</v>
      </c>
      <c r="H142" s="197">
        <f>'Arable NPV'!$F121</f>
        <v>566.71194999999989</v>
      </c>
      <c r="I142" s="197">
        <f>'Arable NPV'!$G121</f>
        <v>691.46913599999993</v>
      </c>
      <c r="J142" s="197">
        <f t="shared" si="331"/>
        <v>1258.1810859999998</v>
      </c>
      <c r="K142" s="197">
        <f t="shared" si="332"/>
        <v>-371.89537171428549</v>
      </c>
      <c r="L142" s="197">
        <f t="shared" si="333"/>
        <v>-41.895371714285602</v>
      </c>
      <c r="M142" s="196">
        <f t="shared" si="334"/>
        <v>787.45337789556208</v>
      </c>
      <c r="N142" s="197">
        <f t="shared" si="335"/>
        <v>293.20072581217738</v>
      </c>
      <c r="O142" s="197">
        <f t="shared" si="336"/>
        <v>1117.8775988434954</v>
      </c>
      <c r="P142" s="197">
        <f t="shared" si="337"/>
        <v>-330.42422094793335</v>
      </c>
      <c r="Q142" s="199">
        <f t="shared" si="338"/>
        <v>-37.223495135756075</v>
      </c>
      <c r="R142" s="196">
        <f t="shared" si="339"/>
        <v>4180.6969272907909</v>
      </c>
      <c r="S142" s="197">
        <f t="shared" si="339"/>
        <v>1556.642472927422</v>
      </c>
      <c r="T142" s="197">
        <f t="shared" si="339"/>
        <v>5934.9639912168159</v>
      </c>
      <c r="U142" s="197">
        <f t="shared" si="339"/>
        <v>-1754.267063926025</v>
      </c>
      <c r="V142" s="199">
        <f t="shared" si="339"/>
        <v>-197.6245909986034</v>
      </c>
      <c r="Y142" s="900">
        <v>5</v>
      </c>
      <c r="Z142" s="911">
        <f>'Arable Inputs'!$H$18</f>
        <v>9.4</v>
      </c>
      <c r="AA142" s="760">
        <f>'Arable Inputs'!$H$25</f>
        <v>94.285714285714292</v>
      </c>
      <c r="AB142" s="762">
        <f t="shared" si="340"/>
        <v>886.28571428571433</v>
      </c>
      <c r="AC142" s="197">
        <f>'Arable NPV'!$D121</f>
        <v>330</v>
      </c>
      <c r="AD142" s="197">
        <f t="shared" si="397"/>
        <v>1216.2857142857142</v>
      </c>
      <c r="AE142" s="197">
        <f>'Arable NPV'!$F121</f>
        <v>566.71194999999989</v>
      </c>
      <c r="AF142" s="197">
        <f>'Arable NPV'!$G121</f>
        <v>691.46913599999993</v>
      </c>
      <c r="AG142" s="197">
        <f t="shared" si="341"/>
        <v>1258.1810859999998</v>
      </c>
      <c r="AH142" s="197">
        <f t="shared" si="342"/>
        <v>-371.89537171428549</v>
      </c>
      <c r="AI142" s="197">
        <f t="shared" si="343"/>
        <v>-41.895371714285602</v>
      </c>
      <c r="AJ142" s="196">
        <f t="shared" si="344"/>
        <v>743.2049393789008</v>
      </c>
      <c r="AK142" s="197">
        <f t="shared" si="345"/>
        <v>276.7252433857609</v>
      </c>
      <c r="AL142" s="197">
        <f t="shared" si="346"/>
        <v>1055.0620219597301</v>
      </c>
      <c r="AM142" s="197">
        <f t="shared" si="347"/>
        <v>-311.85708258082934</v>
      </c>
      <c r="AN142" s="199">
        <f t="shared" si="348"/>
        <v>-35.131839195068508</v>
      </c>
      <c r="AO142" s="196">
        <f t="shared" si="349"/>
        <v>4065.8584899926896</v>
      </c>
      <c r="AP142" s="197">
        <f t="shared" si="350"/>
        <v>1513.883480316427</v>
      </c>
      <c r="AQ142" s="197">
        <f t="shared" si="351"/>
        <v>5771.9380646726722</v>
      </c>
      <c r="AR142" s="197">
        <f t="shared" si="352"/>
        <v>-1706.0795746799813</v>
      </c>
      <c r="AS142" s="199">
        <f t="shared" si="353"/>
        <v>-192.19609436355478</v>
      </c>
      <c r="AV142" s="900">
        <v>5</v>
      </c>
      <c r="AW142" s="911">
        <f>'Arable Inputs'!$H$18</f>
        <v>9.4</v>
      </c>
      <c r="AX142" s="760">
        <f>'Arable Inputs'!$H$25</f>
        <v>94.285714285714292</v>
      </c>
      <c r="AY142" s="762">
        <f t="shared" si="354"/>
        <v>886.28571428571433</v>
      </c>
      <c r="AZ142" s="197">
        <f>'Arable NPV'!$D121</f>
        <v>330</v>
      </c>
      <c r="BA142" s="197">
        <f t="shared" si="398"/>
        <v>1216.2857142857142</v>
      </c>
      <c r="BB142" s="197">
        <f>'Arable NPV'!$F121</f>
        <v>566.71194999999989</v>
      </c>
      <c r="BC142" s="197">
        <f>'Arable NPV'!$G121</f>
        <v>691.46913599999993</v>
      </c>
      <c r="BD142" s="197">
        <f t="shared" si="355"/>
        <v>1258.1810859999998</v>
      </c>
      <c r="BE142" s="197">
        <f t="shared" si="356"/>
        <v>-371.89537171428549</v>
      </c>
      <c r="BF142" s="197">
        <f t="shared" si="357"/>
        <v>-41.895371714285602</v>
      </c>
      <c r="BG142" s="196">
        <f t="shared" si="358"/>
        <v>835.04442352840556</v>
      </c>
      <c r="BH142" s="197">
        <f t="shared" si="359"/>
        <v>310.92079599461908</v>
      </c>
      <c r="BI142" s="197">
        <f t="shared" si="360"/>
        <v>1185.4383780742248</v>
      </c>
      <c r="BJ142" s="197">
        <f t="shared" si="361"/>
        <v>-350.39395454581933</v>
      </c>
      <c r="BK142" s="199">
        <f t="shared" si="362"/>
        <v>-39.473158551200385</v>
      </c>
      <c r="BL142" s="196">
        <f t="shared" si="363"/>
        <v>4302.3717647729973</v>
      </c>
      <c r="BM142" s="197">
        <f t="shared" si="364"/>
        <v>1601.9469336920733</v>
      </c>
      <c r="BN142" s="197">
        <f t="shared" si="365"/>
        <v>6107.6949477183716</v>
      </c>
      <c r="BO142" s="197">
        <f t="shared" si="366"/>
        <v>-1805.3231829453741</v>
      </c>
      <c r="BP142" s="199">
        <f t="shared" si="367"/>
        <v>-203.37624925330132</v>
      </c>
      <c r="BS142" s="900">
        <v>5</v>
      </c>
      <c r="BT142" s="911">
        <f>'Arable Inputs'!$H$18</f>
        <v>9.4</v>
      </c>
      <c r="BU142" s="760">
        <f>'Arable Inputs'!$H$25</f>
        <v>94.285714285714292</v>
      </c>
      <c r="BV142" s="762">
        <f t="shared" si="368"/>
        <v>886.28571428571433</v>
      </c>
      <c r="BW142" s="197">
        <f>'Arable NPV'!$D121</f>
        <v>330</v>
      </c>
      <c r="BX142" s="197">
        <f t="shared" si="399"/>
        <v>1216.2857142857142</v>
      </c>
      <c r="BY142" s="197">
        <f>'Arable NPV'!$F121</f>
        <v>566.71194999999989</v>
      </c>
      <c r="BZ142" s="197">
        <f>'Arable NPV'!$G121</f>
        <v>691.46913599999993</v>
      </c>
      <c r="CA142" s="197">
        <f t="shared" si="369"/>
        <v>1258.1810859999998</v>
      </c>
      <c r="CB142" s="197">
        <f t="shared" si="370"/>
        <v>-371.89537171428549</v>
      </c>
      <c r="CC142" s="197">
        <f t="shared" si="371"/>
        <v>-41.895371714285602</v>
      </c>
      <c r="CD142" s="196">
        <f t="shared" si="372"/>
        <v>702.02129810409701</v>
      </c>
      <c r="CE142" s="197">
        <f t="shared" si="373"/>
        <v>261.39090886854672</v>
      </c>
      <c r="CF142" s="197">
        <f t="shared" si="374"/>
        <v>996.59726542653061</v>
      </c>
      <c r="CG142" s="197">
        <f t="shared" si="375"/>
        <v>-294.57596732243366</v>
      </c>
      <c r="CH142" s="199">
        <f t="shared" si="376"/>
        <v>-33.185058453887024</v>
      </c>
      <c r="CI142" s="196">
        <f t="shared" si="377"/>
        <v>3957.3593173126674</v>
      </c>
      <c r="CJ142" s="197">
        <f t="shared" si="378"/>
        <v>1473.4848521908866</v>
      </c>
      <c r="CK142" s="197">
        <f t="shared" si="379"/>
        <v>5617.9114288911478</v>
      </c>
      <c r="CL142" s="197">
        <f t="shared" si="380"/>
        <v>-1660.5521115784809</v>
      </c>
      <c r="CM142" s="199">
        <f t="shared" si="381"/>
        <v>-187.06725938759507</v>
      </c>
      <c r="CP142" s="900">
        <v>5</v>
      </c>
      <c r="CQ142" s="911">
        <f>'Arable Inputs'!$H$18</f>
        <v>9.4</v>
      </c>
      <c r="CR142" s="760">
        <f>'Arable Inputs'!$H$25</f>
        <v>94.285714285714292</v>
      </c>
      <c r="CS142" s="762">
        <f t="shared" si="382"/>
        <v>886.28571428571433</v>
      </c>
      <c r="CT142" s="197">
        <f>'Arable NPV'!$D121</f>
        <v>330</v>
      </c>
      <c r="CU142" s="197">
        <f t="shared" si="400"/>
        <v>1216.2857142857142</v>
      </c>
      <c r="CV142" s="197">
        <f>'Arable NPV'!$F121</f>
        <v>566.71194999999989</v>
      </c>
      <c r="CW142" s="197">
        <f>'Arable NPV'!$G121</f>
        <v>691.46913599999993</v>
      </c>
      <c r="CX142" s="197">
        <f t="shared" si="383"/>
        <v>1258.1810859999998</v>
      </c>
      <c r="CY142" s="197">
        <f t="shared" si="384"/>
        <v>-371.89537171428549</v>
      </c>
      <c r="CZ142" s="197">
        <f t="shared" si="385"/>
        <v>-41.895371714285602</v>
      </c>
      <c r="DA142" s="196">
        <f t="shared" si="386"/>
        <v>886.28571428571433</v>
      </c>
      <c r="DB142" s="197">
        <f t="shared" si="387"/>
        <v>330</v>
      </c>
      <c r="DC142" s="197">
        <f t="shared" si="388"/>
        <v>1258.1810859999998</v>
      </c>
      <c r="DD142" s="197">
        <f t="shared" si="389"/>
        <v>-371.89537171428549</v>
      </c>
      <c r="DE142" s="199">
        <f t="shared" si="390"/>
        <v>-41.895371714285602</v>
      </c>
      <c r="DF142" s="196">
        <f t="shared" si="391"/>
        <v>4431.4285714285716</v>
      </c>
      <c r="DG142" s="197">
        <f t="shared" si="392"/>
        <v>1650</v>
      </c>
      <c r="DH142" s="197">
        <f t="shared" si="393"/>
        <v>6290.9054299999989</v>
      </c>
      <c r="DI142" s="197">
        <f t="shared" si="394"/>
        <v>-1859.4768585714273</v>
      </c>
      <c r="DJ142" s="199">
        <f t="shared" si="395"/>
        <v>-209.47685857142801</v>
      </c>
    </row>
    <row r="143" spans="2:114" x14ac:dyDescent="0.3">
      <c r="B143" s="900">
        <v>6</v>
      </c>
      <c r="C143" s="911">
        <f>'Arable Inputs'!$H$18</f>
        <v>9.4</v>
      </c>
      <c r="D143" s="760">
        <f>'Arable Inputs'!$H$25</f>
        <v>94.285714285714292</v>
      </c>
      <c r="E143" s="762">
        <f t="shared" si="330"/>
        <v>886.28571428571433</v>
      </c>
      <c r="F143" s="197">
        <f>'Arable NPV'!$D122</f>
        <v>330</v>
      </c>
      <c r="G143" s="197">
        <f t="shared" si="396"/>
        <v>1216.2857142857142</v>
      </c>
      <c r="H143" s="197">
        <f>'Arable NPV'!$F122</f>
        <v>566.71194999999989</v>
      </c>
      <c r="I143" s="197">
        <f>'Arable NPV'!$G122</f>
        <v>691.46913599999993</v>
      </c>
      <c r="J143" s="197">
        <f t="shared" si="331"/>
        <v>1258.1810859999998</v>
      </c>
      <c r="K143" s="197">
        <f t="shared" si="332"/>
        <v>-371.89537171428549</v>
      </c>
      <c r="L143" s="197">
        <f t="shared" si="333"/>
        <v>-41.895371714285602</v>
      </c>
      <c r="M143" s="196">
        <f t="shared" si="334"/>
        <v>764.51784261705063</v>
      </c>
      <c r="N143" s="197">
        <f t="shared" si="335"/>
        <v>284.66089884677416</v>
      </c>
      <c r="O143" s="197">
        <f t="shared" si="336"/>
        <v>1085.3180571296073</v>
      </c>
      <c r="P143" s="197">
        <f t="shared" si="337"/>
        <v>-320.80021451255664</v>
      </c>
      <c r="Q143" s="199">
        <f t="shared" si="338"/>
        <v>-36.139315665782597</v>
      </c>
      <c r="R143" s="196">
        <f t="shared" si="339"/>
        <v>4945.2147699078414</v>
      </c>
      <c r="S143" s="197">
        <f t="shared" si="339"/>
        <v>1841.3033717741962</v>
      </c>
      <c r="T143" s="197">
        <f t="shared" si="339"/>
        <v>7020.2820483464229</v>
      </c>
      <c r="U143" s="197">
        <f t="shared" si="339"/>
        <v>-2075.0672784385815</v>
      </c>
      <c r="V143" s="199">
        <f t="shared" si="339"/>
        <v>-233.76390666438598</v>
      </c>
      <c r="Y143" s="900">
        <v>6</v>
      </c>
      <c r="Z143" s="911">
        <f>'Arable Inputs'!$H$18</f>
        <v>9.4</v>
      </c>
      <c r="AA143" s="760">
        <f>'Arable Inputs'!$H$25</f>
        <v>94.285714285714292</v>
      </c>
      <c r="AB143" s="762">
        <f t="shared" si="340"/>
        <v>886.28571428571433</v>
      </c>
      <c r="AC143" s="197">
        <f>'Arable NPV'!$D122</f>
        <v>330</v>
      </c>
      <c r="AD143" s="197">
        <f t="shared" si="397"/>
        <v>1216.2857142857142</v>
      </c>
      <c r="AE143" s="197">
        <f>'Arable NPV'!$F122</f>
        <v>566.71194999999989</v>
      </c>
      <c r="AF143" s="197">
        <f>'Arable NPV'!$G122</f>
        <v>691.46913599999993</v>
      </c>
      <c r="AG143" s="197">
        <f t="shared" si="341"/>
        <v>1258.1810859999998</v>
      </c>
      <c r="AH143" s="197">
        <f t="shared" si="342"/>
        <v>-371.89537171428549</v>
      </c>
      <c r="AI143" s="197">
        <f t="shared" si="343"/>
        <v>-41.895371714285602</v>
      </c>
      <c r="AJ143" s="196">
        <f t="shared" si="344"/>
        <v>711.20089892717783</v>
      </c>
      <c r="AK143" s="197">
        <f t="shared" si="345"/>
        <v>264.80884534522573</v>
      </c>
      <c r="AL143" s="197">
        <f t="shared" si="346"/>
        <v>1009.6287291480671</v>
      </c>
      <c r="AM143" s="197">
        <f t="shared" si="347"/>
        <v>-298.42783022088929</v>
      </c>
      <c r="AN143" s="199">
        <f t="shared" si="348"/>
        <v>-33.618984875663642</v>
      </c>
      <c r="AO143" s="196">
        <f t="shared" si="349"/>
        <v>4777.0593889198672</v>
      </c>
      <c r="AP143" s="197">
        <f t="shared" si="350"/>
        <v>1778.6923256616528</v>
      </c>
      <c r="AQ143" s="197">
        <f t="shared" si="351"/>
        <v>6781.5667938207389</v>
      </c>
      <c r="AR143" s="197">
        <f t="shared" si="352"/>
        <v>-2004.5074049008706</v>
      </c>
      <c r="AS143" s="199">
        <f t="shared" si="353"/>
        <v>-225.81507923921842</v>
      </c>
      <c r="AV143" s="900">
        <v>6</v>
      </c>
      <c r="AW143" s="911">
        <f>'Arable Inputs'!$H$18</f>
        <v>9.4</v>
      </c>
      <c r="AX143" s="760">
        <f>'Arable Inputs'!$H$25</f>
        <v>94.285714285714292</v>
      </c>
      <c r="AY143" s="762">
        <f t="shared" si="354"/>
        <v>886.28571428571433</v>
      </c>
      <c r="AZ143" s="197">
        <f>'Arable NPV'!$D122</f>
        <v>330</v>
      </c>
      <c r="BA143" s="197">
        <f t="shared" si="398"/>
        <v>1216.2857142857142</v>
      </c>
      <c r="BB143" s="197">
        <f>'Arable NPV'!$F122</f>
        <v>566.71194999999989</v>
      </c>
      <c r="BC143" s="197">
        <f>'Arable NPV'!$G122</f>
        <v>691.46913599999993</v>
      </c>
      <c r="BD143" s="197">
        <f t="shared" si="355"/>
        <v>1258.1810859999998</v>
      </c>
      <c r="BE143" s="197">
        <f t="shared" si="356"/>
        <v>-371.89537171428549</v>
      </c>
      <c r="BF143" s="197">
        <f t="shared" si="357"/>
        <v>-41.895371714285602</v>
      </c>
      <c r="BG143" s="196">
        <f t="shared" si="358"/>
        <v>822.70386554522725</v>
      </c>
      <c r="BH143" s="197">
        <f t="shared" si="359"/>
        <v>306.32590738386119</v>
      </c>
      <c r="BI143" s="197">
        <f t="shared" si="360"/>
        <v>1167.9195843095813</v>
      </c>
      <c r="BJ143" s="197">
        <f t="shared" si="361"/>
        <v>-345.21571876435411</v>
      </c>
      <c r="BK143" s="199">
        <f t="shared" si="362"/>
        <v>-38.889811380493001</v>
      </c>
      <c r="BL143" s="196">
        <f t="shared" si="363"/>
        <v>5125.0756303182243</v>
      </c>
      <c r="BM143" s="197">
        <f t="shared" si="364"/>
        <v>1908.2728410759346</v>
      </c>
      <c r="BN143" s="197">
        <f t="shared" si="365"/>
        <v>7275.6145320279529</v>
      </c>
      <c r="BO143" s="197">
        <f t="shared" si="366"/>
        <v>-2150.5389017097282</v>
      </c>
      <c r="BP143" s="199">
        <f t="shared" si="367"/>
        <v>-242.26606063379432</v>
      </c>
      <c r="BS143" s="900">
        <v>6</v>
      </c>
      <c r="BT143" s="911">
        <f>'Arable Inputs'!$H$18</f>
        <v>9.4</v>
      </c>
      <c r="BU143" s="760">
        <f>'Arable Inputs'!$H$25</f>
        <v>94.285714285714292</v>
      </c>
      <c r="BV143" s="762">
        <f t="shared" si="368"/>
        <v>886.28571428571433</v>
      </c>
      <c r="BW143" s="197">
        <f>'Arable NPV'!$D122</f>
        <v>330</v>
      </c>
      <c r="BX143" s="197">
        <f t="shared" si="399"/>
        <v>1216.2857142857142</v>
      </c>
      <c r="BY143" s="197">
        <f>'Arable NPV'!$F122</f>
        <v>566.71194999999989</v>
      </c>
      <c r="BZ143" s="197">
        <f>'Arable NPV'!$G122</f>
        <v>691.46913599999993</v>
      </c>
      <c r="CA143" s="197">
        <f t="shared" si="369"/>
        <v>1258.1810859999998</v>
      </c>
      <c r="CB143" s="197">
        <f t="shared" si="370"/>
        <v>-371.89537171428549</v>
      </c>
      <c r="CC143" s="197">
        <f t="shared" si="371"/>
        <v>-41.895371714285602</v>
      </c>
      <c r="CD143" s="196">
        <f t="shared" si="372"/>
        <v>662.28424349443105</v>
      </c>
      <c r="CE143" s="197">
        <f t="shared" si="373"/>
        <v>246.59519704579878</v>
      </c>
      <c r="CF143" s="197">
        <f t="shared" si="374"/>
        <v>940.18609945899107</v>
      </c>
      <c r="CG143" s="197">
        <f t="shared" si="375"/>
        <v>-277.90185596456001</v>
      </c>
      <c r="CH143" s="199">
        <f t="shared" si="376"/>
        <v>-31.30665891876134</v>
      </c>
      <c r="CI143" s="196">
        <f t="shared" si="377"/>
        <v>4619.6435608070988</v>
      </c>
      <c r="CJ143" s="197">
        <f t="shared" si="378"/>
        <v>1720.0800492366855</v>
      </c>
      <c r="CK143" s="197">
        <f t="shared" si="379"/>
        <v>6558.0975283501393</v>
      </c>
      <c r="CL143" s="197">
        <f t="shared" si="380"/>
        <v>-1938.453967543041</v>
      </c>
      <c r="CM143" s="199">
        <f t="shared" si="381"/>
        <v>-218.37391830635642</v>
      </c>
      <c r="CP143" s="900">
        <v>6</v>
      </c>
      <c r="CQ143" s="911">
        <f>'Arable Inputs'!$H$18</f>
        <v>9.4</v>
      </c>
      <c r="CR143" s="760">
        <f>'Arable Inputs'!$H$25</f>
        <v>94.285714285714292</v>
      </c>
      <c r="CS143" s="762">
        <f t="shared" si="382"/>
        <v>886.28571428571433</v>
      </c>
      <c r="CT143" s="197">
        <f>'Arable NPV'!$D122</f>
        <v>330</v>
      </c>
      <c r="CU143" s="197">
        <f t="shared" si="400"/>
        <v>1216.2857142857142</v>
      </c>
      <c r="CV143" s="197">
        <f>'Arable NPV'!$F122</f>
        <v>566.71194999999989</v>
      </c>
      <c r="CW143" s="197">
        <f>'Arable NPV'!$G122</f>
        <v>691.46913599999993</v>
      </c>
      <c r="CX143" s="197">
        <f t="shared" si="383"/>
        <v>1258.1810859999998</v>
      </c>
      <c r="CY143" s="197">
        <f t="shared" si="384"/>
        <v>-371.89537171428549</v>
      </c>
      <c r="CZ143" s="197">
        <f t="shared" si="385"/>
        <v>-41.895371714285602</v>
      </c>
      <c r="DA143" s="196">
        <f t="shared" si="386"/>
        <v>886.28571428571433</v>
      </c>
      <c r="DB143" s="197">
        <f t="shared" si="387"/>
        <v>330</v>
      </c>
      <c r="DC143" s="197">
        <f t="shared" si="388"/>
        <v>1258.1810859999998</v>
      </c>
      <c r="DD143" s="197">
        <f t="shared" si="389"/>
        <v>-371.89537171428549</v>
      </c>
      <c r="DE143" s="199">
        <f t="shared" si="390"/>
        <v>-41.895371714285602</v>
      </c>
      <c r="DF143" s="196">
        <f t="shared" si="391"/>
        <v>5317.7142857142862</v>
      </c>
      <c r="DG143" s="197">
        <f t="shared" si="392"/>
        <v>1980</v>
      </c>
      <c r="DH143" s="197">
        <f t="shared" si="393"/>
        <v>7549.0865159999985</v>
      </c>
      <c r="DI143" s="197">
        <f t="shared" si="394"/>
        <v>-2231.3722302857127</v>
      </c>
      <c r="DJ143" s="199">
        <f t="shared" si="395"/>
        <v>-251.37223028571361</v>
      </c>
    </row>
    <row r="144" spans="2:114" x14ac:dyDescent="0.3">
      <c r="B144" s="900">
        <v>7</v>
      </c>
      <c r="C144" s="911">
        <f>'Arable Inputs'!$H$18</f>
        <v>9.4</v>
      </c>
      <c r="D144" s="760">
        <f>'Arable Inputs'!$H$25</f>
        <v>94.285714285714292</v>
      </c>
      <c r="E144" s="762">
        <f t="shared" si="330"/>
        <v>886.28571428571433</v>
      </c>
      <c r="F144" s="197">
        <f>'Arable NPV'!$D123</f>
        <v>330</v>
      </c>
      <c r="G144" s="197">
        <f t="shared" si="396"/>
        <v>1216.2857142857142</v>
      </c>
      <c r="H144" s="197">
        <f>'Arable NPV'!$F123</f>
        <v>566.71194999999989</v>
      </c>
      <c r="I144" s="197">
        <f>'Arable NPV'!$G123</f>
        <v>691.46913599999993</v>
      </c>
      <c r="J144" s="197">
        <f t="shared" si="331"/>
        <v>1258.1810859999998</v>
      </c>
      <c r="K144" s="197">
        <f t="shared" si="332"/>
        <v>-371.89537171428549</v>
      </c>
      <c r="L144" s="197">
        <f t="shared" si="333"/>
        <v>-41.895371714285602</v>
      </c>
      <c r="M144" s="196">
        <f t="shared" si="334"/>
        <v>742.25033263791317</v>
      </c>
      <c r="N144" s="197">
        <f t="shared" si="335"/>
        <v>276.36980470560593</v>
      </c>
      <c r="O144" s="197">
        <f t="shared" si="336"/>
        <v>1053.7068515821429</v>
      </c>
      <c r="P144" s="197">
        <f t="shared" si="337"/>
        <v>-311.45651894422974</v>
      </c>
      <c r="Q144" s="199">
        <f t="shared" si="338"/>
        <v>-35.086714238623877</v>
      </c>
      <c r="R144" s="196">
        <f t="shared" si="339"/>
        <v>5687.4651025457542</v>
      </c>
      <c r="S144" s="197">
        <f t="shared" si="339"/>
        <v>2117.6731764798024</v>
      </c>
      <c r="T144" s="197">
        <f t="shared" si="339"/>
        <v>8073.9888999285658</v>
      </c>
      <c r="U144" s="197">
        <f t="shared" si="339"/>
        <v>-2386.5237973828112</v>
      </c>
      <c r="V144" s="199">
        <f t="shared" si="339"/>
        <v>-268.85062090300988</v>
      </c>
      <c r="Y144" s="900">
        <v>7</v>
      </c>
      <c r="Z144" s="911">
        <f>'Arable Inputs'!$H$18</f>
        <v>9.4</v>
      </c>
      <c r="AA144" s="760">
        <f>'Arable Inputs'!$H$25</f>
        <v>94.285714285714292</v>
      </c>
      <c r="AB144" s="762">
        <f t="shared" si="340"/>
        <v>886.28571428571433</v>
      </c>
      <c r="AC144" s="197">
        <f>'Arable NPV'!$D123</f>
        <v>330</v>
      </c>
      <c r="AD144" s="197">
        <f t="shared" si="397"/>
        <v>1216.2857142857142</v>
      </c>
      <c r="AE144" s="197">
        <f>'Arable NPV'!$F123</f>
        <v>566.71194999999989</v>
      </c>
      <c r="AF144" s="197">
        <f>'Arable NPV'!$G123</f>
        <v>691.46913599999993</v>
      </c>
      <c r="AG144" s="197">
        <f t="shared" si="341"/>
        <v>1258.1810859999998</v>
      </c>
      <c r="AH144" s="197">
        <f t="shared" si="342"/>
        <v>-371.89537171428549</v>
      </c>
      <c r="AI144" s="197">
        <f t="shared" si="343"/>
        <v>-41.895371714285602</v>
      </c>
      <c r="AJ144" s="196">
        <f t="shared" si="344"/>
        <v>680.575022896821</v>
      </c>
      <c r="AK144" s="197">
        <f t="shared" si="345"/>
        <v>253.40559363179506</v>
      </c>
      <c r="AL144" s="197">
        <f t="shared" si="346"/>
        <v>966.1518939215955</v>
      </c>
      <c r="AM144" s="197">
        <f t="shared" si="347"/>
        <v>-285.5768710247745</v>
      </c>
      <c r="AN144" s="199">
        <f t="shared" si="348"/>
        <v>-32.171277392979569</v>
      </c>
      <c r="AO144" s="196">
        <f t="shared" si="349"/>
        <v>5457.634411816688</v>
      </c>
      <c r="AP144" s="197">
        <f t="shared" si="350"/>
        <v>2032.0979192934478</v>
      </c>
      <c r="AQ144" s="197">
        <f t="shared" si="351"/>
        <v>7747.7186877423346</v>
      </c>
      <c r="AR144" s="197">
        <f t="shared" si="352"/>
        <v>-2290.0842759256452</v>
      </c>
      <c r="AS144" s="199">
        <f t="shared" si="353"/>
        <v>-257.98635663219801</v>
      </c>
      <c r="AV144" s="900">
        <v>7</v>
      </c>
      <c r="AW144" s="911">
        <f>'Arable Inputs'!$H$18</f>
        <v>9.4</v>
      </c>
      <c r="AX144" s="760">
        <f>'Arable Inputs'!$H$25</f>
        <v>94.285714285714292</v>
      </c>
      <c r="AY144" s="762">
        <f t="shared" si="354"/>
        <v>886.28571428571433</v>
      </c>
      <c r="AZ144" s="197">
        <f>'Arable NPV'!$D123</f>
        <v>330</v>
      </c>
      <c r="BA144" s="197">
        <f t="shared" si="398"/>
        <v>1216.2857142857142</v>
      </c>
      <c r="BB144" s="197">
        <f>'Arable NPV'!$F123</f>
        <v>566.71194999999989</v>
      </c>
      <c r="BC144" s="197">
        <f>'Arable NPV'!$G123</f>
        <v>691.46913599999993</v>
      </c>
      <c r="BD144" s="197">
        <f t="shared" si="355"/>
        <v>1258.1810859999998</v>
      </c>
      <c r="BE144" s="197">
        <f t="shared" si="356"/>
        <v>-371.89537171428549</v>
      </c>
      <c r="BF144" s="197">
        <f t="shared" si="357"/>
        <v>-41.895371714285602</v>
      </c>
      <c r="BG144" s="196">
        <f t="shared" si="358"/>
        <v>810.5456803401255</v>
      </c>
      <c r="BH144" s="197">
        <f t="shared" si="359"/>
        <v>301.79892353089781</v>
      </c>
      <c r="BI144" s="197">
        <f t="shared" si="360"/>
        <v>1150.6596889749571</v>
      </c>
      <c r="BJ144" s="197">
        <f t="shared" si="361"/>
        <v>-340.11400863483169</v>
      </c>
      <c r="BK144" s="199">
        <f t="shared" si="362"/>
        <v>-38.315085103933995</v>
      </c>
      <c r="BL144" s="196">
        <f t="shared" si="363"/>
        <v>5935.62131065835</v>
      </c>
      <c r="BM144" s="197">
        <f t="shared" si="364"/>
        <v>2210.0717646068324</v>
      </c>
      <c r="BN144" s="197">
        <f t="shared" si="365"/>
        <v>8426.2742210029101</v>
      </c>
      <c r="BO144" s="197">
        <f t="shared" si="366"/>
        <v>-2490.65291034456</v>
      </c>
      <c r="BP144" s="199">
        <f t="shared" si="367"/>
        <v>-280.58114573772832</v>
      </c>
      <c r="BS144" s="900">
        <v>7</v>
      </c>
      <c r="BT144" s="911">
        <f>'Arable Inputs'!$H$18</f>
        <v>9.4</v>
      </c>
      <c r="BU144" s="760">
        <f>'Arable Inputs'!$H$25</f>
        <v>94.285714285714292</v>
      </c>
      <c r="BV144" s="762">
        <f t="shared" si="368"/>
        <v>886.28571428571433</v>
      </c>
      <c r="BW144" s="197">
        <f>'Arable NPV'!$D123</f>
        <v>330</v>
      </c>
      <c r="BX144" s="197">
        <f t="shared" si="399"/>
        <v>1216.2857142857142</v>
      </c>
      <c r="BY144" s="197">
        <f>'Arable NPV'!$F123</f>
        <v>566.71194999999989</v>
      </c>
      <c r="BZ144" s="197">
        <f>'Arable NPV'!$G123</f>
        <v>691.46913599999993</v>
      </c>
      <c r="CA144" s="197">
        <f t="shared" si="369"/>
        <v>1258.1810859999998</v>
      </c>
      <c r="CB144" s="197">
        <f t="shared" si="370"/>
        <v>-371.89537171428549</v>
      </c>
      <c r="CC144" s="197">
        <f t="shared" si="371"/>
        <v>-41.895371714285602</v>
      </c>
      <c r="CD144" s="196">
        <f t="shared" si="372"/>
        <v>624.79645612682168</v>
      </c>
      <c r="CE144" s="197">
        <f t="shared" si="373"/>
        <v>232.63697834509318</v>
      </c>
      <c r="CF144" s="197">
        <f t="shared" si="374"/>
        <v>886.96801835753865</v>
      </c>
      <c r="CG144" s="197">
        <f t="shared" si="375"/>
        <v>-262.17156223071697</v>
      </c>
      <c r="CH144" s="199">
        <f t="shared" si="376"/>
        <v>-29.534583885623906</v>
      </c>
      <c r="CI144" s="196">
        <f t="shared" si="377"/>
        <v>5244.4400169339206</v>
      </c>
      <c r="CJ144" s="197">
        <f t="shared" si="378"/>
        <v>1952.7170275817787</v>
      </c>
      <c r="CK144" s="197">
        <f t="shared" si="379"/>
        <v>7445.0655467076776</v>
      </c>
      <c r="CL144" s="197">
        <f t="shared" si="380"/>
        <v>-2200.625529773758</v>
      </c>
      <c r="CM144" s="199">
        <f t="shared" si="381"/>
        <v>-247.90850219198032</v>
      </c>
      <c r="CP144" s="900">
        <v>7</v>
      </c>
      <c r="CQ144" s="911">
        <f>'Arable Inputs'!$H$18</f>
        <v>9.4</v>
      </c>
      <c r="CR144" s="760">
        <f>'Arable Inputs'!$H$25</f>
        <v>94.285714285714292</v>
      </c>
      <c r="CS144" s="762">
        <f t="shared" si="382"/>
        <v>886.28571428571433</v>
      </c>
      <c r="CT144" s="197">
        <f>'Arable NPV'!$D123</f>
        <v>330</v>
      </c>
      <c r="CU144" s="197">
        <f t="shared" si="400"/>
        <v>1216.2857142857142</v>
      </c>
      <c r="CV144" s="197">
        <f>'Arable NPV'!$F123</f>
        <v>566.71194999999989</v>
      </c>
      <c r="CW144" s="197">
        <f>'Arable NPV'!$G123</f>
        <v>691.46913599999993</v>
      </c>
      <c r="CX144" s="197">
        <f t="shared" si="383"/>
        <v>1258.1810859999998</v>
      </c>
      <c r="CY144" s="197">
        <f t="shared" si="384"/>
        <v>-371.89537171428549</v>
      </c>
      <c r="CZ144" s="197">
        <f t="shared" si="385"/>
        <v>-41.895371714285602</v>
      </c>
      <c r="DA144" s="196">
        <f t="shared" si="386"/>
        <v>886.28571428571433</v>
      </c>
      <c r="DB144" s="197">
        <f t="shared" si="387"/>
        <v>330</v>
      </c>
      <c r="DC144" s="197">
        <f t="shared" si="388"/>
        <v>1258.1810859999998</v>
      </c>
      <c r="DD144" s="197">
        <f t="shared" si="389"/>
        <v>-371.89537171428549</v>
      </c>
      <c r="DE144" s="199">
        <f t="shared" si="390"/>
        <v>-41.895371714285602</v>
      </c>
      <c r="DF144" s="196">
        <f t="shared" si="391"/>
        <v>6204.0000000000009</v>
      </c>
      <c r="DG144" s="197">
        <f t="shared" si="392"/>
        <v>2310</v>
      </c>
      <c r="DH144" s="197">
        <f t="shared" si="393"/>
        <v>8807.2676019999981</v>
      </c>
      <c r="DI144" s="197">
        <f t="shared" si="394"/>
        <v>-2603.2676019999981</v>
      </c>
      <c r="DJ144" s="199">
        <f t="shared" si="395"/>
        <v>-293.26760199999921</v>
      </c>
    </row>
    <row r="145" spans="2:114" x14ac:dyDescent="0.3">
      <c r="B145" s="900">
        <v>8</v>
      </c>
      <c r="C145" s="911">
        <f>'Arable Inputs'!$H$18</f>
        <v>9.4</v>
      </c>
      <c r="D145" s="760">
        <f>'Arable Inputs'!$H$25</f>
        <v>94.285714285714292</v>
      </c>
      <c r="E145" s="762">
        <f t="shared" si="330"/>
        <v>886.28571428571433</v>
      </c>
      <c r="F145" s="197">
        <f>'Arable NPV'!$D124</f>
        <v>330</v>
      </c>
      <c r="G145" s="197">
        <f t="shared" si="396"/>
        <v>1216.2857142857142</v>
      </c>
      <c r="H145" s="197">
        <f>'Arable NPV'!$F124</f>
        <v>566.71194999999989</v>
      </c>
      <c r="I145" s="197">
        <f>'Arable NPV'!$G124</f>
        <v>691.46913599999993</v>
      </c>
      <c r="J145" s="197">
        <f t="shared" si="331"/>
        <v>1258.1810859999998</v>
      </c>
      <c r="K145" s="197">
        <f t="shared" si="332"/>
        <v>-371.89537171428549</v>
      </c>
      <c r="L145" s="197">
        <f t="shared" si="333"/>
        <v>-41.895371714285602</v>
      </c>
      <c r="M145" s="196">
        <f t="shared" si="334"/>
        <v>720.63139091059531</v>
      </c>
      <c r="N145" s="197">
        <f t="shared" si="335"/>
        <v>268.32019874330672</v>
      </c>
      <c r="O145" s="197">
        <f t="shared" si="336"/>
        <v>1023.016360759362</v>
      </c>
      <c r="P145" s="197">
        <f t="shared" si="337"/>
        <v>-302.38496984876673</v>
      </c>
      <c r="Q145" s="199">
        <f t="shared" si="338"/>
        <v>-34.064771105460075</v>
      </c>
      <c r="R145" s="196">
        <f t="shared" si="339"/>
        <v>6408.0964934563499</v>
      </c>
      <c r="S145" s="197">
        <f t="shared" si="339"/>
        <v>2385.9933752231091</v>
      </c>
      <c r="T145" s="197">
        <f t="shared" si="339"/>
        <v>9097.0052606879271</v>
      </c>
      <c r="U145" s="197">
        <f t="shared" si="339"/>
        <v>-2688.9087672315777</v>
      </c>
      <c r="V145" s="199">
        <f t="shared" si="339"/>
        <v>-302.91539200846995</v>
      </c>
      <c r="Y145" s="900">
        <v>8</v>
      </c>
      <c r="Z145" s="911">
        <f>'Arable Inputs'!$H$18</f>
        <v>9.4</v>
      </c>
      <c r="AA145" s="760">
        <f>'Arable Inputs'!$H$25</f>
        <v>94.285714285714292</v>
      </c>
      <c r="AB145" s="762">
        <f t="shared" si="340"/>
        <v>886.28571428571433</v>
      </c>
      <c r="AC145" s="197">
        <f>'Arable NPV'!$D124</f>
        <v>330</v>
      </c>
      <c r="AD145" s="197">
        <f t="shared" si="397"/>
        <v>1216.2857142857142</v>
      </c>
      <c r="AE145" s="197">
        <f>'Arable NPV'!$F124</f>
        <v>566.71194999999989</v>
      </c>
      <c r="AF145" s="197">
        <f>'Arable NPV'!$G124</f>
        <v>691.46913599999993</v>
      </c>
      <c r="AG145" s="197">
        <f t="shared" si="341"/>
        <v>1258.1810859999998</v>
      </c>
      <c r="AH145" s="197">
        <f t="shared" si="342"/>
        <v>-371.89537171428549</v>
      </c>
      <c r="AI145" s="197">
        <f t="shared" si="343"/>
        <v>-41.895371714285602</v>
      </c>
      <c r="AJ145" s="196">
        <f t="shared" si="344"/>
        <v>651.26796449456549</v>
      </c>
      <c r="AK145" s="197">
        <f t="shared" si="345"/>
        <v>242.49339103521055</v>
      </c>
      <c r="AL145" s="197">
        <f t="shared" si="346"/>
        <v>924.54726691061762</v>
      </c>
      <c r="AM145" s="197">
        <f t="shared" si="347"/>
        <v>-273.27930241605213</v>
      </c>
      <c r="AN145" s="199">
        <f t="shared" si="348"/>
        <v>-30.785911380841689</v>
      </c>
      <c r="AO145" s="196">
        <f t="shared" si="349"/>
        <v>6108.9023763112536</v>
      </c>
      <c r="AP145" s="197">
        <f t="shared" si="350"/>
        <v>2274.5913103286584</v>
      </c>
      <c r="AQ145" s="197">
        <f t="shared" si="351"/>
        <v>8672.2659546529521</v>
      </c>
      <c r="AR145" s="197">
        <f t="shared" si="352"/>
        <v>-2563.3635783416976</v>
      </c>
      <c r="AS145" s="199">
        <f t="shared" si="353"/>
        <v>-288.77226801303971</v>
      </c>
      <c r="AV145" s="900">
        <v>8</v>
      </c>
      <c r="AW145" s="911">
        <f>'Arable Inputs'!$H$18</f>
        <v>9.4</v>
      </c>
      <c r="AX145" s="760">
        <f>'Arable Inputs'!$H$25</f>
        <v>94.285714285714292</v>
      </c>
      <c r="AY145" s="762">
        <f t="shared" si="354"/>
        <v>886.28571428571433</v>
      </c>
      <c r="AZ145" s="197">
        <f>'Arable NPV'!$D124</f>
        <v>330</v>
      </c>
      <c r="BA145" s="197">
        <f t="shared" si="398"/>
        <v>1216.2857142857142</v>
      </c>
      <c r="BB145" s="197">
        <f>'Arable NPV'!$F124</f>
        <v>566.71194999999989</v>
      </c>
      <c r="BC145" s="197">
        <f>'Arable NPV'!$G124</f>
        <v>691.46913599999993</v>
      </c>
      <c r="BD145" s="197">
        <f t="shared" si="355"/>
        <v>1258.1810859999998</v>
      </c>
      <c r="BE145" s="197">
        <f t="shared" si="356"/>
        <v>-371.89537171428549</v>
      </c>
      <c r="BF145" s="197">
        <f t="shared" si="357"/>
        <v>-41.895371714285602</v>
      </c>
      <c r="BG145" s="196">
        <f t="shared" si="358"/>
        <v>798.56717274889229</v>
      </c>
      <c r="BH145" s="197">
        <f t="shared" si="359"/>
        <v>297.33884091714071</v>
      </c>
      <c r="BI145" s="197">
        <f t="shared" si="360"/>
        <v>1133.6548659851796</v>
      </c>
      <c r="BJ145" s="197">
        <f t="shared" si="361"/>
        <v>-335.08769323628741</v>
      </c>
      <c r="BK145" s="199">
        <f t="shared" si="362"/>
        <v>-37.748852319146799</v>
      </c>
      <c r="BL145" s="196">
        <f t="shared" si="363"/>
        <v>6734.1884834072425</v>
      </c>
      <c r="BM145" s="197">
        <f t="shared" si="364"/>
        <v>2507.4106055239731</v>
      </c>
      <c r="BN145" s="197">
        <f t="shared" si="365"/>
        <v>9559.9290869880897</v>
      </c>
      <c r="BO145" s="197">
        <f t="shared" si="366"/>
        <v>-2825.7406035808476</v>
      </c>
      <c r="BP145" s="199">
        <f t="shared" si="367"/>
        <v>-318.32999805687513</v>
      </c>
      <c r="BS145" s="900">
        <v>8</v>
      </c>
      <c r="BT145" s="911">
        <f>'Arable Inputs'!$H$18</f>
        <v>9.4</v>
      </c>
      <c r="BU145" s="760">
        <f>'Arable Inputs'!$H$25</f>
        <v>94.285714285714292</v>
      </c>
      <c r="BV145" s="762">
        <f t="shared" si="368"/>
        <v>886.28571428571433</v>
      </c>
      <c r="BW145" s="197">
        <f>'Arable NPV'!$D124</f>
        <v>330</v>
      </c>
      <c r="BX145" s="197">
        <f t="shared" si="399"/>
        <v>1216.2857142857142</v>
      </c>
      <c r="BY145" s="197">
        <f>'Arable NPV'!$F124</f>
        <v>566.71194999999989</v>
      </c>
      <c r="BZ145" s="197">
        <f>'Arable NPV'!$G124</f>
        <v>691.46913599999993</v>
      </c>
      <c r="CA145" s="197">
        <f t="shared" si="369"/>
        <v>1258.1810859999998</v>
      </c>
      <c r="CB145" s="197">
        <f t="shared" si="370"/>
        <v>-371.89537171428549</v>
      </c>
      <c r="CC145" s="197">
        <f t="shared" si="371"/>
        <v>-41.895371714285602</v>
      </c>
      <c r="CD145" s="196">
        <f t="shared" si="372"/>
        <v>589.43061898756753</v>
      </c>
      <c r="CE145" s="197">
        <f t="shared" si="373"/>
        <v>219.46884749537088</v>
      </c>
      <c r="CF145" s="197">
        <f t="shared" si="374"/>
        <v>836.76228146937603</v>
      </c>
      <c r="CG145" s="197">
        <f t="shared" si="375"/>
        <v>-247.33166248180845</v>
      </c>
      <c r="CH145" s="199">
        <f t="shared" si="376"/>
        <v>-27.862814986437641</v>
      </c>
      <c r="CI145" s="196">
        <f t="shared" si="377"/>
        <v>5833.8706359214884</v>
      </c>
      <c r="CJ145" s="197">
        <f t="shared" si="378"/>
        <v>2172.1858750771494</v>
      </c>
      <c r="CK145" s="197">
        <f t="shared" si="379"/>
        <v>8281.8278281770545</v>
      </c>
      <c r="CL145" s="197">
        <f t="shared" si="380"/>
        <v>-2447.9571922555665</v>
      </c>
      <c r="CM145" s="199">
        <f t="shared" si="381"/>
        <v>-275.77131717841797</v>
      </c>
      <c r="CP145" s="900">
        <v>8</v>
      </c>
      <c r="CQ145" s="911">
        <f>'Arable Inputs'!$H$18</f>
        <v>9.4</v>
      </c>
      <c r="CR145" s="760">
        <f>'Arable Inputs'!$H$25</f>
        <v>94.285714285714292</v>
      </c>
      <c r="CS145" s="762">
        <f t="shared" si="382"/>
        <v>886.28571428571433</v>
      </c>
      <c r="CT145" s="197">
        <f>'Arable NPV'!$D124</f>
        <v>330</v>
      </c>
      <c r="CU145" s="197">
        <f t="shared" si="400"/>
        <v>1216.2857142857142</v>
      </c>
      <c r="CV145" s="197">
        <f>'Arable NPV'!$F124</f>
        <v>566.71194999999989</v>
      </c>
      <c r="CW145" s="197">
        <f>'Arable NPV'!$G124</f>
        <v>691.46913599999993</v>
      </c>
      <c r="CX145" s="197">
        <f t="shared" si="383"/>
        <v>1258.1810859999998</v>
      </c>
      <c r="CY145" s="197">
        <f t="shared" si="384"/>
        <v>-371.89537171428549</v>
      </c>
      <c r="CZ145" s="197">
        <f t="shared" si="385"/>
        <v>-41.895371714285602</v>
      </c>
      <c r="DA145" s="196">
        <f t="shared" si="386"/>
        <v>886.28571428571433</v>
      </c>
      <c r="DB145" s="197">
        <f t="shared" si="387"/>
        <v>330</v>
      </c>
      <c r="DC145" s="197">
        <f t="shared" si="388"/>
        <v>1258.1810859999998</v>
      </c>
      <c r="DD145" s="197">
        <f t="shared" si="389"/>
        <v>-371.89537171428549</v>
      </c>
      <c r="DE145" s="199">
        <f t="shared" si="390"/>
        <v>-41.895371714285602</v>
      </c>
      <c r="DF145" s="196">
        <f t="shared" si="391"/>
        <v>7090.2857142857156</v>
      </c>
      <c r="DG145" s="197">
        <f t="shared" si="392"/>
        <v>2640</v>
      </c>
      <c r="DH145" s="197">
        <f t="shared" si="393"/>
        <v>10065.448687999999</v>
      </c>
      <c r="DI145" s="197">
        <f t="shared" si="394"/>
        <v>-2975.1629737142835</v>
      </c>
      <c r="DJ145" s="199">
        <f t="shared" si="395"/>
        <v>-335.16297371428482</v>
      </c>
    </row>
    <row r="146" spans="2:114" x14ac:dyDescent="0.3">
      <c r="B146" s="900">
        <v>9</v>
      </c>
      <c r="C146" s="911">
        <f>'Arable Inputs'!$H$18</f>
        <v>9.4</v>
      </c>
      <c r="D146" s="760">
        <f>'Arable Inputs'!$H$25</f>
        <v>94.285714285714292</v>
      </c>
      <c r="E146" s="762">
        <f t="shared" si="330"/>
        <v>886.28571428571433</v>
      </c>
      <c r="F146" s="197">
        <f>'Arable NPV'!$D125</f>
        <v>330</v>
      </c>
      <c r="G146" s="197">
        <f t="shared" si="396"/>
        <v>1216.2857142857142</v>
      </c>
      <c r="H146" s="197">
        <f>'Arable NPV'!$F125</f>
        <v>566.71194999999989</v>
      </c>
      <c r="I146" s="197">
        <f>'Arable NPV'!$G125</f>
        <v>691.46913599999993</v>
      </c>
      <c r="J146" s="197">
        <f t="shared" si="331"/>
        <v>1258.1810859999998</v>
      </c>
      <c r="K146" s="197">
        <f t="shared" si="332"/>
        <v>-371.89537171428549</v>
      </c>
      <c r="L146" s="197">
        <f t="shared" si="333"/>
        <v>-41.895371714285602</v>
      </c>
      <c r="M146" s="196">
        <f t="shared" si="334"/>
        <v>699.64212709766537</v>
      </c>
      <c r="N146" s="197">
        <f t="shared" si="335"/>
        <v>260.50504732359883</v>
      </c>
      <c r="O146" s="197">
        <f t="shared" si="336"/>
        <v>993.21976772753601</v>
      </c>
      <c r="P146" s="197">
        <f t="shared" si="337"/>
        <v>-293.57764062987064</v>
      </c>
      <c r="Q146" s="199">
        <f t="shared" si="338"/>
        <v>-33.072593306271919</v>
      </c>
      <c r="R146" s="196">
        <f t="shared" si="339"/>
        <v>7107.7386205540151</v>
      </c>
      <c r="S146" s="197">
        <f t="shared" si="339"/>
        <v>2646.4984225467078</v>
      </c>
      <c r="T146" s="197">
        <f t="shared" si="339"/>
        <v>10090.225028415463</v>
      </c>
      <c r="U146" s="197">
        <f t="shared" si="339"/>
        <v>-2982.4864078614482</v>
      </c>
      <c r="V146" s="199">
        <f t="shared" si="339"/>
        <v>-335.98798531474188</v>
      </c>
      <c r="Y146" s="900">
        <v>9</v>
      </c>
      <c r="Z146" s="911">
        <f>'Arable Inputs'!$H$18</f>
        <v>9.4</v>
      </c>
      <c r="AA146" s="760">
        <f>'Arable Inputs'!$H$25</f>
        <v>94.285714285714292</v>
      </c>
      <c r="AB146" s="762">
        <f t="shared" si="340"/>
        <v>886.28571428571433</v>
      </c>
      <c r="AC146" s="197">
        <f>'Arable NPV'!$D125</f>
        <v>330</v>
      </c>
      <c r="AD146" s="197">
        <f t="shared" si="397"/>
        <v>1216.2857142857142</v>
      </c>
      <c r="AE146" s="197">
        <f>'Arable NPV'!$F125</f>
        <v>566.71194999999989</v>
      </c>
      <c r="AF146" s="197">
        <f>'Arable NPV'!$G125</f>
        <v>691.46913599999993</v>
      </c>
      <c r="AG146" s="197">
        <f t="shared" si="341"/>
        <v>1258.1810859999998</v>
      </c>
      <c r="AH146" s="197">
        <f t="shared" si="342"/>
        <v>-371.89537171428549</v>
      </c>
      <c r="AI146" s="197">
        <f t="shared" si="343"/>
        <v>-41.895371714285602</v>
      </c>
      <c r="AJ146" s="196">
        <f t="shared" si="344"/>
        <v>623.22293253068494</v>
      </c>
      <c r="AK146" s="197">
        <f t="shared" si="345"/>
        <v>232.05109189972308</v>
      </c>
      <c r="AL146" s="197">
        <f t="shared" si="346"/>
        <v>884.73422670872537</v>
      </c>
      <c r="AM146" s="197">
        <f t="shared" si="347"/>
        <v>-261.51129417804043</v>
      </c>
      <c r="AN146" s="199">
        <f t="shared" si="348"/>
        <v>-29.460202278317418</v>
      </c>
      <c r="AO146" s="196">
        <f t="shared" si="349"/>
        <v>6732.1253088419389</v>
      </c>
      <c r="AP146" s="197">
        <f t="shared" si="350"/>
        <v>2506.6424022283813</v>
      </c>
      <c r="AQ146" s="197">
        <f t="shared" si="351"/>
        <v>9557.0001813616782</v>
      </c>
      <c r="AR146" s="197">
        <f t="shared" si="352"/>
        <v>-2824.8748725197379</v>
      </c>
      <c r="AS146" s="199">
        <f t="shared" si="353"/>
        <v>-318.23247029135712</v>
      </c>
      <c r="AV146" s="900">
        <v>9</v>
      </c>
      <c r="AW146" s="911">
        <f>'Arable Inputs'!$H$18</f>
        <v>9.4</v>
      </c>
      <c r="AX146" s="760">
        <f>'Arable Inputs'!$H$25</f>
        <v>94.285714285714292</v>
      </c>
      <c r="AY146" s="762">
        <f t="shared" si="354"/>
        <v>886.28571428571433</v>
      </c>
      <c r="AZ146" s="197">
        <f>'Arable NPV'!$D125</f>
        <v>330</v>
      </c>
      <c r="BA146" s="197">
        <f t="shared" si="398"/>
        <v>1216.2857142857142</v>
      </c>
      <c r="BB146" s="197">
        <f>'Arable NPV'!$F125</f>
        <v>566.71194999999989</v>
      </c>
      <c r="BC146" s="197">
        <f>'Arable NPV'!$G125</f>
        <v>691.46913599999993</v>
      </c>
      <c r="BD146" s="197">
        <f t="shared" si="355"/>
        <v>1258.1810859999998</v>
      </c>
      <c r="BE146" s="197">
        <f t="shared" si="356"/>
        <v>-371.89537171428549</v>
      </c>
      <c r="BF146" s="197">
        <f t="shared" si="357"/>
        <v>-41.895371714285602</v>
      </c>
      <c r="BG146" s="196">
        <f t="shared" si="358"/>
        <v>786.7656874373323</v>
      </c>
      <c r="BH146" s="197">
        <f t="shared" si="359"/>
        <v>292.94467085432586</v>
      </c>
      <c r="BI146" s="197">
        <f t="shared" si="360"/>
        <v>1116.9013457982066</v>
      </c>
      <c r="BJ146" s="197">
        <f t="shared" si="361"/>
        <v>-330.13565836087434</v>
      </c>
      <c r="BK146" s="199">
        <f t="shared" si="362"/>
        <v>-37.190987506548574</v>
      </c>
      <c r="BL146" s="196">
        <f t="shared" si="363"/>
        <v>7520.9541708445749</v>
      </c>
      <c r="BM146" s="197">
        <f t="shared" si="364"/>
        <v>2800.3552763782991</v>
      </c>
      <c r="BN146" s="197">
        <f t="shared" si="365"/>
        <v>10676.830432786297</v>
      </c>
      <c r="BO146" s="197">
        <f t="shared" si="366"/>
        <v>-3155.8762619417221</v>
      </c>
      <c r="BP146" s="199">
        <f t="shared" si="367"/>
        <v>-355.52098556342372</v>
      </c>
      <c r="BS146" s="900">
        <v>9</v>
      </c>
      <c r="BT146" s="911">
        <f>'Arable Inputs'!$H$18</f>
        <v>9.4</v>
      </c>
      <c r="BU146" s="760">
        <f>'Arable Inputs'!$H$25</f>
        <v>94.285714285714292</v>
      </c>
      <c r="BV146" s="762">
        <f t="shared" si="368"/>
        <v>886.28571428571433</v>
      </c>
      <c r="BW146" s="197">
        <f>'Arable NPV'!$D125</f>
        <v>330</v>
      </c>
      <c r="BX146" s="197">
        <f t="shared" si="399"/>
        <v>1216.2857142857142</v>
      </c>
      <c r="BY146" s="197">
        <f>'Arable NPV'!$F125</f>
        <v>566.71194999999989</v>
      </c>
      <c r="BZ146" s="197">
        <f>'Arable NPV'!$G125</f>
        <v>691.46913599999993</v>
      </c>
      <c r="CA146" s="197">
        <f t="shared" si="369"/>
        <v>1258.1810859999998</v>
      </c>
      <c r="CB146" s="197">
        <f t="shared" si="370"/>
        <v>-371.89537171428549</v>
      </c>
      <c r="CC146" s="197">
        <f t="shared" si="371"/>
        <v>-41.895371714285602</v>
      </c>
      <c r="CD146" s="196">
        <f t="shared" si="372"/>
        <v>556.06662168638456</v>
      </c>
      <c r="CE146" s="197">
        <f t="shared" si="373"/>
        <v>207.04608254280274</v>
      </c>
      <c r="CF146" s="197">
        <f t="shared" si="374"/>
        <v>789.39837874469447</v>
      </c>
      <c r="CG146" s="197">
        <f t="shared" si="375"/>
        <v>-233.33175705830988</v>
      </c>
      <c r="CH146" s="199">
        <f t="shared" si="376"/>
        <v>-26.285674515507214</v>
      </c>
      <c r="CI146" s="196">
        <f t="shared" si="377"/>
        <v>6389.9372576078731</v>
      </c>
      <c r="CJ146" s="197">
        <f t="shared" si="378"/>
        <v>2379.231957619952</v>
      </c>
      <c r="CK146" s="197">
        <f t="shared" si="379"/>
        <v>9071.2262069217486</v>
      </c>
      <c r="CL146" s="197">
        <f t="shared" si="380"/>
        <v>-2681.2889493138764</v>
      </c>
      <c r="CM146" s="199">
        <f t="shared" si="381"/>
        <v>-302.05699169392517</v>
      </c>
      <c r="CP146" s="900">
        <v>9</v>
      </c>
      <c r="CQ146" s="911">
        <f>'Arable Inputs'!$H$18</f>
        <v>9.4</v>
      </c>
      <c r="CR146" s="760">
        <f>'Arable Inputs'!$H$25</f>
        <v>94.285714285714292</v>
      </c>
      <c r="CS146" s="762">
        <f t="shared" si="382"/>
        <v>886.28571428571433</v>
      </c>
      <c r="CT146" s="197">
        <f>'Arable NPV'!$D125</f>
        <v>330</v>
      </c>
      <c r="CU146" s="197">
        <f t="shared" si="400"/>
        <v>1216.2857142857142</v>
      </c>
      <c r="CV146" s="197">
        <f>'Arable NPV'!$F125</f>
        <v>566.71194999999989</v>
      </c>
      <c r="CW146" s="197">
        <f>'Arable NPV'!$G125</f>
        <v>691.46913599999993</v>
      </c>
      <c r="CX146" s="197">
        <f t="shared" si="383"/>
        <v>1258.1810859999998</v>
      </c>
      <c r="CY146" s="197">
        <f t="shared" si="384"/>
        <v>-371.89537171428549</v>
      </c>
      <c r="CZ146" s="197">
        <f t="shared" si="385"/>
        <v>-41.895371714285602</v>
      </c>
      <c r="DA146" s="196">
        <f t="shared" si="386"/>
        <v>886.28571428571433</v>
      </c>
      <c r="DB146" s="197">
        <f t="shared" si="387"/>
        <v>330</v>
      </c>
      <c r="DC146" s="197">
        <f t="shared" si="388"/>
        <v>1258.1810859999998</v>
      </c>
      <c r="DD146" s="197">
        <f t="shared" si="389"/>
        <v>-371.89537171428549</v>
      </c>
      <c r="DE146" s="199">
        <f t="shared" si="390"/>
        <v>-41.895371714285602</v>
      </c>
      <c r="DF146" s="196">
        <f t="shared" si="391"/>
        <v>7976.5714285714303</v>
      </c>
      <c r="DG146" s="197">
        <f t="shared" si="392"/>
        <v>2970</v>
      </c>
      <c r="DH146" s="197">
        <f t="shared" si="393"/>
        <v>11323.629773999999</v>
      </c>
      <c r="DI146" s="197">
        <f t="shared" si="394"/>
        <v>-3347.0583454285688</v>
      </c>
      <c r="DJ146" s="199">
        <f t="shared" si="395"/>
        <v>-377.05834542857042</v>
      </c>
    </row>
    <row r="147" spans="2:114" x14ac:dyDescent="0.3">
      <c r="B147" s="900">
        <v>10</v>
      </c>
      <c r="C147" s="911">
        <f>'Arable Inputs'!$H$18</f>
        <v>9.4</v>
      </c>
      <c r="D147" s="760">
        <f>'Arable Inputs'!$H$25</f>
        <v>94.285714285714292</v>
      </c>
      <c r="E147" s="762">
        <f t="shared" si="330"/>
        <v>886.28571428571433</v>
      </c>
      <c r="F147" s="197">
        <f>'Arable NPV'!$D126</f>
        <v>330</v>
      </c>
      <c r="G147" s="197">
        <f t="shared" si="396"/>
        <v>1216.2857142857142</v>
      </c>
      <c r="H147" s="197">
        <f>'Arable NPV'!$F126</f>
        <v>566.71194999999989</v>
      </c>
      <c r="I147" s="197">
        <f>'Arable NPV'!$G126</f>
        <v>691.46913599999993</v>
      </c>
      <c r="J147" s="197">
        <f t="shared" si="331"/>
        <v>1258.1810859999998</v>
      </c>
      <c r="K147" s="197">
        <f t="shared" si="332"/>
        <v>-371.89537171428549</v>
      </c>
      <c r="L147" s="197">
        <f t="shared" si="333"/>
        <v>-41.895371714285602</v>
      </c>
      <c r="M147" s="196">
        <f t="shared" si="334"/>
        <v>679.26420106569458</v>
      </c>
      <c r="N147" s="197">
        <f t="shared" si="335"/>
        <v>252.91752167339689</v>
      </c>
      <c r="O147" s="197">
        <f t="shared" si="336"/>
        <v>964.29103662867578</v>
      </c>
      <c r="P147" s="197">
        <f t="shared" si="337"/>
        <v>-285.0268355629812</v>
      </c>
      <c r="Q147" s="199">
        <f t="shared" si="338"/>
        <v>-32.109313889584385</v>
      </c>
      <c r="R147" s="196">
        <f t="shared" si="339"/>
        <v>7787.0028216197097</v>
      </c>
      <c r="S147" s="197">
        <f t="shared" si="339"/>
        <v>2899.4159442201048</v>
      </c>
      <c r="T147" s="197">
        <f t="shared" si="339"/>
        <v>11054.516065044139</v>
      </c>
      <c r="U147" s="197">
        <f t="shared" si="339"/>
        <v>-3267.5132434244297</v>
      </c>
      <c r="V147" s="199">
        <f t="shared" si="339"/>
        <v>-368.09729920432625</v>
      </c>
      <c r="Y147" s="900">
        <v>10</v>
      </c>
      <c r="Z147" s="911">
        <f>'Arable Inputs'!$H$18</f>
        <v>9.4</v>
      </c>
      <c r="AA147" s="760">
        <f>'Arable Inputs'!$H$25</f>
        <v>94.285714285714292</v>
      </c>
      <c r="AB147" s="762">
        <f t="shared" si="340"/>
        <v>886.28571428571433</v>
      </c>
      <c r="AC147" s="197">
        <f>'Arable NPV'!$D126</f>
        <v>330</v>
      </c>
      <c r="AD147" s="197">
        <f t="shared" si="397"/>
        <v>1216.2857142857142</v>
      </c>
      <c r="AE147" s="197">
        <f>'Arable NPV'!$F126</f>
        <v>566.71194999999989</v>
      </c>
      <c r="AF147" s="197">
        <f>'Arable NPV'!$G126</f>
        <v>691.46913599999993</v>
      </c>
      <c r="AG147" s="197">
        <f t="shared" si="341"/>
        <v>1258.1810859999998</v>
      </c>
      <c r="AH147" s="197">
        <f t="shared" si="342"/>
        <v>-371.89537171428549</v>
      </c>
      <c r="AI147" s="197">
        <f t="shared" si="343"/>
        <v>-41.895371714285602</v>
      </c>
      <c r="AJ147" s="196">
        <f t="shared" si="344"/>
        <v>596.38558136907648</v>
      </c>
      <c r="AK147" s="197">
        <f t="shared" si="345"/>
        <v>222.05846114806039</v>
      </c>
      <c r="AL147" s="197">
        <f t="shared" si="346"/>
        <v>846.63562364471329</v>
      </c>
      <c r="AM147" s="197">
        <f t="shared" si="347"/>
        <v>-250.25004227563679</v>
      </c>
      <c r="AN147" s="199">
        <f t="shared" si="348"/>
        <v>-28.191581127576477</v>
      </c>
      <c r="AO147" s="196">
        <f t="shared" si="349"/>
        <v>7328.5108902110151</v>
      </c>
      <c r="AP147" s="197">
        <f t="shared" si="350"/>
        <v>2728.7008633764417</v>
      </c>
      <c r="AQ147" s="197">
        <f t="shared" si="351"/>
        <v>10403.635805006392</v>
      </c>
      <c r="AR147" s="197">
        <f t="shared" si="352"/>
        <v>-3075.1249147953745</v>
      </c>
      <c r="AS147" s="199">
        <f t="shared" si="353"/>
        <v>-346.42405141893357</v>
      </c>
      <c r="AV147" s="900">
        <v>10</v>
      </c>
      <c r="AW147" s="911">
        <f>'Arable Inputs'!$H$18</f>
        <v>9.4</v>
      </c>
      <c r="AX147" s="760">
        <f>'Arable Inputs'!$H$25</f>
        <v>94.285714285714292</v>
      </c>
      <c r="AY147" s="762">
        <f t="shared" si="354"/>
        <v>886.28571428571433</v>
      </c>
      <c r="AZ147" s="197">
        <f>'Arable NPV'!$D126</f>
        <v>330</v>
      </c>
      <c r="BA147" s="197">
        <f t="shared" si="398"/>
        <v>1216.2857142857142</v>
      </c>
      <c r="BB147" s="197">
        <f>'Arable NPV'!$F126</f>
        <v>566.71194999999989</v>
      </c>
      <c r="BC147" s="197">
        <f>'Arable NPV'!$G126</f>
        <v>691.46913599999993</v>
      </c>
      <c r="BD147" s="197">
        <f t="shared" si="355"/>
        <v>1258.1810859999998</v>
      </c>
      <c r="BE147" s="197">
        <f t="shared" si="356"/>
        <v>-371.89537171428549</v>
      </c>
      <c r="BF147" s="197">
        <f t="shared" si="357"/>
        <v>-41.895371714285602</v>
      </c>
      <c r="BG147" s="196">
        <f t="shared" si="358"/>
        <v>775.13860831264276</v>
      </c>
      <c r="BH147" s="197">
        <f t="shared" si="359"/>
        <v>288.61543926534569</v>
      </c>
      <c r="BI147" s="197">
        <f t="shared" si="360"/>
        <v>1100.3954145795142</v>
      </c>
      <c r="BJ147" s="197">
        <f t="shared" si="361"/>
        <v>-325.25680626687131</v>
      </c>
      <c r="BK147" s="199">
        <f t="shared" si="362"/>
        <v>-36.641367001525694</v>
      </c>
      <c r="BL147" s="196">
        <f t="shared" si="363"/>
        <v>8296.0927791572176</v>
      </c>
      <c r="BM147" s="197">
        <f t="shared" si="364"/>
        <v>3088.9707156436448</v>
      </c>
      <c r="BN147" s="197">
        <f t="shared" si="365"/>
        <v>11777.225847365811</v>
      </c>
      <c r="BO147" s="197">
        <f t="shared" si="366"/>
        <v>-3481.1330682085936</v>
      </c>
      <c r="BP147" s="199">
        <f t="shared" si="367"/>
        <v>-392.1623525649494</v>
      </c>
      <c r="BS147" s="900">
        <v>10</v>
      </c>
      <c r="BT147" s="911">
        <f>'Arable Inputs'!$H$18</f>
        <v>9.4</v>
      </c>
      <c r="BU147" s="760">
        <f>'Arable Inputs'!$H$25</f>
        <v>94.285714285714292</v>
      </c>
      <c r="BV147" s="762">
        <f t="shared" si="368"/>
        <v>886.28571428571433</v>
      </c>
      <c r="BW147" s="197">
        <f>'Arable NPV'!$D126</f>
        <v>330</v>
      </c>
      <c r="BX147" s="197">
        <f t="shared" si="399"/>
        <v>1216.2857142857142</v>
      </c>
      <c r="BY147" s="197">
        <f>'Arable NPV'!$F126</f>
        <v>566.71194999999989</v>
      </c>
      <c r="BZ147" s="197">
        <f>'Arable NPV'!$G126</f>
        <v>691.46913599999993</v>
      </c>
      <c r="CA147" s="197">
        <f t="shared" si="369"/>
        <v>1258.1810859999998</v>
      </c>
      <c r="CB147" s="197">
        <f t="shared" si="370"/>
        <v>-371.89537171428549</v>
      </c>
      <c r="CC147" s="197">
        <f t="shared" si="371"/>
        <v>-41.895371714285602</v>
      </c>
      <c r="CD147" s="196">
        <f t="shared" si="372"/>
        <v>524.59115253432503</v>
      </c>
      <c r="CE147" s="197">
        <f t="shared" si="373"/>
        <v>195.32649296490825</v>
      </c>
      <c r="CF147" s="197">
        <f t="shared" si="374"/>
        <v>744.71545164593817</v>
      </c>
      <c r="CG147" s="197">
        <f t="shared" si="375"/>
        <v>-220.12429911161311</v>
      </c>
      <c r="CH147" s="199">
        <f t="shared" si="376"/>
        <v>-24.797806146704918</v>
      </c>
      <c r="CI147" s="196">
        <f t="shared" si="377"/>
        <v>6914.5284101421985</v>
      </c>
      <c r="CJ147" s="197">
        <f t="shared" si="378"/>
        <v>2574.5584505848601</v>
      </c>
      <c r="CK147" s="197">
        <f t="shared" si="379"/>
        <v>9815.9416585676863</v>
      </c>
      <c r="CL147" s="197">
        <f t="shared" si="380"/>
        <v>-2901.4132484254897</v>
      </c>
      <c r="CM147" s="199">
        <f t="shared" si="381"/>
        <v>-326.85479784063011</v>
      </c>
      <c r="CP147" s="900">
        <v>10</v>
      </c>
      <c r="CQ147" s="911">
        <f>'Arable Inputs'!$H$18</f>
        <v>9.4</v>
      </c>
      <c r="CR147" s="760">
        <f>'Arable Inputs'!$H$25</f>
        <v>94.285714285714292</v>
      </c>
      <c r="CS147" s="762">
        <f t="shared" si="382"/>
        <v>886.28571428571433</v>
      </c>
      <c r="CT147" s="197">
        <f>'Arable NPV'!$D126</f>
        <v>330</v>
      </c>
      <c r="CU147" s="197">
        <f t="shared" si="400"/>
        <v>1216.2857142857142</v>
      </c>
      <c r="CV147" s="197">
        <f>'Arable NPV'!$F126</f>
        <v>566.71194999999989</v>
      </c>
      <c r="CW147" s="197">
        <f>'Arable NPV'!$G126</f>
        <v>691.46913599999993</v>
      </c>
      <c r="CX147" s="197">
        <f t="shared" si="383"/>
        <v>1258.1810859999998</v>
      </c>
      <c r="CY147" s="197">
        <f t="shared" si="384"/>
        <v>-371.89537171428549</v>
      </c>
      <c r="CZ147" s="197">
        <f t="shared" si="385"/>
        <v>-41.895371714285602</v>
      </c>
      <c r="DA147" s="196">
        <f t="shared" si="386"/>
        <v>886.28571428571433</v>
      </c>
      <c r="DB147" s="197">
        <f t="shared" si="387"/>
        <v>330</v>
      </c>
      <c r="DC147" s="197">
        <f t="shared" si="388"/>
        <v>1258.1810859999998</v>
      </c>
      <c r="DD147" s="197">
        <f t="shared" si="389"/>
        <v>-371.89537171428549</v>
      </c>
      <c r="DE147" s="199">
        <f t="shared" si="390"/>
        <v>-41.895371714285602</v>
      </c>
      <c r="DF147" s="196">
        <f t="shared" si="391"/>
        <v>8862.8571428571449</v>
      </c>
      <c r="DG147" s="197">
        <f t="shared" si="392"/>
        <v>3300</v>
      </c>
      <c r="DH147" s="197">
        <f t="shared" si="393"/>
        <v>12581.81086</v>
      </c>
      <c r="DI147" s="197">
        <f t="shared" si="394"/>
        <v>-3718.9537171428542</v>
      </c>
      <c r="DJ147" s="199">
        <f t="shared" si="395"/>
        <v>-418.95371714285602</v>
      </c>
    </row>
    <row r="148" spans="2:114" x14ac:dyDescent="0.3">
      <c r="B148" s="900">
        <v>11</v>
      </c>
      <c r="C148" s="911">
        <f>'Arable Inputs'!$H$18</f>
        <v>9.4</v>
      </c>
      <c r="D148" s="760">
        <f>'Arable Inputs'!$H$25</f>
        <v>94.285714285714292</v>
      </c>
      <c r="E148" s="762">
        <f t="shared" si="330"/>
        <v>886.28571428571433</v>
      </c>
      <c r="F148" s="197">
        <f>'Arable NPV'!$D127</f>
        <v>330</v>
      </c>
      <c r="G148" s="197">
        <f t="shared" si="396"/>
        <v>1216.2857142857142</v>
      </c>
      <c r="H148" s="197">
        <f>'Arable NPV'!$F127</f>
        <v>566.71194999999989</v>
      </c>
      <c r="I148" s="197">
        <f>'Arable NPV'!$G127</f>
        <v>691.46913599999993</v>
      </c>
      <c r="J148" s="197">
        <f t="shared" si="331"/>
        <v>1258.1810859999998</v>
      </c>
      <c r="K148" s="197">
        <f t="shared" si="332"/>
        <v>-371.89537171428549</v>
      </c>
      <c r="L148" s="197">
        <f t="shared" si="333"/>
        <v>-41.895371714285602</v>
      </c>
      <c r="M148" s="196">
        <f t="shared" si="334"/>
        <v>659.47980685989762</v>
      </c>
      <c r="N148" s="197">
        <f t="shared" si="335"/>
        <v>245.55099191591933</v>
      </c>
      <c r="O148" s="197">
        <f t="shared" si="336"/>
        <v>936.2048899307531</v>
      </c>
      <c r="P148" s="197">
        <f t="shared" si="337"/>
        <v>-276.72508307085553</v>
      </c>
      <c r="Q148" s="199">
        <f t="shared" si="338"/>
        <v>-31.174091154936299</v>
      </c>
      <c r="R148" s="196">
        <f t="shared" si="339"/>
        <v>8446.4826284796072</v>
      </c>
      <c r="S148" s="197">
        <f t="shared" si="339"/>
        <v>3144.9669361360243</v>
      </c>
      <c r="T148" s="197">
        <f t="shared" si="339"/>
        <v>11990.720954974893</v>
      </c>
      <c r="U148" s="197">
        <f t="shared" si="339"/>
        <v>-3544.238326495285</v>
      </c>
      <c r="V148" s="199">
        <f t="shared" si="339"/>
        <v>-399.27139035926257</v>
      </c>
      <c r="Y148" s="900">
        <v>11</v>
      </c>
      <c r="Z148" s="911">
        <f>'Arable Inputs'!$H$18</f>
        <v>9.4</v>
      </c>
      <c r="AA148" s="760">
        <f>'Arable Inputs'!$H$25</f>
        <v>94.285714285714292</v>
      </c>
      <c r="AB148" s="762">
        <f t="shared" si="340"/>
        <v>886.28571428571433</v>
      </c>
      <c r="AC148" s="197">
        <f>'Arable NPV'!$D127</f>
        <v>330</v>
      </c>
      <c r="AD148" s="197">
        <f t="shared" si="397"/>
        <v>1216.2857142857142</v>
      </c>
      <c r="AE148" s="197">
        <f>'Arable NPV'!$F127</f>
        <v>566.71194999999989</v>
      </c>
      <c r="AF148" s="197">
        <f>'Arable NPV'!$G127</f>
        <v>691.46913599999993</v>
      </c>
      <c r="AG148" s="197">
        <f t="shared" si="341"/>
        <v>1258.1810859999998</v>
      </c>
      <c r="AH148" s="197">
        <f t="shared" si="342"/>
        <v>-371.89537171428549</v>
      </c>
      <c r="AI148" s="197">
        <f t="shared" si="343"/>
        <v>-41.895371714285602</v>
      </c>
      <c r="AJ148" s="196">
        <f t="shared" si="344"/>
        <v>570.70390561634122</v>
      </c>
      <c r="AK148" s="197">
        <f t="shared" si="345"/>
        <v>212.49613506991429</v>
      </c>
      <c r="AL148" s="197">
        <f t="shared" si="346"/>
        <v>810.17763028202239</v>
      </c>
      <c r="AM148" s="197">
        <f t="shared" si="347"/>
        <v>-239.47372466568117</v>
      </c>
      <c r="AN148" s="199">
        <f t="shared" si="348"/>
        <v>-26.977589595766968</v>
      </c>
      <c r="AO148" s="196">
        <f t="shared" si="349"/>
        <v>7899.2147958273563</v>
      </c>
      <c r="AP148" s="197">
        <f t="shared" si="350"/>
        <v>2941.1969984463558</v>
      </c>
      <c r="AQ148" s="197">
        <f t="shared" si="351"/>
        <v>11213.813435288414</v>
      </c>
      <c r="AR148" s="197">
        <f t="shared" si="352"/>
        <v>-3314.5986394610554</v>
      </c>
      <c r="AS148" s="199">
        <f t="shared" si="353"/>
        <v>-373.40164101470054</v>
      </c>
      <c r="AV148" s="900">
        <v>11</v>
      </c>
      <c r="AW148" s="911">
        <f>'Arable Inputs'!$H$18</f>
        <v>9.4</v>
      </c>
      <c r="AX148" s="760">
        <f>'Arable Inputs'!$H$25</f>
        <v>94.285714285714292</v>
      </c>
      <c r="AY148" s="762">
        <f t="shared" si="354"/>
        <v>886.28571428571433</v>
      </c>
      <c r="AZ148" s="197">
        <f>'Arable NPV'!$D127</f>
        <v>330</v>
      </c>
      <c r="BA148" s="197">
        <f t="shared" si="398"/>
        <v>1216.2857142857142</v>
      </c>
      <c r="BB148" s="197">
        <f>'Arable NPV'!$F127</f>
        <v>566.71194999999989</v>
      </c>
      <c r="BC148" s="197">
        <f>'Arable NPV'!$G127</f>
        <v>691.46913599999993</v>
      </c>
      <c r="BD148" s="197">
        <f t="shared" si="355"/>
        <v>1258.1810859999998</v>
      </c>
      <c r="BE148" s="197">
        <f t="shared" si="356"/>
        <v>-371.89537171428549</v>
      </c>
      <c r="BF148" s="197">
        <f t="shared" si="357"/>
        <v>-41.895371714285602</v>
      </c>
      <c r="BG148" s="196">
        <f t="shared" si="358"/>
        <v>763.68335794349048</v>
      </c>
      <c r="BH148" s="197">
        <f t="shared" si="359"/>
        <v>284.35018646832094</v>
      </c>
      <c r="BI148" s="197">
        <f t="shared" si="360"/>
        <v>1084.1334133788318</v>
      </c>
      <c r="BJ148" s="197">
        <f t="shared" si="361"/>
        <v>-320.4500554353412</v>
      </c>
      <c r="BK148" s="199">
        <f t="shared" si="362"/>
        <v>-36.099868967020392</v>
      </c>
      <c r="BL148" s="196">
        <f t="shared" si="363"/>
        <v>9059.7761371007073</v>
      </c>
      <c r="BM148" s="197">
        <f t="shared" si="364"/>
        <v>3373.3209021119656</v>
      </c>
      <c r="BN148" s="197">
        <f t="shared" si="365"/>
        <v>12861.359260744643</v>
      </c>
      <c r="BO148" s="197">
        <f t="shared" si="366"/>
        <v>-3801.5831236439349</v>
      </c>
      <c r="BP148" s="199">
        <f t="shared" si="367"/>
        <v>-428.26222153196977</v>
      </c>
      <c r="BS148" s="900">
        <v>11</v>
      </c>
      <c r="BT148" s="911">
        <f>'Arable Inputs'!$H$18</f>
        <v>9.4</v>
      </c>
      <c r="BU148" s="760">
        <f>'Arable Inputs'!$H$25</f>
        <v>94.285714285714292</v>
      </c>
      <c r="BV148" s="762">
        <f t="shared" si="368"/>
        <v>886.28571428571433</v>
      </c>
      <c r="BW148" s="197">
        <f>'Arable NPV'!$D127</f>
        <v>330</v>
      </c>
      <c r="BX148" s="197">
        <f t="shared" si="399"/>
        <v>1216.2857142857142</v>
      </c>
      <c r="BY148" s="197">
        <f>'Arable NPV'!$F127</f>
        <v>566.71194999999989</v>
      </c>
      <c r="BZ148" s="197">
        <f>'Arable NPV'!$G127</f>
        <v>691.46913599999993</v>
      </c>
      <c r="CA148" s="197">
        <f t="shared" si="369"/>
        <v>1258.1810859999998</v>
      </c>
      <c r="CB148" s="197">
        <f t="shared" si="370"/>
        <v>-371.89537171428549</v>
      </c>
      <c r="CC148" s="197">
        <f t="shared" si="371"/>
        <v>-41.895371714285602</v>
      </c>
      <c r="CD148" s="196">
        <f t="shared" si="372"/>
        <v>494.89731371162736</v>
      </c>
      <c r="CE148" s="197">
        <f t="shared" si="373"/>
        <v>184.27027638198891</v>
      </c>
      <c r="CF148" s="197">
        <f t="shared" si="374"/>
        <v>702.56174683579059</v>
      </c>
      <c r="CG148" s="197">
        <f t="shared" si="375"/>
        <v>-207.66443312416328</v>
      </c>
      <c r="CH148" s="199">
        <f t="shared" si="376"/>
        <v>-23.394156742174449</v>
      </c>
      <c r="CI148" s="196">
        <f t="shared" si="377"/>
        <v>7409.4257238538257</v>
      </c>
      <c r="CJ148" s="197">
        <f t="shared" si="378"/>
        <v>2758.828726966849</v>
      </c>
      <c r="CK148" s="197">
        <f t="shared" si="379"/>
        <v>10518.503405403477</v>
      </c>
      <c r="CL148" s="197">
        <f t="shared" si="380"/>
        <v>-3109.0776815496529</v>
      </c>
      <c r="CM148" s="199">
        <f t="shared" si="381"/>
        <v>-350.24895458280457</v>
      </c>
      <c r="CP148" s="900">
        <v>11</v>
      </c>
      <c r="CQ148" s="911">
        <f>'Arable Inputs'!$H$18</f>
        <v>9.4</v>
      </c>
      <c r="CR148" s="760">
        <f>'Arable Inputs'!$H$25</f>
        <v>94.285714285714292</v>
      </c>
      <c r="CS148" s="762">
        <f t="shared" si="382"/>
        <v>886.28571428571433</v>
      </c>
      <c r="CT148" s="197">
        <f>'Arable NPV'!$D127</f>
        <v>330</v>
      </c>
      <c r="CU148" s="197">
        <f t="shared" si="400"/>
        <v>1216.2857142857142</v>
      </c>
      <c r="CV148" s="197">
        <f>'Arable NPV'!$F127</f>
        <v>566.71194999999989</v>
      </c>
      <c r="CW148" s="197">
        <f>'Arable NPV'!$G127</f>
        <v>691.46913599999993</v>
      </c>
      <c r="CX148" s="197">
        <f t="shared" si="383"/>
        <v>1258.1810859999998</v>
      </c>
      <c r="CY148" s="197">
        <f t="shared" si="384"/>
        <v>-371.89537171428549</v>
      </c>
      <c r="CZ148" s="197">
        <f t="shared" si="385"/>
        <v>-41.895371714285602</v>
      </c>
      <c r="DA148" s="196">
        <f t="shared" si="386"/>
        <v>886.28571428571433</v>
      </c>
      <c r="DB148" s="197">
        <f t="shared" si="387"/>
        <v>330</v>
      </c>
      <c r="DC148" s="197">
        <f t="shared" si="388"/>
        <v>1258.1810859999998</v>
      </c>
      <c r="DD148" s="197">
        <f t="shared" si="389"/>
        <v>-371.89537171428549</v>
      </c>
      <c r="DE148" s="199">
        <f t="shared" si="390"/>
        <v>-41.895371714285602</v>
      </c>
      <c r="DF148" s="196">
        <f t="shared" si="391"/>
        <v>9749.1428571428587</v>
      </c>
      <c r="DG148" s="197">
        <f t="shared" si="392"/>
        <v>3630</v>
      </c>
      <c r="DH148" s="197">
        <f t="shared" si="393"/>
        <v>13839.991946</v>
      </c>
      <c r="DI148" s="197">
        <f t="shared" si="394"/>
        <v>-4090.8490888571396</v>
      </c>
      <c r="DJ148" s="199">
        <f t="shared" si="395"/>
        <v>-460.84908885714162</v>
      </c>
    </row>
    <row r="149" spans="2:114" x14ac:dyDescent="0.3">
      <c r="B149" s="900">
        <v>12</v>
      </c>
      <c r="C149" s="911">
        <f>'Arable Inputs'!$H$18</f>
        <v>9.4</v>
      </c>
      <c r="D149" s="760">
        <f>'Arable Inputs'!$H$25</f>
        <v>94.285714285714292</v>
      </c>
      <c r="E149" s="762">
        <f t="shared" si="330"/>
        <v>886.28571428571433</v>
      </c>
      <c r="F149" s="197">
        <f>'Arable NPV'!$D128</f>
        <v>330</v>
      </c>
      <c r="G149" s="197">
        <f t="shared" si="396"/>
        <v>1216.2857142857142</v>
      </c>
      <c r="H149" s="197">
        <f>'Arable NPV'!$F128</f>
        <v>566.71194999999989</v>
      </c>
      <c r="I149" s="197">
        <f>'Arable NPV'!$G128</f>
        <v>691.46913599999993</v>
      </c>
      <c r="J149" s="197">
        <f t="shared" si="331"/>
        <v>1258.1810859999998</v>
      </c>
      <c r="K149" s="197">
        <f t="shared" si="332"/>
        <v>-371.89537171428549</v>
      </c>
      <c r="L149" s="197">
        <f t="shared" si="333"/>
        <v>-41.895371714285602</v>
      </c>
      <c r="M149" s="196">
        <f t="shared" si="334"/>
        <v>640.27165714553166</v>
      </c>
      <c r="N149" s="197">
        <f t="shared" si="335"/>
        <v>238.39902127759154</v>
      </c>
      <c r="O149" s="197">
        <f t="shared" si="336"/>
        <v>908.93678634053697</v>
      </c>
      <c r="P149" s="197">
        <f t="shared" si="337"/>
        <v>-268.66512919500536</v>
      </c>
      <c r="Q149" s="199">
        <f t="shared" si="338"/>
        <v>-30.26610791741388</v>
      </c>
      <c r="R149" s="196">
        <f t="shared" si="339"/>
        <v>9086.7542856251384</v>
      </c>
      <c r="S149" s="197">
        <f t="shared" si="339"/>
        <v>3383.3659574136159</v>
      </c>
      <c r="T149" s="197">
        <f t="shared" si="339"/>
        <v>12899.65774131543</v>
      </c>
      <c r="U149" s="197">
        <f t="shared" si="339"/>
        <v>-3812.9034556902902</v>
      </c>
      <c r="V149" s="199">
        <f t="shared" si="339"/>
        <v>-429.53749827667644</v>
      </c>
      <c r="Y149" s="900">
        <v>12</v>
      </c>
      <c r="Z149" s="911">
        <f>'Arable Inputs'!$H$18</f>
        <v>9.4</v>
      </c>
      <c r="AA149" s="760">
        <f>'Arable Inputs'!$H$25</f>
        <v>94.285714285714292</v>
      </c>
      <c r="AB149" s="762">
        <f t="shared" si="340"/>
        <v>886.28571428571433</v>
      </c>
      <c r="AC149" s="197">
        <f>'Arable NPV'!$D128</f>
        <v>330</v>
      </c>
      <c r="AD149" s="197">
        <f t="shared" si="397"/>
        <v>1216.2857142857142</v>
      </c>
      <c r="AE149" s="197">
        <f>'Arable NPV'!$F128</f>
        <v>566.71194999999989</v>
      </c>
      <c r="AF149" s="197">
        <f>'Arable NPV'!$G128</f>
        <v>691.46913599999993</v>
      </c>
      <c r="AG149" s="197">
        <f t="shared" si="341"/>
        <v>1258.1810859999998</v>
      </c>
      <c r="AH149" s="197">
        <f t="shared" si="342"/>
        <v>-371.89537171428549</v>
      </c>
      <c r="AI149" s="197">
        <f t="shared" si="343"/>
        <v>-41.895371714285602</v>
      </c>
      <c r="AJ149" s="196">
        <f t="shared" si="344"/>
        <v>546.12813934578105</v>
      </c>
      <c r="AK149" s="197">
        <f t="shared" si="345"/>
        <v>203.34558379896103</v>
      </c>
      <c r="AL149" s="197">
        <f t="shared" si="346"/>
        <v>775.28959835600233</v>
      </c>
      <c r="AM149" s="197">
        <f t="shared" si="347"/>
        <v>-229.16145901022122</v>
      </c>
      <c r="AN149" s="199">
        <f t="shared" si="348"/>
        <v>-25.815875211260256</v>
      </c>
      <c r="AO149" s="196">
        <f t="shared" si="349"/>
        <v>8445.3429351731374</v>
      </c>
      <c r="AP149" s="197">
        <f t="shared" si="350"/>
        <v>3144.5425822453167</v>
      </c>
      <c r="AQ149" s="197">
        <f t="shared" si="351"/>
        <v>11989.103033644416</v>
      </c>
      <c r="AR149" s="197">
        <f t="shared" si="352"/>
        <v>-3543.7600984712767</v>
      </c>
      <c r="AS149" s="199">
        <f t="shared" si="353"/>
        <v>-399.21751622596082</v>
      </c>
      <c r="AV149" s="900">
        <v>12</v>
      </c>
      <c r="AW149" s="911">
        <f>'Arable Inputs'!$H$18</f>
        <v>9.4</v>
      </c>
      <c r="AX149" s="760">
        <f>'Arable Inputs'!$H$25</f>
        <v>94.285714285714292</v>
      </c>
      <c r="AY149" s="762">
        <f t="shared" si="354"/>
        <v>886.28571428571433</v>
      </c>
      <c r="AZ149" s="197">
        <f>'Arable NPV'!$D128</f>
        <v>330</v>
      </c>
      <c r="BA149" s="197">
        <f t="shared" si="398"/>
        <v>1216.2857142857142</v>
      </c>
      <c r="BB149" s="197">
        <f>'Arable NPV'!$F128</f>
        <v>566.71194999999989</v>
      </c>
      <c r="BC149" s="197">
        <f>'Arable NPV'!$G128</f>
        <v>691.46913599999993</v>
      </c>
      <c r="BD149" s="197">
        <f t="shared" si="355"/>
        <v>1258.1810859999998</v>
      </c>
      <c r="BE149" s="197">
        <f t="shared" si="356"/>
        <v>-371.89537171428549</v>
      </c>
      <c r="BF149" s="197">
        <f t="shared" si="357"/>
        <v>-41.895371714285602</v>
      </c>
      <c r="BG149" s="196">
        <f t="shared" si="358"/>
        <v>752.39739698866072</v>
      </c>
      <c r="BH149" s="197">
        <f t="shared" si="359"/>
        <v>280.14796696386304</v>
      </c>
      <c r="BI149" s="197">
        <f t="shared" si="360"/>
        <v>1068.1117373190461</v>
      </c>
      <c r="BJ149" s="197">
        <f t="shared" si="361"/>
        <v>-315.71434033038548</v>
      </c>
      <c r="BK149" s="199">
        <f t="shared" si="362"/>
        <v>-35.566373366522555</v>
      </c>
      <c r="BL149" s="196">
        <f t="shared" si="363"/>
        <v>9812.1735340893683</v>
      </c>
      <c r="BM149" s="197">
        <f t="shared" si="364"/>
        <v>3653.4688690758285</v>
      </c>
      <c r="BN149" s="197">
        <f t="shared" si="365"/>
        <v>13929.470998063689</v>
      </c>
      <c r="BO149" s="197">
        <f t="shared" si="366"/>
        <v>-4117.2974639743206</v>
      </c>
      <c r="BP149" s="199">
        <f t="shared" si="367"/>
        <v>-463.82859489849233</v>
      </c>
      <c r="BS149" s="900">
        <v>12</v>
      </c>
      <c r="BT149" s="911">
        <f>'Arable Inputs'!$H$18</f>
        <v>9.4</v>
      </c>
      <c r="BU149" s="760">
        <f>'Arable Inputs'!$H$25</f>
        <v>94.285714285714292</v>
      </c>
      <c r="BV149" s="762">
        <f t="shared" si="368"/>
        <v>886.28571428571433</v>
      </c>
      <c r="BW149" s="197">
        <f>'Arable NPV'!$D128</f>
        <v>330</v>
      </c>
      <c r="BX149" s="197">
        <f t="shared" si="399"/>
        <v>1216.2857142857142</v>
      </c>
      <c r="BY149" s="197">
        <f>'Arable NPV'!$F128</f>
        <v>566.71194999999989</v>
      </c>
      <c r="BZ149" s="197">
        <f>'Arable NPV'!$G128</f>
        <v>691.46913599999993</v>
      </c>
      <c r="CA149" s="197">
        <f t="shared" si="369"/>
        <v>1258.1810859999998</v>
      </c>
      <c r="CB149" s="197">
        <f t="shared" si="370"/>
        <v>-371.89537171428549</v>
      </c>
      <c r="CC149" s="197">
        <f t="shared" si="371"/>
        <v>-41.895371714285602</v>
      </c>
      <c r="CD149" s="196">
        <f t="shared" si="372"/>
        <v>466.88425821851632</v>
      </c>
      <c r="CE149" s="197">
        <f t="shared" si="373"/>
        <v>173.83988337923478</v>
      </c>
      <c r="CF149" s="197">
        <f t="shared" si="374"/>
        <v>662.79410078848161</v>
      </c>
      <c r="CG149" s="197">
        <f t="shared" si="375"/>
        <v>-195.90984256996532</v>
      </c>
      <c r="CH149" s="199">
        <f t="shared" si="376"/>
        <v>-22.069959190730607</v>
      </c>
      <c r="CI149" s="196">
        <f t="shared" si="377"/>
        <v>7876.3099820723419</v>
      </c>
      <c r="CJ149" s="197">
        <f t="shared" si="378"/>
        <v>2932.6686103460838</v>
      </c>
      <c r="CK149" s="197">
        <f t="shared" si="379"/>
        <v>11181.297506191959</v>
      </c>
      <c r="CL149" s="197">
        <f t="shared" si="380"/>
        <v>-3304.9875241196182</v>
      </c>
      <c r="CM149" s="199">
        <f t="shared" si="381"/>
        <v>-372.3189137735352</v>
      </c>
      <c r="CP149" s="900">
        <v>12</v>
      </c>
      <c r="CQ149" s="911">
        <f>'Arable Inputs'!$H$18</f>
        <v>9.4</v>
      </c>
      <c r="CR149" s="760">
        <f>'Arable Inputs'!$H$25</f>
        <v>94.285714285714292</v>
      </c>
      <c r="CS149" s="762">
        <f t="shared" si="382"/>
        <v>886.28571428571433</v>
      </c>
      <c r="CT149" s="197">
        <f>'Arable NPV'!$D128</f>
        <v>330</v>
      </c>
      <c r="CU149" s="197">
        <f t="shared" si="400"/>
        <v>1216.2857142857142</v>
      </c>
      <c r="CV149" s="197">
        <f>'Arable NPV'!$F128</f>
        <v>566.71194999999989</v>
      </c>
      <c r="CW149" s="197">
        <f>'Arable NPV'!$G128</f>
        <v>691.46913599999993</v>
      </c>
      <c r="CX149" s="197">
        <f t="shared" si="383"/>
        <v>1258.1810859999998</v>
      </c>
      <c r="CY149" s="197">
        <f t="shared" si="384"/>
        <v>-371.89537171428549</v>
      </c>
      <c r="CZ149" s="197">
        <f t="shared" si="385"/>
        <v>-41.895371714285602</v>
      </c>
      <c r="DA149" s="196">
        <f t="shared" si="386"/>
        <v>886.28571428571433</v>
      </c>
      <c r="DB149" s="197">
        <f t="shared" si="387"/>
        <v>330</v>
      </c>
      <c r="DC149" s="197">
        <f t="shared" si="388"/>
        <v>1258.1810859999998</v>
      </c>
      <c r="DD149" s="197">
        <f t="shared" si="389"/>
        <v>-371.89537171428549</v>
      </c>
      <c r="DE149" s="199">
        <f t="shared" si="390"/>
        <v>-41.895371714285602</v>
      </c>
      <c r="DF149" s="196">
        <f t="shared" si="391"/>
        <v>10635.428571428572</v>
      </c>
      <c r="DG149" s="197">
        <f t="shared" si="392"/>
        <v>3960</v>
      </c>
      <c r="DH149" s="197">
        <f t="shared" si="393"/>
        <v>15098.173032000001</v>
      </c>
      <c r="DI149" s="197">
        <f t="shared" si="394"/>
        <v>-4462.7444605714254</v>
      </c>
      <c r="DJ149" s="199">
        <f t="shared" si="395"/>
        <v>-502.74446057142723</v>
      </c>
    </row>
    <row r="150" spans="2:114" x14ac:dyDescent="0.3">
      <c r="B150" s="900">
        <v>13</v>
      </c>
      <c r="C150" s="911">
        <f>'Arable Inputs'!$H$18</f>
        <v>9.4</v>
      </c>
      <c r="D150" s="760">
        <f>'Arable Inputs'!$H$25</f>
        <v>94.285714285714292</v>
      </c>
      <c r="E150" s="762">
        <f t="shared" si="330"/>
        <v>886.28571428571433</v>
      </c>
      <c r="F150" s="197">
        <f>'Arable NPV'!$D129</f>
        <v>330</v>
      </c>
      <c r="G150" s="197">
        <f t="shared" si="396"/>
        <v>1216.2857142857142</v>
      </c>
      <c r="H150" s="197">
        <f>'Arable NPV'!$F129</f>
        <v>566.71194999999989</v>
      </c>
      <c r="I150" s="197">
        <f>'Arable NPV'!$G129</f>
        <v>691.46913599999993</v>
      </c>
      <c r="J150" s="197">
        <f t="shared" si="331"/>
        <v>1258.1810859999998</v>
      </c>
      <c r="K150" s="197">
        <f t="shared" si="332"/>
        <v>-371.89537171428549</v>
      </c>
      <c r="L150" s="197">
        <f t="shared" si="333"/>
        <v>-41.895371714285602</v>
      </c>
      <c r="M150" s="196">
        <f t="shared" si="334"/>
        <v>621.622968102458</v>
      </c>
      <c r="N150" s="197">
        <f t="shared" si="335"/>
        <v>231.45536046368116</v>
      </c>
      <c r="O150" s="197">
        <f t="shared" si="336"/>
        <v>882.46289935974482</v>
      </c>
      <c r="P150" s="197">
        <f t="shared" si="337"/>
        <v>-260.83993125728682</v>
      </c>
      <c r="Q150" s="199">
        <f t="shared" si="338"/>
        <v>-29.384570793605715</v>
      </c>
      <c r="R150" s="196">
        <f t="shared" si="339"/>
        <v>9708.3772537275963</v>
      </c>
      <c r="S150" s="197">
        <f t="shared" si="339"/>
        <v>3614.8213178772971</v>
      </c>
      <c r="T150" s="197">
        <f t="shared" si="339"/>
        <v>13782.120640675175</v>
      </c>
      <c r="U150" s="197">
        <f t="shared" si="339"/>
        <v>-4073.7433869475772</v>
      </c>
      <c r="V150" s="199">
        <f t="shared" si="339"/>
        <v>-458.92206907028213</v>
      </c>
      <c r="Y150" s="900">
        <v>13</v>
      </c>
      <c r="Z150" s="911">
        <f>'Arable Inputs'!$H$18</f>
        <v>9.4</v>
      </c>
      <c r="AA150" s="760">
        <f>'Arable Inputs'!$H$25</f>
        <v>94.285714285714292</v>
      </c>
      <c r="AB150" s="762">
        <f t="shared" si="340"/>
        <v>886.28571428571433</v>
      </c>
      <c r="AC150" s="197">
        <f>'Arable NPV'!$D129</f>
        <v>330</v>
      </c>
      <c r="AD150" s="197">
        <f t="shared" si="397"/>
        <v>1216.2857142857142</v>
      </c>
      <c r="AE150" s="197">
        <f>'Arable NPV'!$F129</f>
        <v>566.71194999999989</v>
      </c>
      <c r="AF150" s="197">
        <f>'Arable NPV'!$G129</f>
        <v>691.46913599999993</v>
      </c>
      <c r="AG150" s="197">
        <f t="shared" si="341"/>
        <v>1258.1810859999998</v>
      </c>
      <c r="AH150" s="197">
        <f t="shared" si="342"/>
        <v>-371.89537171428549</v>
      </c>
      <c r="AI150" s="197">
        <f t="shared" si="343"/>
        <v>-41.895371714285602</v>
      </c>
      <c r="AJ150" s="196">
        <f t="shared" si="344"/>
        <v>522.61065966103467</v>
      </c>
      <c r="AK150" s="197">
        <f t="shared" si="345"/>
        <v>194.58907540570439</v>
      </c>
      <c r="AL150" s="197">
        <f t="shared" si="346"/>
        <v>741.9039218717727</v>
      </c>
      <c r="AM150" s="197">
        <f t="shared" si="347"/>
        <v>-219.29326221073805</v>
      </c>
      <c r="AN150" s="199">
        <f t="shared" si="348"/>
        <v>-24.704186805033743</v>
      </c>
      <c r="AO150" s="196">
        <f t="shared" si="349"/>
        <v>8967.9535948341727</v>
      </c>
      <c r="AP150" s="197">
        <f t="shared" si="350"/>
        <v>3339.1316576510212</v>
      </c>
      <c r="AQ150" s="197">
        <f t="shared" si="351"/>
        <v>12731.00695551619</v>
      </c>
      <c r="AR150" s="197">
        <f t="shared" si="352"/>
        <v>-3763.053360682015</v>
      </c>
      <c r="AS150" s="199">
        <f t="shared" si="353"/>
        <v>-423.92170303099454</v>
      </c>
      <c r="AV150" s="900">
        <v>13</v>
      </c>
      <c r="AW150" s="911">
        <f>'Arable Inputs'!$H$18</f>
        <v>9.4</v>
      </c>
      <c r="AX150" s="760">
        <f>'Arable Inputs'!$H$25</f>
        <v>94.285714285714292</v>
      </c>
      <c r="AY150" s="762">
        <f t="shared" si="354"/>
        <v>886.28571428571433</v>
      </c>
      <c r="AZ150" s="197">
        <f>'Arable NPV'!$D129</f>
        <v>330</v>
      </c>
      <c r="BA150" s="197">
        <f t="shared" si="398"/>
        <v>1216.2857142857142</v>
      </c>
      <c r="BB150" s="197">
        <f>'Arable NPV'!$F129</f>
        <v>566.71194999999989</v>
      </c>
      <c r="BC150" s="197">
        <f>'Arable NPV'!$G129</f>
        <v>691.46913599999993</v>
      </c>
      <c r="BD150" s="197">
        <f t="shared" si="355"/>
        <v>1258.1810859999998</v>
      </c>
      <c r="BE150" s="197">
        <f t="shared" si="356"/>
        <v>-371.89537171428549</v>
      </c>
      <c r="BF150" s="197">
        <f t="shared" si="357"/>
        <v>-41.895371714285602</v>
      </c>
      <c r="BG150" s="196">
        <f t="shared" si="358"/>
        <v>741.27822363414862</v>
      </c>
      <c r="BH150" s="197">
        <f t="shared" si="359"/>
        <v>276.00784922548087</v>
      </c>
      <c r="BI150" s="197">
        <f t="shared" si="360"/>
        <v>1052.32683479709</v>
      </c>
      <c r="BJ150" s="197">
        <f t="shared" si="361"/>
        <v>-311.04861116294143</v>
      </c>
      <c r="BK150" s="199">
        <f t="shared" si="362"/>
        <v>-35.040761937460658</v>
      </c>
      <c r="BL150" s="196">
        <f t="shared" si="363"/>
        <v>10553.451757723516</v>
      </c>
      <c r="BM150" s="197">
        <f t="shared" si="364"/>
        <v>3929.4767183013091</v>
      </c>
      <c r="BN150" s="197">
        <f t="shared" si="365"/>
        <v>14981.797832860779</v>
      </c>
      <c r="BO150" s="197">
        <f t="shared" si="366"/>
        <v>-4428.3460751372622</v>
      </c>
      <c r="BP150" s="199">
        <f t="shared" si="367"/>
        <v>-498.869356835953</v>
      </c>
      <c r="BS150" s="900">
        <v>13</v>
      </c>
      <c r="BT150" s="911">
        <f>'Arable Inputs'!$H$18</f>
        <v>9.4</v>
      </c>
      <c r="BU150" s="760">
        <f>'Arable Inputs'!$H$25</f>
        <v>94.285714285714292</v>
      </c>
      <c r="BV150" s="762">
        <f t="shared" si="368"/>
        <v>886.28571428571433</v>
      </c>
      <c r="BW150" s="197">
        <f>'Arable NPV'!$D129</f>
        <v>330</v>
      </c>
      <c r="BX150" s="197">
        <f t="shared" si="399"/>
        <v>1216.2857142857142</v>
      </c>
      <c r="BY150" s="197">
        <f>'Arable NPV'!$F129</f>
        <v>566.71194999999989</v>
      </c>
      <c r="BZ150" s="197">
        <f>'Arable NPV'!$G129</f>
        <v>691.46913599999993</v>
      </c>
      <c r="CA150" s="197">
        <f t="shared" si="369"/>
        <v>1258.1810859999998</v>
      </c>
      <c r="CB150" s="197">
        <f t="shared" si="370"/>
        <v>-371.89537171428549</v>
      </c>
      <c r="CC150" s="197">
        <f t="shared" si="371"/>
        <v>-41.895371714285602</v>
      </c>
      <c r="CD150" s="196">
        <f t="shared" si="372"/>
        <v>440.45684737595877</v>
      </c>
      <c r="CE150" s="197">
        <f t="shared" si="373"/>
        <v>163.99988998041016</v>
      </c>
      <c r="CF150" s="197">
        <f t="shared" si="374"/>
        <v>625.27745357403921</v>
      </c>
      <c r="CG150" s="197">
        <f t="shared" si="375"/>
        <v>-184.8206061980805</v>
      </c>
      <c r="CH150" s="199">
        <f t="shared" si="376"/>
        <v>-20.820716217670384</v>
      </c>
      <c r="CI150" s="196">
        <f t="shared" si="377"/>
        <v>8316.766829448301</v>
      </c>
      <c r="CJ150" s="197">
        <f t="shared" si="378"/>
        <v>3096.6685003264938</v>
      </c>
      <c r="CK150" s="197">
        <f t="shared" si="379"/>
        <v>11806.574959765998</v>
      </c>
      <c r="CL150" s="197">
        <f t="shared" si="380"/>
        <v>-3489.8081303176987</v>
      </c>
      <c r="CM150" s="199">
        <f t="shared" si="381"/>
        <v>-393.1396299912056</v>
      </c>
      <c r="CP150" s="900">
        <v>13</v>
      </c>
      <c r="CQ150" s="911">
        <f>'Arable Inputs'!$H$18</f>
        <v>9.4</v>
      </c>
      <c r="CR150" s="760">
        <f>'Arable Inputs'!$H$25</f>
        <v>94.285714285714292</v>
      </c>
      <c r="CS150" s="762">
        <f t="shared" si="382"/>
        <v>886.28571428571433</v>
      </c>
      <c r="CT150" s="197">
        <f>'Arable NPV'!$D129</f>
        <v>330</v>
      </c>
      <c r="CU150" s="197">
        <f t="shared" si="400"/>
        <v>1216.2857142857142</v>
      </c>
      <c r="CV150" s="197">
        <f>'Arable NPV'!$F129</f>
        <v>566.71194999999989</v>
      </c>
      <c r="CW150" s="197">
        <f>'Arable NPV'!$G129</f>
        <v>691.46913599999993</v>
      </c>
      <c r="CX150" s="197">
        <f t="shared" si="383"/>
        <v>1258.1810859999998</v>
      </c>
      <c r="CY150" s="197">
        <f t="shared" si="384"/>
        <v>-371.89537171428549</v>
      </c>
      <c r="CZ150" s="197">
        <f t="shared" si="385"/>
        <v>-41.895371714285602</v>
      </c>
      <c r="DA150" s="196">
        <f t="shared" si="386"/>
        <v>886.28571428571433</v>
      </c>
      <c r="DB150" s="197">
        <f t="shared" si="387"/>
        <v>330</v>
      </c>
      <c r="DC150" s="197">
        <f t="shared" si="388"/>
        <v>1258.1810859999998</v>
      </c>
      <c r="DD150" s="197">
        <f t="shared" si="389"/>
        <v>-371.89537171428549</v>
      </c>
      <c r="DE150" s="199">
        <f t="shared" si="390"/>
        <v>-41.895371714285602</v>
      </c>
      <c r="DF150" s="196">
        <f t="shared" si="391"/>
        <v>11521.714285714286</v>
      </c>
      <c r="DG150" s="197">
        <f t="shared" si="392"/>
        <v>4290</v>
      </c>
      <c r="DH150" s="197">
        <f t="shared" si="393"/>
        <v>16356.354118000001</v>
      </c>
      <c r="DI150" s="197">
        <f t="shared" si="394"/>
        <v>-4834.6398322857112</v>
      </c>
      <c r="DJ150" s="199">
        <f t="shared" si="395"/>
        <v>-544.63983228571283</v>
      </c>
    </row>
    <row r="151" spans="2:114" x14ac:dyDescent="0.3">
      <c r="B151" s="900">
        <v>14</v>
      </c>
      <c r="C151" s="911">
        <f>'Arable Inputs'!$H$18</f>
        <v>9.4</v>
      </c>
      <c r="D151" s="760">
        <f>'Arable Inputs'!$H$25</f>
        <v>94.285714285714292</v>
      </c>
      <c r="E151" s="762">
        <f t="shared" si="330"/>
        <v>886.28571428571433</v>
      </c>
      <c r="F151" s="197">
        <f>'Arable NPV'!$D130</f>
        <v>330</v>
      </c>
      <c r="G151" s="197">
        <f t="shared" si="396"/>
        <v>1216.2857142857142</v>
      </c>
      <c r="H151" s="197">
        <f>'Arable NPV'!$F130</f>
        <v>566.71194999999989</v>
      </c>
      <c r="I151" s="197">
        <f>'Arable NPV'!$G130</f>
        <v>691.46913599999993</v>
      </c>
      <c r="J151" s="197">
        <f t="shared" si="331"/>
        <v>1258.1810859999998</v>
      </c>
      <c r="K151" s="197">
        <f t="shared" si="332"/>
        <v>-371.89537171428549</v>
      </c>
      <c r="L151" s="197">
        <f t="shared" si="333"/>
        <v>-41.895371714285602</v>
      </c>
      <c r="M151" s="196">
        <f t="shared" si="334"/>
        <v>603.51744475966802</v>
      </c>
      <c r="N151" s="197">
        <f t="shared" si="335"/>
        <v>224.71394219774871</v>
      </c>
      <c r="O151" s="197">
        <f t="shared" si="336"/>
        <v>856.76009646577165</v>
      </c>
      <c r="P151" s="197">
        <f t="shared" si="337"/>
        <v>-253.24265170610369</v>
      </c>
      <c r="Q151" s="199">
        <f t="shared" si="338"/>
        <v>-28.528709508355064</v>
      </c>
      <c r="R151" s="196">
        <f t="shared" si="339"/>
        <v>10311.894698487264</v>
      </c>
      <c r="S151" s="197">
        <f t="shared" si="339"/>
        <v>3839.5352600750457</v>
      </c>
      <c r="T151" s="197">
        <f t="shared" si="339"/>
        <v>14638.880737140948</v>
      </c>
      <c r="U151" s="197">
        <f t="shared" si="339"/>
        <v>-4326.9860386536811</v>
      </c>
      <c r="V151" s="199">
        <f t="shared" si="339"/>
        <v>-487.4507785786372</v>
      </c>
      <c r="Y151" s="900">
        <v>14</v>
      </c>
      <c r="Z151" s="911">
        <f>'Arable Inputs'!$H$18</f>
        <v>9.4</v>
      </c>
      <c r="AA151" s="760">
        <f>'Arable Inputs'!$H$25</f>
        <v>94.285714285714292</v>
      </c>
      <c r="AB151" s="762">
        <f t="shared" si="340"/>
        <v>886.28571428571433</v>
      </c>
      <c r="AC151" s="197">
        <f>'Arable NPV'!$D130</f>
        <v>330</v>
      </c>
      <c r="AD151" s="197">
        <f t="shared" si="397"/>
        <v>1216.2857142857142</v>
      </c>
      <c r="AE151" s="197">
        <f>'Arable NPV'!$F130</f>
        <v>566.71194999999989</v>
      </c>
      <c r="AF151" s="197">
        <f>'Arable NPV'!$G130</f>
        <v>691.46913599999993</v>
      </c>
      <c r="AG151" s="197">
        <f t="shared" si="341"/>
        <v>1258.1810859999998</v>
      </c>
      <c r="AH151" s="197">
        <f t="shared" si="342"/>
        <v>-371.89537171428549</v>
      </c>
      <c r="AI151" s="197">
        <f t="shared" si="343"/>
        <v>-41.895371714285602</v>
      </c>
      <c r="AJ151" s="196">
        <f t="shared" si="344"/>
        <v>500.10589441247333</v>
      </c>
      <c r="AK151" s="197">
        <f t="shared" si="345"/>
        <v>186.20964153655922</v>
      </c>
      <c r="AL151" s="197">
        <f t="shared" si="346"/>
        <v>709.95590609739008</v>
      </c>
      <c r="AM151" s="197">
        <f t="shared" si="347"/>
        <v>-209.85001168491678</v>
      </c>
      <c r="AN151" s="199">
        <f t="shared" si="348"/>
        <v>-23.640370148357647</v>
      </c>
      <c r="AO151" s="196">
        <f t="shared" si="349"/>
        <v>9468.0594892466452</v>
      </c>
      <c r="AP151" s="197">
        <f t="shared" si="350"/>
        <v>3525.3412991875803</v>
      </c>
      <c r="AQ151" s="197">
        <f t="shared" si="351"/>
        <v>13440.96286161358</v>
      </c>
      <c r="AR151" s="197">
        <f t="shared" si="352"/>
        <v>-3972.9033723669318</v>
      </c>
      <c r="AS151" s="199">
        <f t="shared" si="353"/>
        <v>-447.56207317935218</v>
      </c>
      <c r="AV151" s="900">
        <v>14</v>
      </c>
      <c r="AW151" s="911">
        <f>'Arable Inputs'!$H$18</f>
        <v>9.4</v>
      </c>
      <c r="AX151" s="760">
        <f>'Arable Inputs'!$H$25</f>
        <v>94.285714285714292</v>
      </c>
      <c r="AY151" s="762">
        <f t="shared" si="354"/>
        <v>886.28571428571433</v>
      </c>
      <c r="AZ151" s="197">
        <f>'Arable NPV'!$D130</f>
        <v>330</v>
      </c>
      <c r="BA151" s="197">
        <f t="shared" si="398"/>
        <v>1216.2857142857142</v>
      </c>
      <c r="BB151" s="197">
        <f>'Arable NPV'!$F130</f>
        <v>566.71194999999989</v>
      </c>
      <c r="BC151" s="197">
        <f>'Arable NPV'!$G130</f>
        <v>691.46913599999993</v>
      </c>
      <c r="BD151" s="197">
        <f t="shared" si="355"/>
        <v>1258.1810859999998</v>
      </c>
      <c r="BE151" s="197">
        <f t="shared" si="356"/>
        <v>-371.89537171428549</v>
      </c>
      <c r="BF151" s="197">
        <f t="shared" si="357"/>
        <v>-41.895371714285602</v>
      </c>
      <c r="BG151" s="196">
        <f t="shared" si="358"/>
        <v>730.32337303857014</v>
      </c>
      <c r="BH151" s="197">
        <f t="shared" si="359"/>
        <v>271.92891549308462</v>
      </c>
      <c r="BI151" s="197">
        <f t="shared" si="360"/>
        <v>1036.7752066966405</v>
      </c>
      <c r="BJ151" s="197">
        <f t="shared" si="361"/>
        <v>-306.45183365807037</v>
      </c>
      <c r="BK151" s="199">
        <f t="shared" si="362"/>
        <v>-34.522918164985867</v>
      </c>
      <c r="BL151" s="196">
        <f t="shared" si="363"/>
        <v>11283.775130762087</v>
      </c>
      <c r="BM151" s="197">
        <f t="shared" si="364"/>
        <v>4201.4056337943939</v>
      </c>
      <c r="BN151" s="197">
        <f t="shared" si="365"/>
        <v>16018.573039557419</v>
      </c>
      <c r="BO151" s="197">
        <f t="shared" si="366"/>
        <v>-4734.7979087953327</v>
      </c>
      <c r="BP151" s="199">
        <f t="shared" si="367"/>
        <v>-533.39227500093887</v>
      </c>
      <c r="BS151" s="900">
        <v>14</v>
      </c>
      <c r="BT151" s="911">
        <f>'Arable Inputs'!$H$18</f>
        <v>9.4</v>
      </c>
      <c r="BU151" s="760">
        <f>'Arable Inputs'!$H$25</f>
        <v>94.285714285714292</v>
      </c>
      <c r="BV151" s="762">
        <f t="shared" si="368"/>
        <v>886.28571428571433</v>
      </c>
      <c r="BW151" s="197">
        <f>'Arable NPV'!$D130</f>
        <v>330</v>
      </c>
      <c r="BX151" s="197">
        <f t="shared" si="399"/>
        <v>1216.2857142857142</v>
      </c>
      <c r="BY151" s="197">
        <f>'Arable NPV'!$F130</f>
        <v>566.71194999999989</v>
      </c>
      <c r="BZ151" s="197">
        <f>'Arable NPV'!$G130</f>
        <v>691.46913599999993</v>
      </c>
      <c r="CA151" s="197">
        <f t="shared" si="369"/>
        <v>1258.1810859999998</v>
      </c>
      <c r="CB151" s="197">
        <f t="shared" si="370"/>
        <v>-371.89537171428549</v>
      </c>
      <c r="CC151" s="197">
        <f t="shared" si="371"/>
        <v>-41.895371714285602</v>
      </c>
      <c r="CD151" s="196">
        <f t="shared" si="372"/>
        <v>415.52532771316856</v>
      </c>
      <c r="CE151" s="197">
        <f t="shared" si="373"/>
        <v>154.71687734000957</v>
      </c>
      <c r="CF151" s="197">
        <f t="shared" si="374"/>
        <v>589.88439016418795</v>
      </c>
      <c r="CG151" s="197">
        <f t="shared" si="375"/>
        <v>-174.35906245101933</v>
      </c>
      <c r="CH151" s="199">
        <f t="shared" si="376"/>
        <v>-19.642185111009795</v>
      </c>
      <c r="CI151" s="196">
        <f t="shared" si="377"/>
        <v>8732.2921571614697</v>
      </c>
      <c r="CJ151" s="197">
        <f t="shared" si="378"/>
        <v>3251.3853776665032</v>
      </c>
      <c r="CK151" s="197">
        <f t="shared" si="379"/>
        <v>12396.459349930186</v>
      </c>
      <c r="CL151" s="197">
        <f t="shared" si="380"/>
        <v>-3664.167192768718</v>
      </c>
      <c r="CM151" s="199">
        <f t="shared" si="381"/>
        <v>-412.78181510221538</v>
      </c>
      <c r="CP151" s="900">
        <v>14</v>
      </c>
      <c r="CQ151" s="911">
        <f>'Arable Inputs'!$H$18</f>
        <v>9.4</v>
      </c>
      <c r="CR151" s="760">
        <f>'Arable Inputs'!$H$25</f>
        <v>94.285714285714292</v>
      </c>
      <c r="CS151" s="762">
        <f t="shared" si="382"/>
        <v>886.28571428571433</v>
      </c>
      <c r="CT151" s="197">
        <f>'Arable NPV'!$D130</f>
        <v>330</v>
      </c>
      <c r="CU151" s="197">
        <f t="shared" si="400"/>
        <v>1216.2857142857142</v>
      </c>
      <c r="CV151" s="197">
        <f>'Arable NPV'!$F130</f>
        <v>566.71194999999989</v>
      </c>
      <c r="CW151" s="197">
        <f>'Arable NPV'!$G130</f>
        <v>691.46913599999993</v>
      </c>
      <c r="CX151" s="197">
        <f t="shared" si="383"/>
        <v>1258.1810859999998</v>
      </c>
      <c r="CY151" s="197">
        <f t="shared" si="384"/>
        <v>-371.89537171428549</v>
      </c>
      <c r="CZ151" s="197">
        <f t="shared" si="385"/>
        <v>-41.895371714285602</v>
      </c>
      <c r="DA151" s="196">
        <f t="shared" si="386"/>
        <v>886.28571428571433</v>
      </c>
      <c r="DB151" s="197">
        <f t="shared" si="387"/>
        <v>330</v>
      </c>
      <c r="DC151" s="197">
        <f t="shared" si="388"/>
        <v>1258.1810859999998</v>
      </c>
      <c r="DD151" s="197">
        <f t="shared" si="389"/>
        <v>-371.89537171428549</v>
      </c>
      <c r="DE151" s="199">
        <f t="shared" si="390"/>
        <v>-41.895371714285602</v>
      </c>
      <c r="DF151" s="196">
        <f t="shared" si="391"/>
        <v>12408</v>
      </c>
      <c r="DG151" s="197">
        <f t="shared" si="392"/>
        <v>4620</v>
      </c>
      <c r="DH151" s="197">
        <f t="shared" si="393"/>
        <v>17614.535204</v>
      </c>
      <c r="DI151" s="197">
        <f t="shared" si="394"/>
        <v>-5206.5352039999971</v>
      </c>
      <c r="DJ151" s="199">
        <f t="shared" si="395"/>
        <v>-586.53520399999843</v>
      </c>
    </row>
    <row r="152" spans="2:114" x14ac:dyDescent="0.3">
      <c r="B152" s="900">
        <v>15</v>
      </c>
      <c r="C152" s="911">
        <f>'Arable Inputs'!$H$18</f>
        <v>9.4</v>
      </c>
      <c r="D152" s="760">
        <f>'Arable Inputs'!$H$25</f>
        <v>94.285714285714292</v>
      </c>
      <c r="E152" s="762">
        <f t="shared" si="330"/>
        <v>886.28571428571433</v>
      </c>
      <c r="F152" s="197">
        <f>'Arable NPV'!$D131</f>
        <v>330</v>
      </c>
      <c r="G152" s="197">
        <f t="shared" si="396"/>
        <v>1216.2857142857142</v>
      </c>
      <c r="H152" s="197">
        <f>'Arable NPV'!$F131</f>
        <v>566.71194999999989</v>
      </c>
      <c r="I152" s="197">
        <f>'Arable NPV'!$G131</f>
        <v>691.46913599999993</v>
      </c>
      <c r="J152" s="197">
        <f t="shared" si="331"/>
        <v>1258.1810859999998</v>
      </c>
      <c r="K152" s="197">
        <f t="shared" si="332"/>
        <v>-371.89537171428549</v>
      </c>
      <c r="L152" s="197">
        <f t="shared" si="333"/>
        <v>-41.895371714285602</v>
      </c>
      <c r="M152" s="196">
        <f t="shared" si="334"/>
        <v>585.93926675695911</v>
      </c>
      <c r="N152" s="197">
        <f t="shared" si="335"/>
        <v>218.16887592014436</v>
      </c>
      <c r="O152" s="197">
        <f t="shared" si="336"/>
        <v>831.80591889880736</v>
      </c>
      <c r="P152" s="197">
        <f t="shared" si="337"/>
        <v>-245.86665214184822</v>
      </c>
      <c r="Q152" s="199">
        <f t="shared" si="338"/>
        <v>-27.697776221703943</v>
      </c>
      <c r="R152" s="196">
        <f t="shared" si="339"/>
        <v>10897.833965244223</v>
      </c>
      <c r="S152" s="197">
        <f t="shared" si="339"/>
        <v>4057.70413599519</v>
      </c>
      <c r="T152" s="197">
        <f t="shared" si="339"/>
        <v>15470.686656039756</v>
      </c>
      <c r="U152" s="197">
        <f t="shared" si="339"/>
        <v>-4572.8526907955293</v>
      </c>
      <c r="V152" s="199">
        <f t="shared" si="339"/>
        <v>-515.14855480034112</v>
      </c>
      <c r="Y152" s="900">
        <v>15</v>
      </c>
      <c r="Z152" s="911">
        <f>'Arable Inputs'!$H$18</f>
        <v>9.4</v>
      </c>
      <c r="AA152" s="760">
        <f>'Arable Inputs'!$H$25</f>
        <v>94.285714285714292</v>
      </c>
      <c r="AB152" s="762">
        <f t="shared" si="340"/>
        <v>886.28571428571433</v>
      </c>
      <c r="AC152" s="197">
        <f>'Arable NPV'!$D131</f>
        <v>330</v>
      </c>
      <c r="AD152" s="197">
        <f t="shared" si="397"/>
        <v>1216.2857142857142</v>
      </c>
      <c r="AE152" s="197">
        <f>'Arable NPV'!$F131</f>
        <v>566.71194999999989</v>
      </c>
      <c r="AF152" s="197">
        <f>'Arable NPV'!$G131</f>
        <v>691.46913599999993</v>
      </c>
      <c r="AG152" s="197">
        <f t="shared" si="341"/>
        <v>1258.1810859999998</v>
      </c>
      <c r="AH152" s="197">
        <f t="shared" si="342"/>
        <v>-371.89537171428549</v>
      </c>
      <c r="AI152" s="197">
        <f t="shared" si="343"/>
        <v>-41.895371714285602</v>
      </c>
      <c r="AJ152" s="196">
        <f t="shared" si="344"/>
        <v>478.57023388753441</v>
      </c>
      <c r="AK152" s="197">
        <f t="shared" si="345"/>
        <v>178.1910445325926</v>
      </c>
      <c r="AL152" s="197">
        <f t="shared" si="346"/>
        <v>679.3836421984596</v>
      </c>
      <c r="AM152" s="197">
        <f t="shared" si="347"/>
        <v>-200.81340831092521</v>
      </c>
      <c r="AN152" s="199">
        <f t="shared" si="348"/>
        <v>-22.622363778332684</v>
      </c>
      <c r="AO152" s="196">
        <f t="shared" si="349"/>
        <v>9946.6297231341796</v>
      </c>
      <c r="AP152" s="197">
        <f t="shared" si="350"/>
        <v>3703.5323437201728</v>
      </c>
      <c r="AQ152" s="197">
        <f t="shared" si="351"/>
        <v>14120.346503812039</v>
      </c>
      <c r="AR152" s="197">
        <f t="shared" si="352"/>
        <v>-4173.7167806778571</v>
      </c>
      <c r="AS152" s="199">
        <f t="shared" si="353"/>
        <v>-470.18443695768485</v>
      </c>
      <c r="AV152" s="900">
        <v>15</v>
      </c>
      <c r="AW152" s="911">
        <f>'Arable Inputs'!$H$18</f>
        <v>9.4</v>
      </c>
      <c r="AX152" s="760">
        <f>'Arable Inputs'!$H$25</f>
        <v>94.285714285714292</v>
      </c>
      <c r="AY152" s="762">
        <f t="shared" si="354"/>
        <v>886.28571428571433</v>
      </c>
      <c r="AZ152" s="197">
        <f>'Arable NPV'!$D131</f>
        <v>330</v>
      </c>
      <c r="BA152" s="197">
        <f t="shared" si="398"/>
        <v>1216.2857142857142</v>
      </c>
      <c r="BB152" s="197">
        <f>'Arable NPV'!$F131</f>
        <v>566.71194999999989</v>
      </c>
      <c r="BC152" s="197">
        <f>'Arable NPV'!$G131</f>
        <v>691.46913599999993</v>
      </c>
      <c r="BD152" s="197">
        <f t="shared" si="355"/>
        <v>1258.1810859999998</v>
      </c>
      <c r="BE152" s="197">
        <f t="shared" si="356"/>
        <v>-371.89537171428549</v>
      </c>
      <c r="BF152" s="197">
        <f t="shared" si="357"/>
        <v>-41.895371714285602</v>
      </c>
      <c r="BG152" s="196">
        <f t="shared" si="358"/>
        <v>719.5304167867688</v>
      </c>
      <c r="BH152" s="197">
        <f t="shared" si="359"/>
        <v>267.91026156954155</v>
      </c>
      <c r="BI152" s="197">
        <f t="shared" si="360"/>
        <v>1021.4534056124539</v>
      </c>
      <c r="BJ152" s="197">
        <f t="shared" si="361"/>
        <v>-301.9229888256852</v>
      </c>
      <c r="BK152" s="199">
        <f t="shared" si="362"/>
        <v>-34.01272725614372</v>
      </c>
      <c r="BL152" s="196">
        <f t="shared" si="363"/>
        <v>12003.305547548856</v>
      </c>
      <c r="BM152" s="197">
        <f t="shared" si="364"/>
        <v>4469.3158953639359</v>
      </c>
      <c r="BN152" s="197">
        <f t="shared" si="365"/>
        <v>17040.026445169875</v>
      </c>
      <c r="BO152" s="197">
        <f t="shared" si="366"/>
        <v>-5036.7208976210177</v>
      </c>
      <c r="BP152" s="199">
        <f t="shared" si="367"/>
        <v>-567.40500225708263</v>
      </c>
      <c r="BS152" s="900">
        <v>15</v>
      </c>
      <c r="BT152" s="911">
        <f>'Arable Inputs'!$H$18</f>
        <v>9.4</v>
      </c>
      <c r="BU152" s="760">
        <f>'Arable Inputs'!$H$25</f>
        <v>94.285714285714292</v>
      </c>
      <c r="BV152" s="762">
        <f t="shared" si="368"/>
        <v>886.28571428571433</v>
      </c>
      <c r="BW152" s="197">
        <f>'Arable NPV'!$D131</f>
        <v>330</v>
      </c>
      <c r="BX152" s="197">
        <f t="shared" si="399"/>
        <v>1216.2857142857142</v>
      </c>
      <c r="BY152" s="197">
        <f>'Arable NPV'!$F131</f>
        <v>566.71194999999989</v>
      </c>
      <c r="BZ152" s="197">
        <f>'Arable NPV'!$G131</f>
        <v>691.46913599999993</v>
      </c>
      <c r="CA152" s="197">
        <f t="shared" si="369"/>
        <v>1258.1810859999998</v>
      </c>
      <c r="CB152" s="197">
        <f t="shared" si="370"/>
        <v>-371.89537171428549</v>
      </c>
      <c r="CC152" s="197">
        <f t="shared" si="371"/>
        <v>-41.895371714285602</v>
      </c>
      <c r="CD152" s="196">
        <f t="shared" si="372"/>
        <v>392.00502614449869</v>
      </c>
      <c r="CE152" s="197">
        <f t="shared" si="373"/>
        <v>145.95931824529205</v>
      </c>
      <c r="CF152" s="197">
        <f t="shared" si="374"/>
        <v>556.49470770206403</v>
      </c>
      <c r="CG152" s="197">
        <f t="shared" si="375"/>
        <v>-164.4896815575654</v>
      </c>
      <c r="CH152" s="199">
        <f t="shared" si="376"/>
        <v>-18.530363312273391</v>
      </c>
      <c r="CI152" s="196">
        <f t="shared" si="377"/>
        <v>9124.2971833059692</v>
      </c>
      <c r="CJ152" s="197">
        <f t="shared" si="378"/>
        <v>3397.3446959117955</v>
      </c>
      <c r="CK152" s="197">
        <f t="shared" si="379"/>
        <v>12952.954057632251</v>
      </c>
      <c r="CL152" s="197">
        <f t="shared" si="380"/>
        <v>-3828.6568743262833</v>
      </c>
      <c r="CM152" s="199">
        <f t="shared" si="381"/>
        <v>-431.31217841448876</v>
      </c>
      <c r="CP152" s="900">
        <v>15</v>
      </c>
      <c r="CQ152" s="911">
        <f>'Arable Inputs'!$H$18</f>
        <v>9.4</v>
      </c>
      <c r="CR152" s="760">
        <f>'Arable Inputs'!$H$25</f>
        <v>94.285714285714292</v>
      </c>
      <c r="CS152" s="762">
        <f t="shared" si="382"/>
        <v>886.28571428571433</v>
      </c>
      <c r="CT152" s="197">
        <f>'Arable NPV'!$D131</f>
        <v>330</v>
      </c>
      <c r="CU152" s="197">
        <f t="shared" si="400"/>
        <v>1216.2857142857142</v>
      </c>
      <c r="CV152" s="197">
        <f>'Arable NPV'!$F131</f>
        <v>566.71194999999989</v>
      </c>
      <c r="CW152" s="197">
        <f>'Arable NPV'!$G131</f>
        <v>691.46913599999993</v>
      </c>
      <c r="CX152" s="197">
        <f t="shared" si="383"/>
        <v>1258.1810859999998</v>
      </c>
      <c r="CY152" s="197">
        <f t="shared" si="384"/>
        <v>-371.89537171428549</v>
      </c>
      <c r="CZ152" s="197">
        <f t="shared" si="385"/>
        <v>-41.895371714285602</v>
      </c>
      <c r="DA152" s="196">
        <f t="shared" si="386"/>
        <v>886.28571428571433</v>
      </c>
      <c r="DB152" s="197">
        <f t="shared" si="387"/>
        <v>330</v>
      </c>
      <c r="DC152" s="197">
        <f t="shared" si="388"/>
        <v>1258.1810859999998</v>
      </c>
      <c r="DD152" s="197">
        <f t="shared" si="389"/>
        <v>-371.89537171428549</v>
      </c>
      <c r="DE152" s="199">
        <f t="shared" si="390"/>
        <v>-41.895371714285602</v>
      </c>
      <c r="DF152" s="196">
        <f t="shared" si="391"/>
        <v>13294.285714285714</v>
      </c>
      <c r="DG152" s="197">
        <f t="shared" si="392"/>
        <v>4950</v>
      </c>
      <c r="DH152" s="197">
        <f t="shared" si="393"/>
        <v>18872.71629</v>
      </c>
      <c r="DI152" s="197">
        <f t="shared" si="394"/>
        <v>-5578.4305757142829</v>
      </c>
      <c r="DJ152" s="199">
        <f t="shared" si="395"/>
        <v>-628.43057571428403</v>
      </c>
    </row>
    <row r="153" spans="2:114" x14ac:dyDescent="0.3">
      <c r="B153" s="901">
        <v>16</v>
      </c>
      <c r="C153" s="912">
        <f>'Arable Inputs'!$H$18</f>
        <v>9.4</v>
      </c>
      <c r="D153" s="761">
        <f>'Arable Inputs'!$H$25</f>
        <v>94.285714285714292</v>
      </c>
      <c r="E153" s="207">
        <f t="shared" si="330"/>
        <v>886.28571428571433</v>
      </c>
      <c r="F153" s="207">
        <f>'Arable NPV'!$D132</f>
        <v>330</v>
      </c>
      <c r="G153" s="207">
        <f>E153+F153</f>
        <v>1216.2857142857142</v>
      </c>
      <c r="H153" s="207">
        <f>'Arable NPV'!$F132</f>
        <v>566.71194999999989</v>
      </c>
      <c r="I153" s="207">
        <f>'Arable NPV'!$G132</f>
        <v>691.46913599999993</v>
      </c>
      <c r="J153" s="207">
        <f t="shared" si="331"/>
        <v>1258.1810859999998</v>
      </c>
      <c r="K153" s="207">
        <f t="shared" si="332"/>
        <v>-371.89537171428549</v>
      </c>
      <c r="L153" s="207">
        <f t="shared" si="333"/>
        <v>-41.895371714285602</v>
      </c>
      <c r="M153" s="208">
        <f t="shared" si="334"/>
        <v>568.8730745213195</v>
      </c>
      <c r="N153" s="207">
        <f t="shared" si="335"/>
        <v>211.81444264091684</v>
      </c>
      <c r="O153" s="207">
        <f t="shared" si="336"/>
        <v>807.57856203767699</v>
      </c>
      <c r="P153" s="207">
        <f t="shared" si="337"/>
        <v>-238.70548751635749</v>
      </c>
      <c r="Q153" s="209">
        <f t="shared" si="338"/>
        <v>-26.89104487544072</v>
      </c>
      <c r="R153" s="208">
        <f t="shared" si="339"/>
        <v>11466.707039765543</v>
      </c>
      <c r="S153" s="207">
        <f t="shared" si="339"/>
        <v>4269.5185786361071</v>
      </c>
      <c r="T153" s="207">
        <f t="shared" si="339"/>
        <v>16278.265218077433</v>
      </c>
      <c r="U153" s="207">
        <f t="shared" si="339"/>
        <v>-4811.5581783118869</v>
      </c>
      <c r="V153" s="209">
        <f t="shared" si="339"/>
        <v>-542.0395996757818</v>
      </c>
      <c r="Y153" s="901">
        <v>16</v>
      </c>
      <c r="Z153" s="912">
        <f>'Arable Inputs'!$H$18</f>
        <v>9.4</v>
      </c>
      <c r="AA153" s="761">
        <f>'Arable Inputs'!$H$25</f>
        <v>94.285714285714292</v>
      </c>
      <c r="AB153" s="207">
        <f t="shared" si="340"/>
        <v>886.28571428571433</v>
      </c>
      <c r="AC153" s="207">
        <f>'Arable NPV'!$D132</f>
        <v>330</v>
      </c>
      <c r="AD153" s="207">
        <f>AB153+AC153</f>
        <v>1216.2857142857142</v>
      </c>
      <c r="AE153" s="207">
        <f>'Arable NPV'!$F132</f>
        <v>566.71194999999989</v>
      </c>
      <c r="AF153" s="207">
        <f>'Arable NPV'!$G132</f>
        <v>691.46913599999993</v>
      </c>
      <c r="AG153" s="207">
        <f t="shared" si="341"/>
        <v>1258.1810859999998</v>
      </c>
      <c r="AH153" s="207">
        <f t="shared" si="342"/>
        <v>-371.89537171428549</v>
      </c>
      <c r="AI153" s="207">
        <f t="shared" si="343"/>
        <v>-41.895371714285602</v>
      </c>
      <c r="AJ153" s="208">
        <f t="shared" si="344"/>
        <v>457.9619463038606</v>
      </c>
      <c r="AK153" s="207">
        <f t="shared" si="345"/>
        <v>170.51774596420341</v>
      </c>
      <c r="AL153" s="207">
        <f t="shared" si="346"/>
        <v>650.12788727125314</v>
      </c>
      <c r="AM153" s="207">
        <f t="shared" si="347"/>
        <v>-192.16594096739252</v>
      </c>
      <c r="AN153" s="209">
        <f t="shared" si="348"/>
        <v>-21.648195003189169</v>
      </c>
      <c r="AO153" s="208">
        <f t="shared" si="349"/>
        <v>10404.591669438039</v>
      </c>
      <c r="AP153" s="207">
        <f t="shared" si="350"/>
        <v>3874.050089684376</v>
      </c>
      <c r="AQ153" s="207">
        <f t="shared" si="351"/>
        <v>14770.474391083293</v>
      </c>
      <c r="AR153" s="207">
        <f t="shared" si="352"/>
        <v>-4365.8827216452491</v>
      </c>
      <c r="AS153" s="209">
        <f t="shared" si="353"/>
        <v>-491.83263196087404</v>
      </c>
      <c r="AV153" s="901">
        <v>16</v>
      </c>
      <c r="AW153" s="912">
        <f>'Arable Inputs'!$H$18</f>
        <v>9.4</v>
      </c>
      <c r="AX153" s="761">
        <f>'Arable Inputs'!$H$25</f>
        <v>94.285714285714292</v>
      </c>
      <c r="AY153" s="207">
        <f t="shared" si="354"/>
        <v>886.28571428571433</v>
      </c>
      <c r="AZ153" s="207">
        <f>'Arable NPV'!$D132</f>
        <v>330</v>
      </c>
      <c r="BA153" s="207">
        <f>AY153+AZ153</f>
        <v>1216.2857142857142</v>
      </c>
      <c r="BB153" s="207">
        <f>'Arable NPV'!$F132</f>
        <v>566.71194999999989</v>
      </c>
      <c r="BC153" s="207">
        <f>'Arable NPV'!$G132</f>
        <v>691.46913599999993</v>
      </c>
      <c r="BD153" s="207">
        <f t="shared" si="355"/>
        <v>1258.1810859999998</v>
      </c>
      <c r="BE153" s="207">
        <f t="shared" si="356"/>
        <v>-371.89537171428549</v>
      </c>
      <c r="BF153" s="207">
        <f t="shared" si="357"/>
        <v>-41.895371714285602</v>
      </c>
      <c r="BG153" s="208">
        <f t="shared" si="358"/>
        <v>708.89696235149643</v>
      </c>
      <c r="BH153" s="207">
        <f t="shared" si="359"/>
        <v>263.95099662023802</v>
      </c>
      <c r="BI153" s="207">
        <f t="shared" si="360"/>
        <v>1006.3580350861616</v>
      </c>
      <c r="BJ153" s="207">
        <f t="shared" si="361"/>
        <v>-297.46107273466527</v>
      </c>
      <c r="BK153" s="209">
        <f t="shared" si="362"/>
        <v>-33.510076114427314</v>
      </c>
      <c r="BL153" s="208">
        <f t="shared" si="363"/>
        <v>12712.202509900353</v>
      </c>
      <c r="BM153" s="207">
        <f t="shared" si="364"/>
        <v>4733.2668919841735</v>
      </c>
      <c r="BN153" s="207">
        <f t="shared" si="365"/>
        <v>18046.384480256038</v>
      </c>
      <c r="BO153" s="207">
        <f t="shared" si="366"/>
        <v>-5334.181970355683</v>
      </c>
      <c r="BP153" s="209">
        <f t="shared" si="367"/>
        <v>-600.91507837150994</v>
      </c>
      <c r="BS153" s="901">
        <v>16</v>
      </c>
      <c r="BT153" s="912">
        <f>'Arable Inputs'!$H$18</f>
        <v>9.4</v>
      </c>
      <c r="BU153" s="761">
        <f>'Arable Inputs'!$H$25</f>
        <v>94.285714285714292</v>
      </c>
      <c r="BV153" s="207">
        <f t="shared" si="368"/>
        <v>886.28571428571433</v>
      </c>
      <c r="BW153" s="207">
        <f>'Arable NPV'!$D132</f>
        <v>330</v>
      </c>
      <c r="BX153" s="207">
        <f>BV153+BW153</f>
        <v>1216.2857142857142</v>
      </c>
      <c r="BY153" s="207">
        <f>'Arable NPV'!$F132</f>
        <v>566.71194999999989</v>
      </c>
      <c r="BZ153" s="207">
        <f>'Arable NPV'!$G132</f>
        <v>691.46913599999993</v>
      </c>
      <c r="CA153" s="207">
        <f t="shared" si="369"/>
        <v>1258.1810859999998</v>
      </c>
      <c r="CB153" s="207">
        <f t="shared" si="370"/>
        <v>-371.89537171428549</v>
      </c>
      <c r="CC153" s="207">
        <f t="shared" si="371"/>
        <v>-41.895371714285602</v>
      </c>
      <c r="CD153" s="208">
        <f t="shared" si="372"/>
        <v>369.81606240047034</v>
      </c>
      <c r="CE153" s="207">
        <f t="shared" si="373"/>
        <v>137.69747004272833</v>
      </c>
      <c r="CF153" s="207">
        <f t="shared" si="374"/>
        <v>524.99500726609801</v>
      </c>
      <c r="CG153" s="207">
        <f t="shared" si="375"/>
        <v>-155.1789448656277</v>
      </c>
      <c r="CH153" s="209">
        <f t="shared" si="376"/>
        <v>-17.481474822899422</v>
      </c>
      <c r="CI153" s="208">
        <f t="shared" si="377"/>
        <v>9494.1132457064396</v>
      </c>
      <c r="CJ153" s="207">
        <f t="shared" si="378"/>
        <v>3535.0421659545236</v>
      </c>
      <c r="CK153" s="207">
        <f t="shared" si="379"/>
        <v>13477.949064898348</v>
      </c>
      <c r="CL153" s="207">
        <f t="shared" si="380"/>
        <v>-3983.835819191911</v>
      </c>
      <c r="CM153" s="209">
        <f t="shared" si="381"/>
        <v>-448.79365323738818</v>
      </c>
      <c r="CP153" s="901">
        <v>16</v>
      </c>
      <c r="CQ153" s="912">
        <f>'Arable Inputs'!$H$18</f>
        <v>9.4</v>
      </c>
      <c r="CR153" s="761">
        <f>'Arable Inputs'!$H$25</f>
        <v>94.285714285714292</v>
      </c>
      <c r="CS153" s="207">
        <f t="shared" si="382"/>
        <v>886.28571428571433</v>
      </c>
      <c r="CT153" s="207">
        <f>'Arable NPV'!$D132</f>
        <v>330</v>
      </c>
      <c r="CU153" s="207">
        <f>CS153+CT153</f>
        <v>1216.2857142857142</v>
      </c>
      <c r="CV153" s="207">
        <f>'Arable NPV'!$F132</f>
        <v>566.71194999999989</v>
      </c>
      <c r="CW153" s="207">
        <f>'Arable NPV'!$G132</f>
        <v>691.46913599999993</v>
      </c>
      <c r="CX153" s="207">
        <f t="shared" si="383"/>
        <v>1258.1810859999998</v>
      </c>
      <c r="CY153" s="207">
        <f t="shared" si="384"/>
        <v>-371.89537171428549</v>
      </c>
      <c r="CZ153" s="207">
        <f t="shared" si="385"/>
        <v>-41.895371714285602</v>
      </c>
      <c r="DA153" s="208">
        <f t="shared" si="386"/>
        <v>886.28571428571433</v>
      </c>
      <c r="DB153" s="207">
        <f t="shared" si="387"/>
        <v>330</v>
      </c>
      <c r="DC153" s="207">
        <f t="shared" si="388"/>
        <v>1258.1810859999998</v>
      </c>
      <c r="DD153" s="207">
        <f t="shared" si="389"/>
        <v>-371.89537171428549</v>
      </c>
      <c r="DE153" s="209">
        <f t="shared" si="390"/>
        <v>-41.895371714285602</v>
      </c>
      <c r="DF153" s="208">
        <f t="shared" si="391"/>
        <v>14180.571428571428</v>
      </c>
      <c r="DG153" s="207">
        <f t="shared" si="392"/>
        <v>5280</v>
      </c>
      <c r="DH153" s="207">
        <f t="shared" si="393"/>
        <v>20130.897376000001</v>
      </c>
      <c r="DI153" s="207">
        <f t="shared" si="394"/>
        <v>-5950.3259474285687</v>
      </c>
      <c r="DJ153" s="209">
        <f t="shared" si="395"/>
        <v>-670.32594742856963</v>
      </c>
    </row>
    <row r="159" spans="2:114" ht="20" x14ac:dyDescent="0.3">
      <c r="B159" s="273" t="s">
        <v>430</v>
      </c>
      <c r="C159" s="274"/>
      <c r="D159" s="88"/>
      <c r="E159" s="88"/>
      <c r="F159" s="88"/>
      <c r="G159" s="275"/>
      <c r="H159" s="276" t="s">
        <v>305</v>
      </c>
      <c r="I159" s="277" t="s">
        <v>306</v>
      </c>
      <c r="J159" s="277" t="s">
        <v>307</v>
      </c>
      <c r="K159" s="277" t="s">
        <v>308</v>
      </c>
      <c r="L159" s="277" t="s">
        <v>309</v>
      </c>
      <c r="M159" s="276" t="s">
        <v>310</v>
      </c>
      <c r="N159" s="277" t="s">
        <v>311</v>
      </c>
      <c r="O159" s="277" t="s">
        <v>312</v>
      </c>
      <c r="P159" s="277" t="s">
        <v>313</v>
      </c>
      <c r="Q159" s="277" t="s">
        <v>314</v>
      </c>
      <c r="R159" s="276" t="s">
        <v>389</v>
      </c>
      <c r="S159" s="277" t="s">
        <v>390</v>
      </c>
      <c r="T159" s="277" t="s">
        <v>391</v>
      </c>
      <c r="U159" s="277" t="s">
        <v>392</v>
      </c>
      <c r="V159" s="277" t="s">
        <v>393</v>
      </c>
      <c r="W159" s="276" t="s">
        <v>420</v>
      </c>
      <c r="X159" s="277" t="s">
        <v>421</v>
      </c>
      <c r="Y159" s="277" t="s">
        <v>422</v>
      </c>
      <c r="Z159" s="277" t="s">
        <v>423</v>
      </c>
      <c r="AA159" s="277" t="s">
        <v>424</v>
      </c>
      <c r="AB159" s="276" t="s">
        <v>425</v>
      </c>
      <c r="AC159" s="277" t="s">
        <v>426</v>
      </c>
      <c r="AD159" s="277" t="s">
        <v>427</v>
      </c>
      <c r="AE159" s="277" t="s">
        <v>428</v>
      </c>
      <c r="AF159" s="277" t="s">
        <v>429</v>
      </c>
      <c r="AG159" s="276" t="s">
        <v>526</v>
      </c>
      <c r="AH159" s="277" t="s">
        <v>527</v>
      </c>
      <c r="AI159" s="277" t="s">
        <v>528</v>
      </c>
      <c r="AJ159" s="277" t="s">
        <v>529</v>
      </c>
      <c r="AK159" s="277" t="s">
        <v>530</v>
      </c>
    </row>
    <row r="160" spans="2:114" x14ac:dyDescent="0.3">
      <c r="B160" s="278" t="s">
        <v>293</v>
      </c>
      <c r="C160" s="24"/>
      <c r="D160" s="279"/>
      <c r="E160" s="279"/>
      <c r="F160" s="279"/>
      <c r="G160" s="280" t="s">
        <v>567</v>
      </c>
      <c r="H160" s="281">
        <f>S27</f>
        <v>5153.0411811079257</v>
      </c>
      <c r="I160" s="281">
        <f>AP27</f>
        <v>4631.2009206524126</v>
      </c>
      <c r="J160" s="281">
        <f>BM27</f>
        <v>5765.3208215252453</v>
      </c>
      <c r="K160" s="281">
        <f>CJ27</f>
        <v>4184.1345250950526</v>
      </c>
      <c r="L160" s="281">
        <f>DG27</f>
        <v>6487.5308455998393</v>
      </c>
      <c r="M160" s="281">
        <f>S53</f>
        <v>7503.8112474454329</v>
      </c>
      <c r="N160" s="281">
        <f>AP53</f>
        <v>6723.5572516031061</v>
      </c>
      <c r="O160" s="107">
        <f>BM53</f>
        <v>8419.6129467926239</v>
      </c>
      <c r="P160" s="107">
        <f>CJ53</f>
        <v>6055.3592852367283</v>
      </c>
      <c r="Q160" s="107">
        <f>DG53</f>
        <v>9500.1917177914111</v>
      </c>
      <c r="R160" s="764">
        <f>U$78</f>
        <v>11827.882468805239</v>
      </c>
      <c r="S160" s="764">
        <f>AU$78</f>
        <v>10725.01932291827</v>
      </c>
      <c r="T160" s="107">
        <f>BU$78</f>
        <v>13126.973123156586</v>
      </c>
      <c r="U160" s="107">
        <f>CU$78</f>
        <v>9783.6893493953285</v>
      </c>
      <c r="V160" s="107">
        <f>DU$78</f>
        <v>14665.664142857144</v>
      </c>
      <c r="W160" s="764">
        <f>S$103</f>
        <v>7249.7050055210802</v>
      </c>
      <c r="X160" s="764">
        <f>AP$103</f>
        <v>6529.9429162272781</v>
      </c>
      <c r="Y160" s="107">
        <f>BM$103</f>
        <v>8096.9863743619799</v>
      </c>
      <c r="Z160" s="107">
        <f>CJ$103</f>
        <v>5915.1374871627986</v>
      </c>
      <c r="AA160" s="107">
        <f>DG$103</f>
        <v>9100</v>
      </c>
      <c r="AB160" s="764">
        <f>S$128</f>
        <v>6150.3876966488488</v>
      </c>
      <c r="AC160" s="764">
        <f>AP$128</f>
        <v>5499.8664498517473</v>
      </c>
      <c r="AD160" s="107">
        <f>BM$128</f>
        <v>6914.1933108623671</v>
      </c>
      <c r="AE160" s="107">
        <f>CJ$128</f>
        <v>4942.9908912162346</v>
      </c>
      <c r="AF160" s="107">
        <f>DG$128</f>
        <v>7815.71875</v>
      </c>
      <c r="AG160" s="767">
        <f>R153</f>
        <v>11466.707039765543</v>
      </c>
      <c r="AH160" s="767">
        <f>AO153</f>
        <v>10404.591669438039</v>
      </c>
      <c r="AI160" s="767">
        <f>BL153</f>
        <v>12712.202509900353</v>
      </c>
      <c r="AJ160" s="767">
        <f>CI153</f>
        <v>9494.1132457064396</v>
      </c>
      <c r="AK160" s="767">
        <f>DF153</f>
        <v>14180.571428571428</v>
      </c>
    </row>
    <row r="161" spans="2:37" x14ac:dyDescent="0.3">
      <c r="B161" s="282" t="s">
        <v>689</v>
      </c>
      <c r="C161" s="24"/>
      <c r="D161" s="279"/>
      <c r="E161" s="279"/>
      <c r="F161" s="279"/>
      <c r="G161" s="283" t="s">
        <v>567</v>
      </c>
      <c r="H161" s="281">
        <f>T27</f>
        <v>4269.5185786361071</v>
      </c>
      <c r="I161" s="281">
        <f>AQ27</f>
        <v>3874.050089684376</v>
      </c>
      <c r="J161" s="281">
        <f>BN27</f>
        <v>4733.2668919841735</v>
      </c>
      <c r="K161" s="281">
        <f>CK27</f>
        <v>3535.0421659545236</v>
      </c>
      <c r="L161" s="281">
        <f>DH27</f>
        <v>5280</v>
      </c>
      <c r="M161" s="281">
        <f>T53</f>
        <v>4269.5185786361071</v>
      </c>
      <c r="N161" s="281">
        <f>AQ53</f>
        <v>3874.050089684376</v>
      </c>
      <c r="O161" s="108">
        <f>BN53</f>
        <v>4733.2668919841735</v>
      </c>
      <c r="P161" s="108">
        <f>CK53</f>
        <v>3535.0421659545236</v>
      </c>
      <c r="Q161" s="108">
        <f>DH53</f>
        <v>5280</v>
      </c>
      <c r="R161" s="764">
        <f>V$78</f>
        <v>4269.5185786361071</v>
      </c>
      <c r="S161" s="764">
        <f>AV$78</f>
        <v>3874.050089684376</v>
      </c>
      <c r="T161" s="108">
        <f>BV$78</f>
        <v>4733.2668919841735</v>
      </c>
      <c r="U161" s="108">
        <f>CV$78</f>
        <v>3535.0421659545236</v>
      </c>
      <c r="V161" s="108">
        <f>DV$78</f>
        <v>5280</v>
      </c>
      <c r="W161" s="764">
        <f>T$103</f>
        <v>2899.4159442201048</v>
      </c>
      <c r="X161" s="764">
        <f>AQ$103</f>
        <v>2728.7008633764417</v>
      </c>
      <c r="Y161" s="108">
        <f>BN$103</f>
        <v>3088.9707156436448</v>
      </c>
      <c r="Z161" s="108">
        <f>CK$103</f>
        <v>2574.5584505848601</v>
      </c>
      <c r="AA161" s="108">
        <f>DH$103</f>
        <v>3300</v>
      </c>
      <c r="AB161" s="764">
        <f>T$128</f>
        <v>4269.5185786361071</v>
      </c>
      <c r="AC161" s="764">
        <f>AQ$128</f>
        <v>3874.050089684376</v>
      </c>
      <c r="AD161" s="108">
        <f>BN$128</f>
        <v>4733.2668919841735</v>
      </c>
      <c r="AE161" s="108">
        <f>CK$128</f>
        <v>3535.0421659545236</v>
      </c>
      <c r="AF161" s="108">
        <f>DH$128</f>
        <v>5280</v>
      </c>
      <c r="AG161" s="914">
        <f>S153</f>
        <v>4269.5185786361071</v>
      </c>
      <c r="AH161" s="914">
        <f>AP153</f>
        <v>3874.050089684376</v>
      </c>
      <c r="AI161" s="914">
        <f>BM153</f>
        <v>4733.2668919841735</v>
      </c>
      <c r="AJ161" s="914">
        <f>CJ153</f>
        <v>3535.0421659545236</v>
      </c>
      <c r="AK161" s="914">
        <f>DG153</f>
        <v>5280</v>
      </c>
    </row>
    <row r="162" spans="2:37" x14ac:dyDescent="0.3">
      <c r="B162" s="284" t="s">
        <v>292</v>
      </c>
      <c r="C162" s="165"/>
      <c r="D162" s="279"/>
      <c r="E162" s="279"/>
      <c r="F162" s="279"/>
      <c r="G162" s="285" t="s">
        <v>567</v>
      </c>
      <c r="H162" s="281">
        <f>U27</f>
        <v>10028.072186038104</v>
      </c>
      <c r="I162" s="281">
        <f>AR27</f>
        <v>9632.055589443411</v>
      </c>
      <c r="J162" s="281">
        <f>BO27</f>
        <v>10492.364050304652</v>
      </c>
      <c r="K162" s="281">
        <f>CL27</f>
        <v>9292.4143535446383</v>
      </c>
      <c r="L162" s="281">
        <f>DI27</f>
        <v>11039.765504000003</v>
      </c>
      <c r="M162" s="281">
        <f>U53</f>
        <v>8237.601585738621</v>
      </c>
      <c r="N162" s="281">
        <f>AR53</f>
        <v>7704.5657079278035</v>
      </c>
      <c r="O162" s="294">
        <f>BO53</f>
        <v>8863.8401785105725</v>
      </c>
      <c r="P162" s="294">
        <f>CL53</f>
        <v>7248.3509100645597</v>
      </c>
      <c r="Q162" s="294">
        <f>DI53</f>
        <v>9603.7370039999987</v>
      </c>
      <c r="R162" s="764">
        <f>W$78</f>
        <v>15220.142021005624</v>
      </c>
      <c r="S162" s="764">
        <f>AW$78</f>
        <v>13830.301181588371</v>
      </c>
      <c r="T162" s="294">
        <f>BW$78</f>
        <v>16852.212717383278</v>
      </c>
      <c r="U162" s="294">
        <f>CW$78</f>
        <v>12640.466269292947</v>
      </c>
      <c r="V162" s="294">
        <f>DW$78</f>
        <v>18779.134530791107</v>
      </c>
      <c r="W162" s="764">
        <f>U$103</f>
        <v>6484.1859442089399</v>
      </c>
      <c r="X162" s="764">
        <f>AR$103</f>
        <v>6013.57419256904</v>
      </c>
      <c r="Y162" s="294">
        <f>BO$103</f>
        <v>7042.8928937677683</v>
      </c>
      <c r="Z162" s="294">
        <f>CL$103</f>
        <v>5614.8176745698638</v>
      </c>
      <c r="AA162" s="294">
        <f>DI$103</f>
        <v>7710.1780060000019</v>
      </c>
      <c r="AB162" s="764">
        <f>U$128</f>
        <v>7650.9886605307165</v>
      </c>
      <c r="AC162" s="764">
        <f>AR$128</f>
        <v>7114.7787762137068</v>
      </c>
      <c r="AD162" s="294">
        <f>BO$128</f>
        <v>8281.3219175863087</v>
      </c>
      <c r="AE162" s="294">
        <f>CL$128</f>
        <v>6656.137951411506</v>
      </c>
      <c r="AF162" s="294">
        <f>DI$128</f>
        <v>9026.4499039999992</v>
      </c>
      <c r="AG162" s="768">
        <f>T153</f>
        <v>16278.265218077433</v>
      </c>
      <c r="AH162" s="768">
        <f>AQ153</f>
        <v>14770.474391083293</v>
      </c>
      <c r="AI162" s="768">
        <f>BN153</f>
        <v>18046.384480256038</v>
      </c>
      <c r="AJ162" s="768">
        <f>CK153</f>
        <v>13477.949064898348</v>
      </c>
      <c r="AK162" s="768">
        <f>DH153</f>
        <v>20130.897376000001</v>
      </c>
    </row>
    <row r="163" spans="2:37" x14ac:dyDescent="0.3">
      <c r="B163" s="278" t="s">
        <v>690</v>
      </c>
      <c r="C163" s="24"/>
      <c r="D163" s="286"/>
      <c r="E163" s="286"/>
      <c r="F163" s="286"/>
      <c r="G163" s="280" t="s">
        <v>567</v>
      </c>
      <c r="H163" s="287">
        <f>H160-H162</f>
        <v>-4875.0310049301779</v>
      </c>
      <c r="I163" s="287">
        <f t="shared" ref="I163:AK163" si="401">I160-I162</f>
        <v>-5000.8546687909984</v>
      </c>
      <c r="J163" s="287">
        <f t="shared" si="401"/>
        <v>-4727.0432287794065</v>
      </c>
      <c r="K163" s="287">
        <f t="shared" si="401"/>
        <v>-5108.2798284495857</v>
      </c>
      <c r="L163" s="287">
        <f t="shared" si="401"/>
        <v>-4552.2346584001634</v>
      </c>
      <c r="M163" s="287">
        <f t="shared" si="401"/>
        <v>-733.79033829318814</v>
      </c>
      <c r="N163" s="287">
        <f t="shared" si="401"/>
        <v>-981.00845632469736</v>
      </c>
      <c r="O163" s="287">
        <f t="shared" si="401"/>
        <v>-444.2272317179486</v>
      </c>
      <c r="P163" s="287">
        <f t="shared" si="401"/>
        <v>-1192.9916248278314</v>
      </c>
      <c r="Q163" s="287">
        <f t="shared" si="401"/>
        <v>-103.54528620858764</v>
      </c>
      <c r="R163" s="765">
        <f t="shared" si="401"/>
        <v>-3392.2595522003849</v>
      </c>
      <c r="S163" s="765">
        <f t="shared" si="401"/>
        <v>-3105.2818586701014</v>
      </c>
      <c r="T163" s="765">
        <f t="shared" si="401"/>
        <v>-3725.2395942266921</v>
      </c>
      <c r="U163" s="765">
        <f t="shared" si="401"/>
        <v>-2856.7769198976184</v>
      </c>
      <c r="V163" s="765">
        <f t="shared" si="401"/>
        <v>-4113.4703879339631</v>
      </c>
      <c r="W163" s="765">
        <f t="shared" si="401"/>
        <v>765.51906131214037</v>
      </c>
      <c r="X163" s="765">
        <f t="shared" si="401"/>
        <v>516.3687236582382</v>
      </c>
      <c r="Y163" s="765">
        <f t="shared" si="401"/>
        <v>1054.0934805942115</v>
      </c>
      <c r="Z163" s="765">
        <f t="shared" si="401"/>
        <v>300.3198125929348</v>
      </c>
      <c r="AA163" s="765">
        <f t="shared" si="401"/>
        <v>1389.8219939999981</v>
      </c>
      <c r="AB163" s="765">
        <f t="shared" si="401"/>
        <v>-1500.6009638818678</v>
      </c>
      <c r="AC163" s="765">
        <f t="shared" si="401"/>
        <v>-1614.9123263619595</v>
      </c>
      <c r="AD163" s="765">
        <f t="shared" si="401"/>
        <v>-1367.1286067239416</v>
      </c>
      <c r="AE163" s="765">
        <f t="shared" si="401"/>
        <v>-1713.1470601952715</v>
      </c>
      <c r="AF163" s="765">
        <f t="shared" si="401"/>
        <v>-1210.7311539999992</v>
      </c>
      <c r="AG163" s="765">
        <f t="shared" si="401"/>
        <v>-4811.5581783118905</v>
      </c>
      <c r="AH163" s="765">
        <f t="shared" si="401"/>
        <v>-4365.8827216452537</v>
      </c>
      <c r="AI163" s="765">
        <f t="shared" si="401"/>
        <v>-5334.1819703556848</v>
      </c>
      <c r="AJ163" s="765">
        <f t="shared" si="401"/>
        <v>-3983.8358191919087</v>
      </c>
      <c r="AK163" s="765">
        <f t="shared" si="401"/>
        <v>-5950.3259474285733</v>
      </c>
    </row>
    <row r="164" spans="2:37" x14ac:dyDescent="0.3">
      <c r="B164" s="284" t="s">
        <v>691</v>
      </c>
      <c r="C164" s="165"/>
      <c r="D164" s="288"/>
      <c r="E164" s="288"/>
      <c r="F164" s="288"/>
      <c r="G164" s="285" t="s">
        <v>567</v>
      </c>
      <c r="H164" s="295">
        <f>H160+H161-H162</f>
        <v>-605.5124262940717</v>
      </c>
      <c r="I164" s="295">
        <f t="shared" ref="I164:U164" si="402">I160+I161-I162</f>
        <v>-1126.8045791066215</v>
      </c>
      <c r="J164" s="295">
        <f t="shared" si="402"/>
        <v>6.223663204767945</v>
      </c>
      <c r="K164" s="295">
        <f t="shared" si="402"/>
        <v>-1573.2376624950621</v>
      </c>
      <c r="L164" s="295">
        <f t="shared" si="402"/>
        <v>727.76534159983566</v>
      </c>
      <c r="M164" s="295">
        <f t="shared" si="402"/>
        <v>3535.7282403429181</v>
      </c>
      <c r="N164" s="295">
        <f t="shared" si="402"/>
        <v>2893.0416333596795</v>
      </c>
      <c r="O164" s="295">
        <f t="shared" si="402"/>
        <v>4289.039660266224</v>
      </c>
      <c r="P164" s="295">
        <f t="shared" si="402"/>
        <v>2342.0505411266922</v>
      </c>
      <c r="Q164" s="295">
        <f t="shared" si="402"/>
        <v>5176.4547137914124</v>
      </c>
      <c r="R164" s="766">
        <f t="shared" si="402"/>
        <v>877.25902643572226</v>
      </c>
      <c r="S164" s="766">
        <f t="shared" si="402"/>
        <v>768.76823101427544</v>
      </c>
      <c r="T164" s="766">
        <f t="shared" si="402"/>
        <v>1008.0272977574823</v>
      </c>
      <c r="U164" s="766">
        <f t="shared" si="402"/>
        <v>678.26524605690611</v>
      </c>
      <c r="V164" s="766">
        <f t="shared" ref="V164:AE164" si="403">V160+V161-V162</f>
        <v>1166.5296120660387</v>
      </c>
      <c r="W164" s="766">
        <f t="shared" si="403"/>
        <v>3664.9350055322457</v>
      </c>
      <c r="X164" s="766">
        <f t="shared" si="403"/>
        <v>3245.0695870346808</v>
      </c>
      <c r="Y164" s="766">
        <f t="shared" si="403"/>
        <v>4143.0641962378559</v>
      </c>
      <c r="Z164" s="766">
        <f t="shared" si="403"/>
        <v>2874.8782631777958</v>
      </c>
      <c r="AA164" s="766">
        <f t="shared" si="403"/>
        <v>4689.8219939999981</v>
      </c>
      <c r="AB164" s="766">
        <f t="shared" si="403"/>
        <v>2768.9176147542403</v>
      </c>
      <c r="AC164" s="766">
        <f t="shared" si="403"/>
        <v>2259.1377633224165</v>
      </c>
      <c r="AD164" s="766">
        <f t="shared" si="403"/>
        <v>3366.1382852602328</v>
      </c>
      <c r="AE164" s="766">
        <f t="shared" si="403"/>
        <v>1821.8951057592521</v>
      </c>
      <c r="AF164" s="766">
        <f t="shared" ref="AF164:AK164" si="404">AF160+AF161-AF162</f>
        <v>4069.2688460000008</v>
      </c>
      <c r="AG164" s="766">
        <f t="shared" si="404"/>
        <v>-542.03959967578339</v>
      </c>
      <c r="AH164" s="766">
        <f t="shared" si="404"/>
        <v>-491.83263196087682</v>
      </c>
      <c r="AI164" s="766">
        <f t="shared" si="404"/>
        <v>-600.91507837151221</v>
      </c>
      <c r="AJ164" s="766">
        <f t="shared" si="404"/>
        <v>-448.79365323738602</v>
      </c>
      <c r="AK164" s="766">
        <f t="shared" si="404"/>
        <v>-670.32594742857327</v>
      </c>
    </row>
  </sheetData>
  <mergeCells count="83">
    <mergeCell ref="DG35:DK35"/>
    <mergeCell ref="DG9:DK9"/>
    <mergeCell ref="CQ34:CR34"/>
    <mergeCell ref="CS35:CU35"/>
    <mergeCell ref="BT34:BU34"/>
    <mergeCell ref="BV35:BX35"/>
    <mergeCell ref="CA35:CB35"/>
    <mergeCell ref="CE35:CI35"/>
    <mergeCell ref="CQ8:CR8"/>
    <mergeCell ref="DB9:DF9"/>
    <mergeCell ref="CX35:CY35"/>
    <mergeCell ref="DB35:DF35"/>
    <mergeCell ref="CJ9:CN9"/>
    <mergeCell ref="CJ35:CN35"/>
    <mergeCell ref="BT8:BU8"/>
    <mergeCell ref="CE9:CI9"/>
    <mergeCell ref="AY35:BA35"/>
    <mergeCell ref="BD35:BE35"/>
    <mergeCell ref="BH35:BL35"/>
    <mergeCell ref="BM35:BQ35"/>
    <mergeCell ref="BH9:BL9"/>
    <mergeCell ref="BM9:BQ9"/>
    <mergeCell ref="B2:D2"/>
    <mergeCell ref="E9:G9"/>
    <mergeCell ref="J9:K9"/>
    <mergeCell ref="N9:R9"/>
    <mergeCell ref="S9:W9"/>
    <mergeCell ref="E35:G35"/>
    <mergeCell ref="J35:K35"/>
    <mergeCell ref="N35:R35"/>
    <mergeCell ref="S35:W35"/>
    <mergeCell ref="AB35:AD35"/>
    <mergeCell ref="Z8:AA8"/>
    <mergeCell ref="AG85:AH85"/>
    <mergeCell ref="AK85:AO85"/>
    <mergeCell ref="AP85:AT85"/>
    <mergeCell ref="AY85:BA85"/>
    <mergeCell ref="AW8:AX8"/>
    <mergeCell ref="AG35:AH35"/>
    <mergeCell ref="AG9:AH9"/>
    <mergeCell ref="Z34:AA34"/>
    <mergeCell ref="AW34:AX34"/>
    <mergeCell ref="AK35:AO35"/>
    <mergeCell ref="AP35:AT35"/>
    <mergeCell ref="AK9:AO9"/>
    <mergeCell ref="AP9:AT9"/>
    <mergeCell ref="AB9:AD9"/>
    <mergeCell ref="BD85:BE85"/>
    <mergeCell ref="E85:G85"/>
    <mergeCell ref="J85:K85"/>
    <mergeCell ref="N85:R85"/>
    <mergeCell ref="S85:W85"/>
    <mergeCell ref="AB85:AD85"/>
    <mergeCell ref="CJ85:CN85"/>
    <mergeCell ref="CS85:CU85"/>
    <mergeCell ref="CX85:CY85"/>
    <mergeCell ref="DB85:DF85"/>
    <mergeCell ref="DG85:DK85"/>
    <mergeCell ref="BH85:BL85"/>
    <mergeCell ref="BM85:BQ85"/>
    <mergeCell ref="BV85:BX85"/>
    <mergeCell ref="CA85:CB85"/>
    <mergeCell ref="CE85:CI85"/>
    <mergeCell ref="AG110:AH110"/>
    <mergeCell ref="AK110:AO110"/>
    <mergeCell ref="AP110:AT110"/>
    <mergeCell ref="AY110:BA110"/>
    <mergeCell ref="BD110:BE110"/>
    <mergeCell ref="E110:G110"/>
    <mergeCell ref="J110:K110"/>
    <mergeCell ref="N110:R110"/>
    <mergeCell ref="S110:W110"/>
    <mergeCell ref="AB110:AD110"/>
    <mergeCell ref="CJ110:CN110"/>
    <mergeCell ref="CS110:CU110"/>
    <mergeCell ref="CX110:CY110"/>
    <mergeCell ref="DB110:DF110"/>
    <mergeCell ref="DG110:DK110"/>
    <mergeCell ref="BH110:BL110"/>
    <mergeCell ref="BM110:BQ110"/>
    <mergeCell ref="BV110:BX110"/>
    <mergeCell ref="CA110:CB110"/>
    <mergeCell ref="CE110:CI110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M15"/>
  <sheetViews>
    <sheetView topLeftCell="C1" workbookViewId="0">
      <selection activeCell="H33" sqref="H33"/>
    </sheetView>
  </sheetViews>
  <sheetFormatPr defaultColWidth="9" defaultRowHeight="14" x14ac:dyDescent="0.3"/>
  <cols>
    <col min="2" max="2" width="42.33203125" customWidth="1"/>
    <col min="3" max="3" width="7.75" customWidth="1"/>
    <col min="4" max="13" width="10.58203125" customWidth="1"/>
  </cols>
  <sheetData>
    <row r="2" spans="2:13" x14ac:dyDescent="0.3">
      <c r="B2" s="786" t="s">
        <v>585</v>
      </c>
      <c r="C2" s="354">
        <v>0.04</v>
      </c>
      <c r="D2" s="24" t="s">
        <v>296</v>
      </c>
    </row>
    <row r="5" spans="2:13" x14ac:dyDescent="0.3">
      <c r="B5" s="236"/>
      <c r="C5" s="237"/>
      <c r="D5" s="787" t="s">
        <v>4</v>
      </c>
      <c r="E5" s="788" t="s">
        <v>559</v>
      </c>
      <c r="F5" s="788" t="s">
        <v>5</v>
      </c>
      <c r="G5" s="788" t="s">
        <v>560</v>
      </c>
      <c r="H5" s="788" t="s">
        <v>255</v>
      </c>
      <c r="I5" s="788" t="s">
        <v>285</v>
      </c>
      <c r="J5" s="789" t="s">
        <v>91</v>
      </c>
      <c r="K5" s="790" t="s">
        <v>92</v>
      </c>
      <c r="L5" s="791" t="s">
        <v>93</v>
      </c>
      <c r="M5" s="791" t="s">
        <v>436</v>
      </c>
    </row>
    <row r="6" spans="2:13" x14ac:dyDescent="0.3">
      <c r="B6" s="238" t="s">
        <v>293</v>
      </c>
      <c r="C6" s="239" t="s">
        <v>567</v>
      </c>
      <c r="D6" s="235">
        <f>'Arable NPV'!P28</f>
        <v>18649.451220508814</v>
      </c>
      <c r="E6" s="233">
        <f>'Arable NPV'!P54</f>
        <v>12463.436317468568</v>
      </c>
      <c r="F6" s="233">
        <f>'Arable NPV'!P80</f>
        <v>8051.9109633200069</v>
      </c>
      <c r="G6" s="233">
        <f>'Arable NPV'!P106</f>
        <v>6399.8142803492228</v>
      </c>
      <c r="H6" s="233">
        <f>'Arable NPV'!P132</f>
        <v>11466.707039765543</v>
      </c>
      <c r="I6" s="233">
        <f>'Arable NPV'!Q158</f>
        <v>11827.882468805239</v>
      </c>
      <c r="J6" s="233">
        <f>'Energy NPV'!AE28</f>
        <v>7249.7050055210802</v>
      </c>
      <c r="K6" s="233">
        <f>'Energy NPV'!AE54</f>
        <v>6150.3876966488488</v>
      </c>
      <c r="L6" s="233">
        <f>'Energy NPV'!AE80</f>
        <v>5153.0411811079257</v>
      </c>
      <c r="M6" s="233">
        <f>'Energy NPV'!AE106</f>
        <v>7503.8112474454329</v>
      </c>
    </row>
    <row r="7" spans="2:13" x14ac:dyDescent="0.3">
      <c r="B7" s="240" t="s">
        <v>689</v>
      </c>
      <c r="C7" s="241" t="s">
        <v>567</v>
      </c>
      <c r="D7" s="235">
        <f>'Arable NPV'!Q28</f>
        <v>4269.5185786361071</v>
      </c>
      <c r="E7" s="233">
        <f>'Arable NPV'!Q54</f>
        <v>4269.5185786361071</v>
      </c>
      <c r="F7" s="233">
        <f>'Arable NPV'!Q80</f>
        <v>4269.5185786361071</v>
      </c>
      <c r="G7" s="233">
        <f>'Arable NPV'!Q106</f>
        <v>4269.5185786361071</v>
      </c>
      <c r="H7" s="233">
        <f>'Arable NPV'!Q132</f>
        <v>4269.5185786361071</v>
      </c>
      <c r="I7" s="233">
        <f>'Arable NPV'!R158</f>
        <v>4269.5185786361071</v>
      </c>
      <c r="J7" s="233">
        <f>'Energy NPV'!AF28</f>
        <v>2899.4159442201048</v>
      </c>
      <c r="K7" s="233">
        <f>'Energy NPV'!AF54</f>
        <v>4269.5185786361071</v>
      </c>
      <c r="L7" s="233">
        <f>'Energy NPV'!AF80</f>
        <v>4269.5185786361071</v>
      </c>
      <c r="M7" s="233">
        <f>'Energy NPV'!AF106</f>
        <v>4269.5185786361071</v>
      </c>
    </row>
    <row r="8" spans="2:13" x14ac:dyDescent="0.3">
      <c r="B8" s="242" t="s">
        <v>292</v>
      </c>
      <c r="C8" s="243" t="s">
        <v>567</v>
      </c>
      <c r="D8" s="235">
        <f>'Arable NPV'!R28</f>
        <v>20252.389472802821</v>
      </c>
      <c r="E8" s="233">
        <f>'Arable NPV'!R54</f>
        <v>10970.754535134509</v>
      </c>
      <c r="F8" s="233">
        <f>'Arable NPV'!R80</f>
        <v>13360.845670082483</v>
      </c>
      <c r="G8" s="233">
        <f>'Arable NPV'!R106</f>
        <v>13374.689794705324</v>
      </c>
      <c r="H8" s="233">
        <f>'Arable NPV'!R132</f>
        <v>16278.265218077433</v>
      </c>
      <c r="I8" s="233">
        <f>'Arable NPV'!S158</f>
        <v>15220.142021005624</v>
      </c>
      <c r="J8" s="233">
        <f>'Energy NPV'!AG28</f>
        <v>6484.1859442089399</v>
      </c>
      <c r="K8" s="233">
        <f>'Energy NPV'!AG54</f>
        <v>7650.9886605307165</v>
      </c>
      <c r="L8" s="233">
        <f>'Energy NPV'!AG80</f>
        <v>10028.072186038104</v>
      </c>
      <c r="M8" s="233">
        <f>'Energy NPV'!AG106</f>
        <v>8237.601585738621</v>
      </c>
    </row>
    <row r="9" spans="2:13" x14ac:dyDescent="0.3">
      <c r="B9" s="795" t="s">
        <v>690</v>
      </c>
      <c r="C9" s="796" t="s">
        <v>567</v>
      </c>
      <c r="D9" s="270">
        <f>D6-D8</f>
        <v>-1602.9382522940068</v>
      </c>
      <c r="E9" s="270">
        <f t="shared" ref="E9:M9" si="0">E6-E8</f>
        <v>1492.6817823340589</v>
      </c>
      <c r="F9" s="270">
        <f t="shared" si="0"/>
        <v>-5308.9347067624758</v>
      </c>
      <c r="G9" s="270">
        <f t="shared" si="0"/>
        <v>-6974.8755143561011</v>
      </c>
      <c r="H9" s="270">
        <f t="shared" si="0"/>
        <v>-4811.5581783118905</v>
      </c>
      <c r="I9" s="270">
        <f t="shared" si="0"/>
        <v>-3392.2595522003849</v>
      </c>
      <c r="J9" s="270">
        <f t="shared" si="0"/>
        <v>765.51906131214037</v>
      </c>
      <c r="K9" s="270">
        <f t="shared" si="0"/>
        <v>-1500.6009638818678</v>
      </c>
      <c r="L9" s="270">
        <f t="shared" si="0"/>
        <v>-4875.0310049301779</v>
      </c>
      <c r="M9" s="270">
        <f t="shared" si="0"/>
        <v>-733.79033829318814</v>
      </c>
    </row>
    <row r="10" spans="2:13" x14ac:dyDescent="0.3">
      <c r="B10" s="792" t="s">
        <v>691</v>
      </c>
      <c r="C10" s="793" t="s">
        <v>567</v>
      </c>
      <c r="D10" s="794">
        <f>D6+D7-D8</f>
        <v>2666.5803263421003</v>
      </c>
      <c r="E10" s="794">
        <f t="shared" ref="E10:M10" si="1">E6+E7-E8</f>
        <v>5762.200360970166</v>
      </c>
      <c r="F10" s="794">
        <f>F6+F7-F8</f>
        <v>-1039.4161281263696</v>
      </c>
      <c r="G10" s="794">
        <f t="shared" si="1"/>
        <v>-2705.356935719994</v>
      </c>
      <c r="H10" s="794">
        <f t="shared" si="1"/>
        <v>-542.03959967578339</v>
      </c>
      <c r="I10" s="794">
        <f t="shared" si="1"/>
        <v>877.25902643572226</v>
      </c>
      <c r="J10" s="794">
        <f t="shared" si="1"/>
        <v>3664.9350055322457</v>
      </c>
      <c r="K10" s="794">
        <f t="shared" si="1"/>
        <v>2768.9176147542403</v>
      </c>
      <c r="L10" s="794">
        <f t="shared" si="1"/>
        <v>-605.5124262940717</v>
      </c>
      <c r="M10" s="794">
        <f t="shared" si="1"/>
        <v>3535.7282403429181</v>
      </c>
    </row>
    <row r="11" spans="2:13" x14ac:dyDescent="0.3">
      <c r="B11" s="244" t="s">
        <v>692</v>
      </c>
      <c r="C11" s="239" t="s">
        <v>567</v>
      </c>
      <c r="D11" s="247">
        <f>D9*((1+$C$2)^16)/(((1+$C$2)^16)-1)</f>
        <v>-3439.1039891177784</v>
      </c>
      <c r="E11" s="247">
        <f t="shared" ref="E11:M11" si="2">E9*((1+$C$2)^16)/(((1+$C$2)^16)-1)</f>
        <v>3202.5487349633268</v>
      </c>
      <c r="F11" s="247">
        <f t="shared" si="2"/>
        <v>-11390.319310093939</v>
      </c>
      <c r="G11" s="247">
        <f t="shared" si="2"/>
        <v>-14964.595280381574</v>
      </c>
      <c r="H11" s="247">
        <f t="shared" si="2"/>
        <v>-10323.197977977758</v>
      </c>
      <c r="I11" s="247">
        <f t="shared" si="2"/>
        <v>-7278.0928032625334</v>
      </c>
      <c r="J11" s="247">
        <f t="shared" si="2"/>
        <v>1642.4211311549611</v>
      </c>
      <c r="K11" s="247">
        <f t="shared" si="2"/>
        <v>-3219.5393388201137</v>
      </c>
      <c r="L11" s="247">
        <f t="shared" si="2"/>
        <v>-10459.378926252675</v>
      </c>
      <c r="M11" s="247">
        <f t="shared" si="2"/>
        <v>-1574.3471565349598</v>
      </c>
    </row>
    <row r="12" spans="2:13" x14ac:dyDescent="0.3">
      <c r="B12" s="245" t="s">
        <v>693</v>
      </c>
      <c r="C12" s="243" t="s">
        <v>567</v>
      </c>
      <c r="D12" s="234">
        <f>D10*((1+$C$2)^16)/(((1+$C$2)^16)-1)</f>
        <v>5721.1480382988884</v>
      </c>
      <c r="E12" s="234">
        <f t="shared" ref="E12:M12" si="3">E10*((1+$C$2)^16)/(((1+$C$2)^16)-1)</f>
        <v>12362.800762379993</v>
      </c>
      <c r="F12" s="234">
        <f t="shared" si="3"/>
        <v>-2230.0672826772739</v>
      </c>
      <c r="G12" s="234">
        <f t="shared" si="3"/>
        <v>-5804.343252964909</v>
      </c>
      <c r="H12" s="234">
        <f t="shared" si="3"/>
        <v>-1162.9459505610928</v>
      </c>
      <c r="I12" s="234">
        <f t="shared" si="3"/>
        <v>1882.1592241541339</v>
      </c>
      <c r="J12" s="234">
        <f t="shared" si="3"/>
        <v>7863.1179830821857</v>
      </c>
      <c r="K12" s="234">
        <f t="shared" si="3"/>
        <v>5940.7126885965554</v>
      </c>
      <c r="L12" s="234">
        <f t="shared" si="3"/>
        <v>-1299.12689883601</v>
      </c>
      <c r="M12" s="234">
        <f t="shared" si="3"/>
        <v>7585.9048708817045</v>
      </c>
    </row>
    <row r="13" spans="2:13" x14ac:dyDescent="0.3">
      <c r="B13" s="244" t="s">
        <v>694</v>
      </c>
      <c r="C13" s="239" t="s">
        <v>584</v>
      </c>
      <c r="D13" s="247">
        <f>D11*$C$2</f>
        <v>-137.56415956471113</v>
      </c>
      <c r="E13" s="247">
        <f t="shared" ref="E13:M13" si="4">E11*$C$2</f>
        <v>128.10194939853307</v>
      </c>
      <c r="F13" s="247">
        <f t="shared" si="4"/>
        <v>-455.61277240375756</v>
      </c>
      <c r="G13" s="247">
        <f t="shared" si="4"/>
        <v>-598.58381121526304</v>
      </c>
      <c r="H13" s="247">
        <f t="shared" si="4"/>
        <v>-412.9279191191103</v>
      </c>
      <c r="I13" s="247">
        <f t="shared" si="4"/>
        <v>-291.12371213050136</v>
      </c>
      <c r="J13" s="247">
        <f t="shared" si="4"/>
        <v>65.69684524619845</v>
      </c>
      <c r="K13" s="247">
        <f t="shared" si="4"/>
        <v>-128.78157355280456</v>
      </c>
      <c r="L13" s="247">
        <f t="shared" si="4"/>
        <v>-418.37515705010702</v>
      </c>
      <c r="M13" s="247">
        <f t="shared" si="4"/>
        <v>-62.973886261398391</v>
      </c>
    </row>
    <row r="14" spans="2:13" x14ac:dyDescent="0.3">
      <c r="B14" s="246" t="s">
        <v>695</v>
      </c>
      <c r="C14" s="243" t="s">
        <v>584</v>
      </c>
      <c r="D14" s="248">
        <f>D12*$C$2</f>
        <v>228.84592153195555</v>
      </c>
      <c r="E14" s="248">
        <f t="shared" ref="E14:M14" si="5">E12*$C$2</f>
        <v>494.51203049519972</v>
      </c>
      <c r="F14" s="248">
        <f t="shared" si="5"/>
        <v>-89.202691307090959</v>
      </c>
      <c r="G14" s="248">
        <f t="shared" si="5"/>
        <v>-232.17373011859635</v>
      </c>
      <c r="H14" s="248">
        <f t="shared" si="5"/>
        <v>-46.517838022443712</v>
      </c>
      <c r="I14" s="248">
        <f t="shared" si="5"/>
        <v>75.286368966165355</v>
      </c>
      <c r="J14" s="248">
        <f t="shared" si="5"/>
        <v>314.52471932328746</v>
      </c>
      <c r="K14" s="248">
        <f t="shared" si="5"/>
        <v>237.62850754386221</v>
      </c>
      <c r="L14" s="248">
        <f t="shared" si="5"/>
        <v>-51.965075953440405</v>
      </c>
      <c r="M14" s="248">
        <f t="shared" si="5"/>
        <v>303.43619483526817</v>
      </c>
    </row>
    <row r="15" spans="2:13" x14ac:dyDescent="0.3">
      <c r="B15" s="797" t="s">
        <v>299</v>
      </c>
      <c r="C15" s="798"/>
      <c r="D15" s="799">
        <f t="shared" ref="D15:M15" si="6">RANK(D10,$D$10:$M$10)</f>
        <v>5</v>
      </c>
      <c r="E15" s="799">
        <f t="shared" si="6"/>
        <v>1</v>
      </c>
      <c r="F15" s="799">
        <f t="shared" si="6"/>
        <v>9</v>
      </c>
      <c r="G15" s="799">
        <f t="shared" si="6"/>
        <v>10</v>
      </c>
      <c r="H15" s="799">
        <f t="shared" si="6"/>
        <v>7</v>
      </c>
      <c r="I15" s="799">
        <f t="shared" si="6"/>
        <v>6</v>
      </c>
      <c r="J15" s="799">
        <f t="shared" si="6"/>
        <v>2</v>
      </c>
      <c r="K15" s="799">
        <f t="shared" si="6"/>
        <v>4</v>
      </c>
      <c r="L15" s="799">
        <f t="shared" si="6"/>
        <v>8</v>
      </c>
      <c r="M15" s="799">
        <f t="shared" si="6"/>
        <v>3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0"/>
  <sheetViews>
    <sheetView topLeftCell="C10" zoomScale="120" zoomScaleNormal="120" workbookViewId="0">
      <selection activeCell="B10" sqref="B10"/>
    </sheetView>
  </sheetViews>
  <sheetFormatPr defaultColWidth="9" defaultRowHeight="14" x14ac:dyDescent="0.3"/>
  <cols>
    <col min="2" max="2" width="22.58203125" customWidth="1"/>
  </cols>
  <sheetData>
    <row r="1" spans="1:8" x14ac:dyDescent="0.3">
      <c r="A1" s="366"/>
      <c r="B1" s="366"/>
      <c r="C1" s="366"/>
      <c r="D1" s="366"/>
      <c r="E1" s="366"/>
      <c r="F1" s="366"/>
      <c r="G1" s="366"/>
      <c r="H1" s="366"/>
    </row>
    <row r="2" spans="1:8" x14ac:dyDescent="0.3">
      <c r="A2" s="366"/>
      <c r="B2" s="366"/>
      <c r="C2" s="366"/>
      <c r="D2" s="366"/>
      <c r="E2" s="366"/>
      <c r="F2" s="366"/>
      <c r="G2" s="366"/>
      <c r="H2" s="366"/>
    </row>
    <row r="3" spans="1:8" ht="14.5" thickBot="1" x14ac:dyDescent="0.35">
      <c r="A3" s="366"/>
      <c r="B3" s="366"/>
      <c r="C3" s="366"/>
      <c r="D3" s="366"/>
      <c r="E3" s="366"/>
      <c r="F3" s="366"/>
      <c r="G3" s="366"/>
      <c r="H3" s="366"/>
    </row>
    <row r="4" spans="1:8" ht="14.5" thickBot="1" x14ac:dyDescent="0.35">
      <c r="A4" s="366"/>
      <c r="B4" s="416" t="s">
        <v>563</v>
      </c>
      <c r="C4" s="396"/>
      <c r="D4" s="396"/>
      <c r="E4" s="396"/>
      <c r="F4" s="396"/>
      <c r="G4" s="396"/>
      <c r="H4" s="396"/>
    </row>
    <row r="5" spans="1:8" x14ac:dyDescent="0.3">
      <c r="A5" s="366"/>
      <c r="B5" s="396"/>
      <c r="C5" s="396"/>
      <c r="D5" s="396"/>
      <c r="E5" s="396"/>
      <c r="F5" s="396"/>
      <c r="G5" s="396"/>
      <c r="H5" s="396"/>
    </row>
    <row r="6" spans="1:8" x14ac:dyDescent="0.3">
      <c r="A6" s="366"/>
      <c r="B6" s="385" t="s">
        <v>213</v>
      </c>
      <c r="C6" s="384"/>
      <c r="D6" s="384"/>
      <c r="E6" s="384"/>
      <c r="F6" s="384"/>
      <c r="G6" s="384"/>
      <c r="H6" s="384"/>
    </row>
    <row r="7" spans="1:8" x14ac:dyDescent="0.3">
      <c r="A7" s="366"/>
      <c r="B7" s="381"/>
      <c r="C7" s="381"/>
      <c r="D7" s="381"/>
      <c r="E7" s="381"/>
      <c r="F7" s="381"/>
      <c r="G7" s="381"/>
      <c r="H7" s="381"/>
    </row>
    <row r="8" spans="1:8" x14ac:dyDescent="0.3">
      <c r="A8" s="366"/>
      <c r="B8" s="379" t="s">
        <v>431</v>
      </c>
      <c r="C8" s="414"/>
      <c r="D8" s="773">
        <v>1.1299999999999999</v>
      </c>
      <c r="E8" s="381"/>
      <c r="F8" s="381"/>
      <c r="G8" s="381"/>
      <c r="H8" s="381"/>
    </row>
    <row r="9" spans="1:8" x14ac:dyDescent="0.3">
      <c r="A9" s="366"/>
      <c r="B9" s="379" t="s">
        <v>349</v>
      </c>
      <c r="C9" s="414" t="s">
        <v>302</v>
      </c>
      <c r="D9" s="771">
        <v>0.03</v>
      </c>
      <c r="E9" s="381"/>
      <c r="F9" s="394"/>
      <c r="G9" s="381"/>
      <c r="H9" s="381"/>
    </row>
    <row r="10" spans="1:8" x14ac:dyDescent="0.3">
      <c r="A10" s="366"/>
      <c r="B10" s="379" t="s">
        <v>672</v>
      </c>
      <c r="C10" s="414" t="s">
        <v>594</v>
      </c>
      <c r="D10" s="388">
        <v>330</v>
      </c>
      <c r="E10" s="381"/>
      <c r="F10" s="382"/>
      <c r="G10" s="381"/>
      <c r="H10" s="381"/>
    </row>
    <row r="11" spans="1:8" x14ac:dyDescent="0.3">
      <c r="A11" s="366"/>
      <c r="B11" s="379" t="s">
        <v>215</v>
      </c>
      <c r="C11" s="414" t="s">
        <v>594</v>
      </c>
      <c r="D11" s="391">
        <v>0</v>
      </c>
      <c r="E11" s="381"/>
      <c r="F11" s="415"/>
      <c r="G11" s="381"/>
      <c r="H11" s="381"/>
    </row>
    <row r="12" spans="1:8" x14ac:dyDescent="0.3">
      <c r="A12" s="366"/>
      <c r="B12" s="379" t="s">
        <v>216</v>
      </c>
      <c r="C12" s="414" t="s">
        <v>594</v>
      </c>
      <c r="D12" s="391">
        <v>0</v>
      </c>
      <c r="E12" s="381"/>
      <c r="F12" s="394"/>
      <c r="G12" s="381"/>
      <c r="H12" s="381"/>
    </row>
    <row r="13" spans="1:8" x14ac:dyDescent="0.3">
      <c r="A13" s="366"/>
      <c r="B13" s="381"/>
      <c r="C13" s="381"/>
      <c r="D13" s="394"/>
      <c r="E13" s="381"/>
      <c r="F13" s="394"/>
      <c r="G13" s="394"/>
      <c r="H13" s="381"/>
    </row>
    <row r="14" spans="1:8" x14ac:dyDescent="0.3">
      <c r="A14" s="366"/>
      <c r="B14" s="381"/>
      <c r="C14" s="381"/>
      <c r="D14" s="394"/>
      <c r="E14" s="381"/>
      <c r="F14" s="394"/>
      <c r="G14" s="381"/>
      <c r="H14" s="381"/>
    </row>
    <row r="15" spans="1:8" x14ac:dyDescent="0.3">
      <c r="A15" s="366"/>
      <c r="B15" s="385" t="s">
        <v>242</v>
      </c>
      <c r="C15" s="384"/>
      <c r="D15" s="384"/>
      <c r="E15" s="384"/>
      <c r="F15" s="384"/>
      <c r="G15" s="384"/>
      <c r="H15" s="384"/>
    </row>
    <row r="16" spans="1:8" x14ac:dyDescent="0.3">
      <c r="A16" s="366"/>
      <c r="B16" s="383"/>
      <c r="C16" s="381"/>
      <c r="D16" s="381"/>
      <c r="E16" s="381"/>
      <c r="F16" s="381"/>
      <c r="G16" s="381"/>
      <c r="H16" s="381"/>
    </row>
    <row r="17" spans="1:12" x14ac:dyDescent="0.3">
      <c r="A17" s="366"/>
      <c r="B17" s="383"/>
      <c r="C17" s="381"/>
      <c r="D17" s="380" t="s">
        <v>4</v>
      </c>
      <c r="E17" s="380" t="s">
        <v>559</v>
      </c>
      <c r="F17" s="380" t="s">
        <v>5</v>
      </c>
      <c r="G17" s="380" t="s">
        <v>560</v>
      </c>
      <c r="H17" s="380" t="s">
        <v>255</v>
      </c>
    </row>
    <row r="18" spans="1:12" x14ac:dyDescent="0.3">
      <c r="A18" s="366"/>
      <c r="B18" s="379" t="s">
        <v>217</v>
      </c>
      <c r="C18" s="379" t="s">
        <v>333</v>
      </c>
      <c r="D18" s="388">
        <v>5.5</v>
      </c>
      <c r="E18" s="388">
        <v>3.1</v>
      </c>
      <c r="F18" s="388">
        <v>2.6</v>
      </c>
      <c r="G18" s="388">
        <v>2.1</v>
      </c>
      <c r="H18" s="388">
        <v>9.4</v>
      </c>
      <c r="I18" s="917"/>
    </row>
    <row r="19" spans="1:12" x14ac:dyDescent="0.3">
      <c r="A19" s="366"/>
      <c r="B19" s="379" t="s">
        <v>3</v>
      </c>
      <c r="C19" s="379" t="s">
        <v>333</v>
      </c>
      <c r="D19" s="413">
        <v>3.9</v>
      </c>
      <c r="E19" s="996"/>
      <c r="F19" s="388">
        <v>2.6</v>
      </c>
      <c r="G19" s="412"/>
      <c r="H19" s="411"/>
    </row>
    <row r="20" spans="1:12" x14ac:dyDescent="0.3">
      <c r="A20" s="366"/>
      <c r="B20" s="381"/>
      <c r="C20" s="381"/>
      <c r="D20" s="410"/>
      <c r="E20" s="465"/>
      <c r="F20" s="410"/>
      <c r="G20" s="366"/>
      <c r="H20" s="381"/>
    </row>
    <row r="21" spans="1:12" x14ac:dyDescent="0.3">
      <c r="A21" s="366"/>
      <c r="B21" s="381"/>
      <c r="C21" s="381"/>
      <c r="D21" s="409"/>
      <c r="E21" s="409"/>
      <c r="F21" s="409"/>
      <c r="G21" s="381"/>
      <c r="H21" s="381"/>
    </row>
    <row r="22" spans="1:12" x14ac:dyDescent="0.3">
      <c r="A22" s="366"/>
      <c r="B22" s="385" t="s">
        <v>218</v>
      </c>
      <c r="C22" s="384"/>
      <c r="D22" s="384"/>
      <c r="E22" s="384"/>
      <c r="F22" s="384"/>
      <c r="G22" s="384"/>
      <c r="H22" s="384"/>
    </row>
    <row r="23" spans="1:12" x14ac:dyDescent="0.3">
      <c r="A23" s="366"/>
      <c r="B23" s="383"/>
      <c r="C23" s="381"/>
      <c r="D23" s="381"/>
      <c r="E23" s="381"/>
      <c r="F23" s="381"/>
      <c r="G23" s="381"/>
      <c r="H23" s="381"/>
    </row>
    <row r="24" spans="1:12" x14ac:dyDescent="0.3">
      <c r="A24" s="366"/>
      <c r="B24" s="383"/>
      <c r="C24" s="381"/>
      <c r="D24" s="380" t="s">
        <v>4</v>
      </c>
      <c r="E24" s="380" t="s">
        <v>559</v>
      </c>
      <c r="F24" s="380" t="s">
        <v>5</v>
      </c>
      <c r="G24" s="380" t="s">
        <v>560</v>
      </c>
      <c r="H24" s="380" t="s">
        <v>255</v>
      </c>
      <c r="K24" s="358"/>
      <c r="L24" s="757"/>
    </row>
    <row r="25" spans="1:12" x14ac:dyDescent="0.3">
      <c r="A25" s="366"/>
      <c r="B25" s="379" t="s">
        <v>456</v>
      </c>
      <c r="C25" s="379" t="s">
        <v>593</v>
      </c>
      <c r="D25" s="388">
        <v>210</v>
      </c>
      <c r="E25" s="388">
        <v>310.75</v>
      </c>
      <c r="F25" s="388">
        <v>196.99</v>
      </c>
      <c r="G25" s="388">
        <v>235.55</v>
      </c>
      <c r="H25" s="1019">
        <f>33*(1/0.35)</f>
        <v>94.285714285714292</v>
      </c>
      <c r="K25" s="358"/>
      <c r="L25" s="757"/>
    </row>
    <row r="26" spans="1:12" x14ac:dyDescent="0.3">
      <c r="A26" s="366"/>
      <c r="B26" s="379" t="s">
        <v>3</v>
      </c>
      <c r="C26" s="408" t="s">
        <v>593</v>
      </c>
      <c r="D26" s="388">
        <f>65*$D$8</f>
        <v>73.449999999999989</v>
      </c>
      <c r="E26" s="997"/>
      <c r="F26" s="388">
        <f>AVERAGE(30,45)*$D$8</f>
        <v>42.374999999999993</v>
      </c>
      <c r="G26" s="407"/>
      <c r="H26" s="406"/>
    </row>
    <row r="27" spans="1:12" x14ac:dyDescent="0.3">
      <c r="A27" s="366"/>
      <c r="B27" s="383"/>
      <c r="C27" s="381"/>
      <c r="D27" s="381"/>
      <c r="E27" s="381"/>
      <c r="F27" s="381"/>
      <c r="G27" s="394"/>
      <c r="H27" s="381"/>
    </row>
    <row r="28" spans="1:12" x14ac:dyDescent="0.3">
      <c r="A28" s="366"/>
      <c r="B28" s="381"/>
      <c r="C28" s="381"/>
      <c r="D28" s="381"/>
      <c r="E28" s="381"/>
      <c r="F28" s="381"/>
      <c r="G28" s="381"/>
      <c r="H28" s="381"/>
    </row>
    <row r="29" spans="1:12" x14ac:dyDescent="0.3">
      <c r="A29" s="366"/>
      <c r="B29" s="385" t="s">
        <v>220</v>
      </c>
      <c r="C29" s="384"/>
      <c r="D29" s="384"/>
      <c r="E29" s="384"/>
      <c r="F29" s="384"/>
      <c r="G29" s="384"/>
      <c r="H29" s="384"/>
    </row>
    <row r="30" spans="1:12" x14ac:dyDescent="0.3">
      <c r="A30" s="366"/>
      <c r="B30" s="381"/>
      <c r="C30" s="381"/>
      <c r="D30" s="381"/>
      <c r="E30" s="381"/>
      <c r="F30" s="381"/>
      <c r="G30" s="381"/>
      <c r="H30" s="381"/>
    </row>
    <row r="31" spans="1:12" x14ac:dyDescent="0.3">
      <c r="A31" s="366"/>
      <c r="B31" s="405" t="s">
        <v>221</v>
      </c>
      <c r="C31" s="392" t="s">
        <v>595</v>
      </c>
      <c r="D31" s="872">
        <v>14.5</v>
      </c>
      <c r="E31" s="381"/>
      <c r="F31" s="381"/>
      <c r="G31" s="381"/>
      <c r="H31" s="381"/>
    </row>
    <row r="32" spans="1:12" x14ac:dyDescent="0.3">
      <c r="A32" s="366"/>
      <c r="B32" s="381"/>
      <c r="C32" s="390"/>
      <c r="D32" s="358"/>
      <c r="E32" s="381"/>
      <c r="F32" s="381"/>
      <c r="G32" s="381"/>
      <c r="H32" s="381"/>
    </row>
    <row r="33" spans="1:8" x14ac:dyDescent="0.3">
      <c r="A33" s="366"/>
      <c r="B33" s="393" t="s">
        <v>222</v>
      </c>
      <c r="C33" s="404"/>
      <c r="D33" s="403" t="s">
        <v>605</v>
      </c>
      <c r="E33" s="381"/>
      <c r="F33" s="381"/>
      <c r="G33" s="381"/>
      <c r="H33" s="381"/>
    </row>
    <row r="34" spans="1:8" x14ac:dyDescent="0.3">
      <c r="A34" s="366"/>
      <c r="B34" s="396"/>
      <c r="C34" s="402" t="s">
        <v>223</v>
      </c>
      <c r="D34" s="401">
        <f>0.652*$D$8</f>
        <v>0.73675999999999997</v>
      </c>
      <c r="E34" s="381"/>
      <c r="F34" s="381"/>
      <c r="G34" s="381"/>
      <c r="H34" s="381"/>
    </row>
    <row r="35" spans="1:8" x14ac:dyDescent="0.3">
      <c r="A35" s="366"/>
      <c r="B35" s="396"/>
      <c r="C35" s="399" t="s">
        <v>447</v>
      </c>
      <c r="D35" s="398">
        <f>0.641*$D$8</f>
        <v>0.72432999999999992</v>
      </c>
      <c r="E35" s="381" t="s">
        <v>449</v>
      </c>
      <c r="F35" s="397"/>
      <c r="G35" s="400"/>
      <c r="H35" s="381"/>
    </row>
    <row r="36" spans="1:8" x14ac:dyDescent="0.3">
      <c r="A36" s="366"/>
      <c r="B36" s="396"/>
      <c r="C36" s="395" t="s">
        <v>448</v>
      </c>
      <c r="D36" s="893">
        <f>0.45*$D$8</f>
        <v>0.50849999999999995</v>
      </c>
      <c r="E36" s="381" t="s">
        <v>450</v>
      </c>
      <c r="F36" s="397"/>
      <c r="G36" s="397"/>
      <c r="H36" s="381"/>
    </row>
    <row r="37" spans="1:8" x14ac:dyDescent="0.3">
      <c r="A37" s="366"/>
      <c r="B37" s="396"/>
      <c r="C37" s="816"/>
      <c r="D37" s="817"/>
      <c r="E37" s="381"/>
      <c r="F37" s="394"/>
      <c r="G37" s="381"/>
      <c r="H37" s="381"/>
    </row>
    <row r="38" spans="1:8" x14ac:dyDescent="0.3">
      <c r="A38" s="366"/>
      <c r="B38" s="385" t="s">
        <v>10</v>
      </c>
      <c r="C38" s="384"/>
      <c r="D38" s="384"/>
      <c r="E38" s="384"/>
      <c r="F38" s="384"/>
      <c r="G38" s="384"/>
      <c r="H38" s="384"/>
    </row>
    <row r="39" spans="1:8" x14ac:dyDescent="0.3">
      <c r="A39" s="366"/>
      <c r="B39" s="381"/>
      <c r="C39" s="381"/>
      <c r="D39" s="381"/>
      <c r="E39" s="381"/>
      <c r="F39" s="381"/>
      <c r="G39" s="381"/>
      <c r="H39" s="381"/>
    </row>
    <row r="40" spans="1:8" x14ac:dyDescent="0.3">
      <c r="A40" s="366"/>
      <c r="B40" s="383"/>
      <c r="C40" s="381"/>
      <c r="D40" s="380" t="s">
        <v>4</v>
      </c>
      <c r="E40" s="380" t="s">
        <v>559</v>
      </c>
      <c r="F40" s="380" t="s">
        <v>5</v>
      </c>
      <c r="G40" s="380" t="s">
        <v>560</v>
      </c>
      <c r="H40" s="380" t="s">
        <v>255</v>
      </c>
    </row>
    <row r="41" spans="1:8" x14ac:dyDescent="0.3">
      <c r="A41" s="366"/>
      <c r="B41" s="393" t="s">
        <v>608</v>
      </c>
      <c r="C41" s="392" t="s">
        <v>594</v>
      </c>
      <c r="D41" s="388">
        <f>0.55*240</f>
        <v>132</v>
      </c>
      <c r="E41" s="388">
        <f>40/25*18.125</f>
        <v>29</v>
      </c>
      <c r="F41" s="388">
        <f>0.38*4</f>
        <v>1.52</v>
      </c>
      <c r="G41" s="388">
        <f>291/1000*10</f>
        <v>2.9099999999999997</v>
      </c>
      <c r="H41" s="388">
        <f>4.75*D8*35</f>
        <v>187.86249999999998</v>
      </c>
    </row>
    <row r="42" spans="1:8" x14ac:dyDescent="0.3">
      <c r="A42" s="366"/>
      <c r="B42" s="382"/>
      <c r="C42" s="381"/>
      <c r="D42" s="383"/>
      <c r="E42" s="383"/>
      <c r="F42" s="383"/>
      <c r="G42" s="383"/>
      <c r="H42" s="383"/>
    </row>
    <row r="43" spans="1:8" x14ac:dyDescent="0.3">
      <c r="A43" s="366"/>
      <c r="B43" s="383"/>
      <c r="C43" s="381"/>
      <c r="D43" s="380" t="s">
        <v>4</v>
      </c>
      <c r="E43" s="380" t="s">
        <v>559</v>
      </c>
      <c r="F43" s="380" t="s">
        <v>5</v>
      </c>
      <c r="G43" s="380" t="s">
        <v>560</v>
      </c>
      <c r="H43" s="380" t="s">
        <v>255</v>
      </c>
    </row>
    <row r="44" spans="1:8" x14ac:dyDescent="0.3">
      <c r="A44" s="366"/>
      <c r="B44" s="379" t="s">
        <v>451</v>
      </c>
      <c r="C44" s="379" t="s">
        <v>594</v>
      </c>
      <c r="D44" s="388">
        <f>'Arable margins'!E37</f>
        <v>270.19810631578946</v>
      </c>
      <c r="E44" s="388">
        <f>'Arable margins'!F37</f>
        <v>241.47802631578946</v>
      </c>
      <c r="F44" s="388">
        <f>'Arable margins'!G37</f>
        <v>201.68841459954231</v>
      </c>
      <c r="G44" s="388">
        <f>'Arable margins'!H37</f>
        <v>220.28731473684206</v>
      </c>
      <c r="H44" s="388">
        <f>'Arable margins'!I37</f>
        <v>282.79944999999998</v>
      </c>
    </row>
    <row r="45" spans="1:8" x14ac:dyDescent="0.3">
      <c r="A45" s="366"/>
      <c r="B45" s="381"/>
      <c r="C45" s="381"/>
    </row>
    <row r="46" spans="1:8" x14ac:dyDescent="0.3">
      <c r="A46" s="366"/>
      <c r="B46" s="383"/>
      <c r="C46" s="381"/>
      <c r="D46" s="380" t="s">
        <v>4</v>
      </c>
      <c r="E46" s="380" t="s">
        <v>559</v>
      </c>
      <c r="F46" s="380" t="s">
        <v>5</v>
      </c>
      <c r="G46" s="380" t="s">
        <v>560</v>
      </c>
      <c r="H46" s="380" t="s">
        <v>255</v>
      </c>
    </row>
    <row r="47" spans="1:8" x14ac:dyDescent="0.3">
      <c r="A47" s="366"/>
      <c r="B47" s="379" t="s">
        <v>224</v>
      </c>
      <c r="C47" s="379" t="s">
        <v>594</v>
      </c>
      <c r="D47" s="388">
        <f>63.1*3</f>
        <v>189.3</v>
      </c>
      <c r="E47" s="388">
        <f>29.85*1</f>
        <v>29.85</v>
      </c>
      <c r="F47" s="388">
        <f>104*1</f>
        <v>104</v>
      </c>
      <c r="G47" s="388">
        <f>31.88*1</f>
        <v>31.88</v>
      </c>
      <c r="H47" s="388">
        <f>85*$D$8</f>
        <v>96.05</v>
      </c>
    </row>
    <row r="48" spans="1:8" x14ac:dyDescent="0.3">
      <c r="A48" s="366"/>
      <c r="B48" s="390"/>
      <c r="C48" s="381"/>
      <c r="D48" s="381"/>
      <c r="E48" s="381"/>
      <c r="F48" s="381"/>
      <c r="G48" s="381"/>
      <c r="H48" s="381"/>
    </row>
    <row r="49" spans="1:8" x14ac:dyDescent="0.3">
      <c r="A49" s="366"/>
      <c r="B49" s="383"/>
      <c r="C49" s="381"/>
      <c r="D49" s="380" t="s">
        <v>4</v>
      </c>
      <c r="E49" s="380" t="s">
        <v>559</v>
      </c>
      <c r="F49" s="380" t="s">
        <v>5</v>
      </c>
      <c r="G49" s="389"/>
      <c r="H49" s="358"/>
    </row>
    <row r="50" spans="1:8" x14ac:dyDescent="0.3">
      <c r="A50" s="366"/>
      <c r="B50" s="379" t="s">
        <v>225</v>
      </c>
      <c r="C50" s="379" t="s">
        <v>593</v>
      </c>
      <c r="D50" s="388">
        <f>3.5*$D$8</f>
        <v>3.9549999999999996</v>
      </c>
      <c r="E50" s="1009"/>
      <c r="F50" s="388">
        <f>3.5*$D$8</f>
        <v>3.9549999999999996</v>
      </c>
      <c r="G50" s="387"/>
      <c r="H50" s="381"/>
    </row>
    <row r="51" spans="1:8" x14ac:dyDescent="0.3">
      <c r="A51" s="366"/>
      <c r="B51" s="386"/>
      <c r="C51" s="386"/>
      <c r="D51" s="386"/>
      <c r="E51" s="386"/>
      <c r="F51" s="386"/>
      <c r="G51" s="386"/>
      <c r="H51" s="386"/>
    </row>
    <row r="52" spans="1:8" x14ac:dyDescent="0.3">
      <c r="A52" s="366"/>
      <c r="B52" s="385" t="s">
        <v>226</v>
      </c>
      <c r="C52" s="384"/>
      <c r="D52" s="384"/>
      <c r="E52" s="384"/>
      <c r="F52" s="384"/>
      <c r="G52" s="384"/>
      <c r="H52" s="384"/>
    </row>
    <row r="53" spans="1:8" x14ac:dyDescent="0.3">
      <c r="A53" s="366"/>
      <c r="B53" s="381"/>
      <c r="C53" s="381"/>
      <c r="D53" s="381"/>
      <c r="E53" s="381"/>
      <c r="F53" s="381"/>
      <c r="G53" s="381"/>
      <c r="H53" s="381"/>
    </row>
    <row r="54" spans="1:8" x14ac:dyDescent="0.3">
      <c r="A54" s="366"/>
      <c r="B54" s="381"/>
      <c r="C54" s="381"/>
      <c r="D54" s="380" t="s">
        <v>4</v>
      </c>
      <c r="E54" s="380" t="s">
        <v>559</v>
      </c>
      <c r="F54" s="380" t="s">
        <v>5</v>
      </c>
      <c r="G54" s="380" t="s">
        <v>560</v>
      </c>
      <c r="H54" s="380" t="s">
        <v>255</v>
      </c>
    </row>
    <row r="55" spans="1:8" x14ac:dyDescent="0.3">
      <c r="A55" s="366"/>
      <c r="B55" s="379" t="s">
        <v>224</v>
      </c>
      <c r="C55" s="379" t="s">
        <v>334</v>
      </c>
      <c r="D55" s="378">
        <v>3</v>
      </c>
      <c r="E55" s="378">
        <v>1</v>
      </c>
      <c r="F55" s="378">
        <v>2</v>
      </c>
      <c r="G55" s="378">
        <v>2</v>
      </c>
      <c r="H55" s="378">
        <v>2</v>
      </c>
    </row>
    <row r="56" spans="1:8" x14ac:dyDescent="0.3">
      <c r="B56" s="24"/>
      <c r="C56" s="24"/>
      <c r="D56" s="24"/>
      <c r="E56" s="24"/>
      <c r="F56" s="24"/>
      <c r="G56" s="24"/>
      <c r="H56" s="24"/>
    </row>
    <row r="57" spans="1:8" x14ac:dyDescent="0.3">
      <c r="B57" s="381"/>
      <c r="C57" s="381"/>
      <c r="D57" s="380" t="s">
        <v>4</v>
      </c>
      <c r="E57" s="380" t="s">
        <v>559</v>
      </c>
      <c r="F57" s="380" t="s">
        <v>5</v>
      </c>
      <c r="G57" s="380" t="s">
        <v>560</v>
      </c>
      <c r="H57" s="380" t="s">
        <v>255</v>
      </c>
    </row>
    <row r="58" spans="1:8" x14ac:dyDescent="0.3">
      <c r="B58" s="379" t="s">
        <v>505</v>
      </c>
      <c r="C58" s="888" t="s">
        <v>510</v>
      </c>
      <c r="D58" s="1003">
        <v>108</v>
      </c>
      <c r="E58" s="1003">
        <v>0</v>
      </c>
      <c r="F58" s="1003">
        <v>114</v>
      </c>
      <c r="G58" s="1003">
        <v>92</v>
      </c>
      <c r="H58" s="1003">
        <v>150</v>
      </c>
    </row>
    <row r="59" spans="1:8" ht="14.5" x14ac:dyDescent="0.35">
      <c r="C59" s="889" t="s">
        <v>511</v>
      </c>
      <c r="D59" s="1004">
        <f>92/0.437</f>
        <v>210.52631578947367</v>
      </c>
      <c r="E59" s="1004">
        <f>92/0.437</f>
        <v>210.52631578947367</v>
      </c>
      <c r="F59" s="1004">
        <f>48/0.437</f>
        <v>109.83981693363845</v>
      </c>
      <c r="G59" s="1004">
        <f>69/0.437</f>
        <v>157.89473684210526</v>
      </c>
      <c r="H59" s="1004">
        <v>115</v>
      </c>
    </row>
    <row r="60" spans="1:8" ht="14.5" x14ac:dyDescent="0.35">
      <c r="C60" s="890" t="s">
        <v>512</v>
      </c>
      <c r="D60" s="1005">
        <v>75</v>
      </c>
      <c r="E60" s="1005">
        <v>175</v>
      </c>
      <c r="F60" s="1005">
        <v>75</v>
      </c>
      <c r="G60" s="1005">
        <v>75</v>
      </c>
      <c r="H60" s="1005">
        <v>175</v>
      </c>
    </row>
  </sheetData>
  <sheetProtection selectLockedCells="1"/>
  <dataValidations count="1">
    <dataValidation type="decimal" errorStyle="information" allowBlank="1" showInputMessage="1" showErrorMessage="1" errorTitle="Input Range" error="Value between 0.01 and 0.15" promptTitle="Select discount rate" prompt="0.01-0.15" sqref="D9" xr:uid="{00000000-0002-0000-0100-000000000000}">
      <formula1>0</formula1>
      <formula2>0.15</formula2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4:N43"/>
  <sheetViews>
    <sheetView topLeftCell="K25" zoomScale="170" zoomScaleNormal="170" workbookViewId="0">
      <selection activeCell="G41" sqref="G41"/>
    </sheetView>
  </sheetViews>
  <sheetFormatPr defaultColWidth="9" defaultRowHeight="14" x14ac:dyDescent="0.3"/>
  <cols>
    <col min="2" max="2" width="14.33203125" customWidth="1"/>
    <col min="3" max="3" width="10.58203125" customWidth="1"/>
    <col min="6" max="6" width="11" customWidth="1"/>
    <col min="7" max="7" width="18.08203125" customWidth="1"/>
  </cols>
  <sheetData>
    <row r="4" spans="2:14" x14ac:dyDescent="0.3">
      <c r="B4" s="254"/>
      <c r="C4" s="254"/>
      <c r="D4" s="254"/>
      <c r="E4" s="254"/>
      <c r="F4" s="98"/>
      <c r="G4" s="98"/>
      <c r="H4" s="98"/>
      <c r="I4" s="254"/>
      <c r="J4" s="254"/>
      <c r="K4" s="254"/>
      <c r="L4" s="254"/>
      <c r="M4" s="254"/>
      <c r="N4" s="98"/>
    </row>
    <row r="5" spans="2:14" ht="15" customHeight="1" x14ac:dyDescent="0.3">
      <c r="B5" s="1118" t="s">
        <v>586</v>
      </c>
      <c r="C5" s="1119"/>
      <c r="D5" s="255"/>
      <c r="E5" s="255"/>
      <c r="F5" s="39"/>
      <c r="G5" s="39"/>
      <c r="H5" s="39"/>
      <c r="I5" s="255"/>
      <c r="J5" s="255"/>
      <c r="K5" s="255"/>
      <c r="L5" s="255"/>
      <c r="M5" s="255"/>
      <c r="N5" s="39"/>
    </row>
    <row r="6" spans="2:14" x14ac:dyDescent="0.3">
      <c r="B6" s="256"/>
      <c r="C6" s="39"/>
      <c r="D6" s="39"/>
      <c r="E6" s="255"/>
      <c r="H6" s="39"/>
      <c r="I6" s="255"/>
      <c r="J6" s="255"/>
      <c r="K6" s="255"/>
      <c r="L6" s="255"/>
      <c r="M6" s="255"/>
      <c r="N6" s="39"/>
    </row>
    <row r="7" spans="2:14" x14ac:dyDescent="0.3">
      <c r="B7" s="256"/>
      <c r="C7" s="39"/>
      <c r="D7" s="39"/>
      <c r="E7" s="255"/>
      <c r="H7" s="255"/>
      <c r="I7" s="255"/>
      <c r="J7" s="255"/>
      <c r="K7" s="255"/>
      <c r="L7" s="255"/>
      <c r="M7" s="255"/>
      <c r="N7" s="39"/>
    </row>
    <row r="8" spans="2:14" x14ac:dyDescent="0.3">
      <c r="B8" s="98"/>
      <c r="C8" s="39"/>
      <c r="D8" s="39"/>
      <c r="E8" s="255"/>
      <c r="H8" s="255"/>
      <c r="I8" s="255"/>
      <c r="J8" s="255"/>
      <c r="K8" s="255"/>
      <c r="L8" s="255"/>
      <c r="M8" s="255"/>
      <c r="N8" s="39"/>
    </row>
    <row r="14" spans="2:14" x14ac:dyDescent="0.3">
      <c r="B14" s="39"/>
      <c r="C14" s="39"/>
      <c r="D14" s="1120" t="s">
        <v>297</v>
      </c>
      <c r="E14" s="1121"/>
      <c r="F14" s="1121"/>
      <c r="G14" s="1121"/>
      <c r="H14" s="272"/>
      <c r="I14" s="263" t="s">
        <v>298</v>
      </c>
      <c r="J14" s="263" t="s">
        <v>299</v>
      </c>
    </row>
    <row r="15" spans="2:14" x14ac:dyDescent="0.3">
      <c r="B15" s="250"/>
      <c r="C15" s="250"/>
      <c r="D15" s="261">
        <v>-1</v>
      </c>
      <c r="E15" s="261">
        <v>-0.5</v>
      </c>
      <c r="F15" s="261">
        <v>0</v>
      </c>
      <c r="G15" s="261">
        <v>0.5</v>
      </c>
      <c r="H15" s="261">
        <v>1</v>
      </c>
      <c r="I15" s="264"/>
      <c r="J15" s="264"/>
    </row>
    <row r="16" spans="2:14" x14ac:dyDescent="0.3">
      <c r="B16" s="252" t="s">
        <v>6</v>
      </c>
      <c r="C16" s="253"/>
      <c r="D16" s="262"/>
      <c r="E16" s="262"/>
      <c r="F16" s="262"/>
      <c r="G16" s="262"/>
      <c r="H16" s="262"/>
      <c r="I16" s="263"/>
      <c r="J16" s="263"/>
    </row>
    <row r="17" spans="2:10" x14ac:dyDescent="0.3">
      <c r="B17" s="251"/>
      <c r="C17" s="251" t="s">
        <v>91</v>
      </c>
      <c r="D17" s="800">
        <f>'Sensitivity Analysis Price'!AA164</f>
        <v>-2214.6673655728328</v>
      </c>
      <c r="E17" s="800">
        <f>'Sensitivity Analysis Price'!Y164</f>
        <v>40.08250277170464</v>
      </c>
      <c r="F17" s="800">
        <f>'Sensitivity Analysis Price'!W164</f>
        <v>3664.9350055322457</v>
      </c>
      <c r="G17" s="800">
        <f>'Sensitivity Analysis Price'!X164</f>
        <v>7289.7875082927849</v>
      </c>
      <c r="H17" s="800">
        <f>'Sensitivity Analysis Price'!Z164</f>
        <v>10914.640011053325</v>
      </c>
      <c r="I17" s="296">
        <f t="shared" ref="I17:I22" si="0">MAX(D17:H17)-MIN(D17:H17)</f>
        <v>13129.307376626159</v>
      </c>
      <c r="J17" s="296">
        <f>RANK(I17,$I$17:$I$43)</f>
        <v>13</v>
      </c>
    </row>
    <row r="18" spans="2:10" x14ac:dyDescent="0.3">
      <c r="B18" s="251"/>
      <c r="C18" s="776" t="s">
        <v>92</v>
      </c>
      <c r="D18" s="800">
        <f>'Sensitivity Analysis Price'!AF164</f>
        <v>-3381.4700818946094</v>
      </c>
      <c r="E18" s="800">
        <f>'Sensitivity Analysis Price'!AD164</f>
        <v>-306.27623357018456</v>
      </c>
      <c r="F18" s="800">
        <f>'Sensitivity Analysis Price'!AB164</f>
        <v>2768.9176147542403</v>
      </c>
      <c r="G18" s="800">
        <f>'Sensitivity Analysis Price'!AC164</f>
        <v>5844.1114630786633</v>
      </c>
      <c r="H18" s="800">
        <f>'Sensitivity Analysis Price'!AE164</f>
        <v>8919.3053114030863</v>
      </c>
      <c r="I18" s="296">
        <f t="shared" si="0"/>
        <v>12300.775393297696</v>
      </c>
      <c r="J18" s="296">
        <f t="shared" ref="J18:J40" si="1">RANK(I18,$I$17:$I$43)</f>
        <v>15</v>
      </c>
    </row>
    <row r="19" spans="2:10" x14ac:dyDescent="0.3">
      <c r="B19" s="251"/>
      <c r="C19" s="776" t="s">
        <v>255</v>
      </c>
      <c r="D19" s="800">
        <f>'Sensitivity Analysis Price'!AK164</f>
        <v>-12008.746639441326</v>
      </c>
      <c r="E19" s="800">
        <f>'Sensitivity Analysis Price'!AI164</f>
        <v>-6275.3931195585556</v>
      </c>
      <c r="F19" s="800">
        <f>'Sensitivity Analysis Price'!AG164</f>
        <v>-542.03959967578339</v>
      </c>
      <c r="G19" s="800">
        <f>'Sensitivity Analysis Price'!AH164</f>
        <v>5191.3139202069924</v>
      </c>
      <c r="H19" s="800">
        <f>'Sensitivity Analysis Price'!AJ164</f>
        <v>10924.667440089759</v>
      </c>
      <c r="I19" s="296">
        <f t="shared" si="0"/>
        <v>22933.414079531085</v>
      </c>
      <c r="J19" s="296">
        <f t="shared" si="1"/>
        <v>5</v>
      </c>
    </row>
    <row r="20" spans="2:10" x14ac:dyDescent="0.3">
      <c r="B20" s="251"/>
      <c r="C20" s="257" t="s">
        <v>93</v>
      </c>
      <c r="D20" s="800">
        <f>'Sensitivity Analysis Price'!L164</f>
        <v>-5758.5536074019965</v>
      </c>
      <c r="E20" s="800">
        <f>'Sensitivity Analysis Price'!J164</f>
        <v>-3182.0330168480341</v>
      </c>
      <c r="F20" s="800">
        <f>'Sensitivity Analysis Price'!H164</f>
        <v>-605.5124262940717</v>
      </c>
      <c r="G20" s="800">
        <f>'Sensitivity Analysis Price'!I164</f>
        <v>1971.0081642598943</v>
      </c>
      <c r="H20" s="800">
        <f>'Sensitivity Analysis Price'!K164</f>
        <v>4547.5287548138549</v>
      </c>
      <c r="I20" s="296">
        <f t="shared" si="0"/>
        <v>10306.082362215851</v>
      </c>
      <c r="J20" s="296">
        <f t="shared" si="1"/>
        <v>17</v>
      </c>
    </row>
    <row r="21" spans="2:10" x14ac:dyDescent="0.3">
      <c r="B21" s="258"/>
      <c r="C21" s="257" t="s">
        <v>436</v>
      </c>
      <c r="D21" s="800">
        <f>'Sensitivity Analysis Price'!Q164</f>
        <v>-3968.0830071025139</v>
      </c>
      <c r="E21" s="800">
        <f>'Sensitivity Analysis Price'!O164</f>
        <v>-216.1773833797979</v>
      </c>
      <c r="F21" s="800">
        <f>'Sensitivity Analysis Price'!M164</f>
        <v>3535.7282403429181</v>
      </c>
      <c r="G21" s="800">
        <f>'Sensitivity Analysis Price'!N164</f>
        <v>7287.6338640656322</v>
      </c>
      <c r="H21" s="800">
        <f>'Sensitivity Analysis Price'!P164</f>
        <v>11039.539487788354</v>
      </c>
      <c r="I21" s="296">
        <f t="shared" si="0"/>
        <v>15007.622494890868</v>
      </c>
      <c r="J21" s="296">
        <f t="shared" si="1"/>
        <v>10</v>
      </c>
    </row>
    <row r="22" spans="2:10" x14ac:dyDescent="0.3">
      <c r="B22" s="259"/>
      <c r="C22" s="260" t="s">
        <v>285</v>
      </c>
      <c r="D22" s="801">
        <f>'Sensitivity Analysis Price'!V164</f>
        <v>-10950.623442369517</v>
      </c>
      <c r="E22" s="801">
        <f>'Sensitivity Analysis Price'!T164</f>
        <v>-5036.6822079668964</v>
      </c>
      <c r="F22" s="801">
        <f>'Sensitivity Analysis Price'!R164</f>
        <v>877.25902643572226</v>
      </c>
      <c r="G22" s="801">
        <f>'Sensitivity Analysis Price'!S164</f>
        <v>6791.2002608383373</v>
      </c>
      <c r="H22" s="801">
        <f>'Sensitivity Analysis Price'!U164</f>
        <v>12705.141495240961</v>
      </c>
      <c r="I22" s="297">
        <f t="shared" si="0"/>
        <v>23655.764937610478</v>
      </c>
      <c r="J22" s="297">
        <f t="shared" si="1"/>
        <v>3</v>
      </c>
    </row>
    <row r="23" spans="2:10" x14ac:dyDescent="0.3">
      <c r="B23" s="251" t="s">
        <v>300</v>
      </c>
      <c r="C23" s="63"/>
      <c r="D23" s="802"/>
      <c r="E23" s="802"/>
      <c r="F23" s="802"/>
      <c r="G23" s="802"/>
      <c r="H23" s="802"/>
      <c r="I23" s="802"/>
      <c r="J23" s="802"/>
    </row>
    <row r="24" spans="2:10" x14ac:dyDescent="0.3">
      <c r="B24" s="251"/>
      <c r="C24" s="251" t="s">
        <v>91</v>
      </c>
      <c r="D24" s="800">
        <f>'Sensitivity Analysis Yield'!AA164</f>
        <v>-3584.769999988835</v>
      </c>
      <c r="E24" s="800">
        <f>'Sensitivity Analysis Yield'!Y164</f>
        <v>40.08250277170464</v>
      </c>
      <c r="F24" s="800">
        <f>'Sensitivity Analysis Yield'!W164</f>
        <v>3664.9350055322457</v>
      </c>
      <c r="G24" s="800">
        <f>'Sensitivity Analysis Yield'!X164</f>
        <v>7289.7875082927849</v>
      </c>
      <c r="H24" s="800">
        <f>'Sensitivity Analysis Yield'!Z164</f>
        <v>10914.640011053325</v>
      </c>
      <c r="I24" s="296">
        <f t="shared" ref="I24:I29" si="2">MAX(D24:H24)-MIN(D24:H24)</f>
        <v>14499.41001104216</v>
      </c>
      <c r="J24" s="296">
        <f t="shared" si="1"/>
        <v>12</v>
      </c>
    </row>
    <row r="25" spans="2:10" x14ac:dyDescent="0.3">
      <c r="B25" s="251"/>
      <c r="C25" s="776" t="s">
        <v>92</v>
      </c>
      <c r="D25" s="800">
        <f>'Sensitivity Analysis Yield'!AF164</f>
        <v>-3381.4700818946094</v>
      </c>
      <c r="E25" s="800">
        <f>'Sensitivity Analysis Yield'!AD164</f>
        <v>-306.27623357018456</v>
      </c>
      <c r="F25" s="800">
        <f>'Sensitivity Analysis Yield'!AB164</f>
        <v>2768.9176147542403</v>
      </c>
      <c r="G25" s="800">
        <f>'Sensitivity Analysis Yield'!AC164</f>
        <v>5844.1114630786633</v>
      </c>
      <c r="H25" s="800">
        <f>'Sensitivity Analysis Yield'!AE164</f>
        <v>8919.3053114030863</v>
      </c>
      <c r="I25" s="296">
        <f t="shared" si="2"/>
        <v>12300.775393297696</v>
      </c>
      <c r="J25" s="296">
        <f t="shared" si="1"/>
        <v>15</v>
      </c>
    </row>
    <row r="26" spans="2:10" x14ac:dyDescent="0.3">
      <c r="B26" s="251"/>
      <c r="C26" s="776" t="s">
        <v>255</v>
      </c>
      <c r="D26" s="800">
        <f>'Sensitivity Analysis Yield'!AK164</f>
        <v>-12008.746639441326</v>
      </c>
      <c r="E26" s="800">
        <f>'Sensitivity Analysis Yield'!AI164</f>
        <v>-6275.3931195585556</v>
      </c>
      <c r="F26" s="800">
        <f>'Sensitivity Analysis Yield'!AG164</f>
        <v>-542.03959967578339</v>
      </c>
      <c r="G26" s="800">
        <f>'Sensitivity Analysis Yield'!AH164</f>
        <v>5191.3139202069924</v>
      </c>
      <c r="H26" s="800">
        <f>'Sensitivity Analysis Yield'!AJ164</f>
        <v>10924.667440089759</v>
      </c>
      <c r="I26" s="296">
        <f t="shared" si="2"/>
        <v>22933.414079531085</v>
      </c>
      <c r="J26" s="296">
        <f t="shared" si="1"/>
        <v>5</v>
      </c>
    </row>
    <row r="27" spans="2:10" x14ac:dyDescent="0.3">
      <c r="B27" s="105"/>
      <c r="C27" s="257" t="s">
        <v>93</v>
      </c>
      <c r="D27" s="800">
        <f>'Sensitivity Analysis Yield'!L164</f>
        <v>-5758.5536074019965</v>
      </c>
      <c r="E27" s="800">
        <f>'Sensitivity Analysis Yield'!J164</f>
        <v>-3182.0330168480341</v>
      </c>
      <c r="F27" s="800">
        <f>'Sensitivity Analysis Yield'!H164</f>
        <v>-605.5124262940717</v>
      </c>
      <c r="G27" s="800">
        <f>'Sensitivity Analysis Yield'!I164</f>
        <v>1971.0081642598943</v>
      </c>
      <c r="H27" s="800">
        <f>'Sensitivity Analysis Yield'!K164</f>
        <v>4547.5287548138549</v>
      </c>
      <c r="I27" s="296">
        <f t="shared" si="2"/>
        <v>10306.082362215851</v>
      </c>
      <c r="J27" s="296">
        <f t="shared" si="1"/>
        <v>17</v>
      </c>
    </row>
    <row r="28" spans="2:10" x14ac:dyDescent="0.3">
      <c r="B28" s="251"/>
      <c r="C28" s="257" t="s">
        <v>436</v>
      </c>
      <c r="D28" s="800">
        <f>'Sensitivity Analysis Yield'!Q164</f>
        <v>-3968.0830071025139</v>
      </c>
      <c r="E28" s="800">
        <f>'Sensitivity Analysis Yield'!O164</f>
        <v>-216.1773833797979</v>
      </c>
      <c r="F28" s="800">
        <f>'Sensitivity Analysis Yield'!M164</f>
        <v>3535.7282403429181</v>
      </c>
      <c r="G28" s="800">
        <f>'Sensitivity Analysis Yield'!N164</f>
        <v>7287.6338640656322</v>
      </c>
      <c r="H28" s="800">
        <f>'Sensitivity Analysis Yield'!P164</f>
        <v>11039.539487788354</v>
      </c>
      <c r="I28" s="296">
        <f t="shared" si="2"/>
        <v>15007.622494890868</v>
      </c>
      <c r="J28" s="296">
        <f t="shared" si="1"/>
        <v>10</v>
      </c>
    </row>
    <row r="29" spans="2:10" x14ac:dyDescent="0.3">
      <c r="B29" s="249"/>
      <c r="C29" s="260" t="s">
        <v>285</v>
      </c>
      <c r="D29" s="801">
        <f>'Sensitivity Analysis Yield'!V164</f>
        <v>-10950.623442369517</v>
      </c>
      <c r="E29" s="801">
        <f>'Sensitivity Analysis Yield'!T164</f>
        <v>-5036.6822079668964</v>
      </c>
      <c r="F29" s="801">
        <f>'Sensitivity Analysis Yield'!R164</f>
        <v>877.25902643572226</v>
      </c>
      <c r="G29" s="801">
        <f>'Sensitivity Analysis Yield'!S164</f>
        <v>6791.2002608383409</v>
      </c>
      <c r="H29" s="801">
        <f>'Sensitivity Analysis Yield'!U164</f>
        <v>12705.141495240961</v>
      </c>
      <c r="I29" s="297">
        <f t="shared" si="2"/>
        <v>23655.764937610478</v>
      </c>
      <c r="J29" s="297">
        <f t="shared" si="1"/>
        <v>3</v>
      </c>
    </row>
    <row r="30" spans="2:10" x14ac:dyDescent="0.3">
      <c r="B30" s="251" t="s">
        <v>301</v>
      </c>
      <c r="C30" s="63"/>
      <c r="D30" s="802"/>
      <c r="E30" s="802"/>
      <c r="F30" s="802"/>
      <c r="G30" s="802"/>
      <c r="H30" s="802"/>
      <c r="I30" s="802"/>
      <c r="J30" s="802"/>
    </row>
    <row r="31" spans="2:10" x14ac:dyDescent="0.3">
      <c r="B31" s="251"/>
      <c r="C31" s="251" t="s">
        <v>91</v>
      </c>
      <c r="D31" s="800">
        <f>'Sensitivity Analysis Costs'!AA164</f>
        <v>10149.120949741186</v>
      </c>
      <c r="E31" s="800">
        <f>'Sensitivity Analysis Costs'!Y164</f>
        <v>6907.0279776367151</v>
      </c>
      <c r="F31" s="800">
        <f>'Sensitivity Analysis Costs'!W164</f>
        <v>3664.9350055322457</v>
      </c>
      <c r="G31" s="800">
        <f>'Sensitivity Analysis Costs'!X164</f>
        <v>422.84203342777437</v>
      </c>
      <c r="H31" s="800">
        <f>'Sensitivity Analysis Costs'!Z164</f>
        <v>-2819.2509386766942</v>
      </c>
      <c r="I31" s="296">
        <f t="shared" ref="I31:I36" si="3">MAX(D31:H31)-MIN(D31:H31)</f>
        <v>12968.37188841788</v>
      </c>
      <c r="J31" s="296">
        <f t="shared" si="1"/>
        <v>14</v>
      </c>
    </row>
    <row r="32" spans="2:10" x14ac:dyDescent="0.3">
      <c r="B32" s="251"/>
      <c r="C32" s="776" t="s">
        <v>92</v>
      </c>
      <c r="D32" s="800">
        <f>'Sensitivity Analysis Costs'!AF164</f>
        <v>10419.906275284957</v>
      </c>
      <c r="E32" s="800">
        <f>'Sensitivity Analysis Costs'!AD164</f>
        <v>6594.4119450195985</v>
      </c>
      <c r="F32" s="800">
        <f>'Sensitivity Analysis Costs'!AB164</f>
        <v>2768.9176147542403</v>
      </c>
      <c r="G32" s="800">
        <f>'Sensitivity Analysis Costs'!AC164</f>
        <v>-1056.5767155111171</v>
      </c>
      <c r="H32" s="800">
        <f>'Sensitivity Analysis Costs'!AE164</f>
        <v>-4882.0710457764762</v>
      </c>
      <c r="I32" s="296">
        <f t="shared" si="3"/>
        <v>15301.977321061433</v>
      </c>
      <c r="J32" s="296">
        <f t="shared" si="1"/>
        <v>9</v>
      </c>
    </row>
    <row r="33" spans="2:10" x14ac:dyDescent="0.3">
      <c r="B33" s="251"/>
      <c r="C33" s="776" t="s">
        <v>255</v>
      </c>
      <c r="D33" s="800">
        <f>'Sensitivity Analysis Costs'!AK164</f>
        <v>15736.22561840165</v>
      </c>
      <c r="E33" s="800">
        <f>'Sensitivity Analysis Costs'!AI164</f>
        <v>7597.0930093629331</v>
      </c>
      <c r="F33" s="800">
        <f>'Sensitivity Analysis Costs'!AG164</f>
        <v>-542.03959967578339</v>
      </c>
      <c r="G33" s="800">
        <f>'Sensitivity Analysis Costs'!AH164</f>
        <v>-8681.1722087144972</v>
      </c>
      <c r="H33" s="800">
        <f>'Sensitivity Analysis Costs'!AJ164</f>
        <v>-16820.304817753218</v>
      </c>
      <c r="I33" s="296">
        <f t="shared" si="3"/>
        <v>32556.53043615487</v>
      </c>
      <c r="J33" s="296">
        <f t="shared" si="1"/>
        <v>1</v>
      </c>
    </row>
    <row r="34" spans="2:10" x14ac:dyDescent="0.3">
      <c r="B34" s="105"/>
      <c r="C34" s="257" t="s">
        <v>93</v>
      </c>
      <c r="D34" s="800">
        <f>'Sensitivity Analysis Costs'!L164</f>
        <v>9422.5597597440319</v>
      </c>
      <c r="E34" s="800">
        <f>'Sensitivity Analysis Costs'!J164</f>
        <v>4408.5236667249801</v>
      </c>
      <c r="F34" s="800">
        <f>'Sensitivity Analysis Costs'!H164</f>
        <v>-605.5124262940717</v>
      </c>
      <c r="G34" s="800">
        <f>'Sensitivity Analysis Costs'!I164</f>
        <v>-5619.5485193131208</v>
      </c>
      <c r="H34" s="800">
        <f>'Sensitivity Analysis Costs'!K164</f>
        <v>-10633.584612332175</v>
      </c>
      <c r="I34" s="296">
        <f t="shared" si="3"/>
        <v>20056.144372076207</v>
      </c>
      <c r="J34" s="296">
        <f t="shared" si="1"/>
        <v>7</v>
      </c>
    </row>
    <row r="35" spans="2:10" x14ac:dyDescent="0.3">
      <c r="B35" s="105"/>
      <c r="C35" s="257" t="s">
        <v>436</v>
      </c>
      <c r="D35" s="800">
        <f>'Sensitivity Analysis Costs'!Q164</f>
        <v>11773.329826081539</v>
      </c>
      <c r="E35" s="800">
        <f>'Sensitivity Analysis Costs'!O164</f>
        <v>7654.5290332122286</v>
      </c>
      <c r="F35" s="800">
        <f>'Sensitivity Analysis Costs'!M164</f>
        <v>3535.7282403429181</v>
      </c>
      <c r="G35" s="800">
        <f>'Sensitivity Analysis Costs'!N164</f>
        <v>-583.07255252639516</v>
      </c>
      <c r="H35" s="800">
        <f>'Sensitivity Analysis Costs'!P164</f>
        <v>-4701.8733453957029</v>
      </c>
      <c r="I35" s="296">
        <f t="shared" si="3"/>
        <v>16475.203171477242</v>
      </c>
      <c r="J35" s="296">
        <f t="shared" si="1"/>
        <v>8</v>
      </c>
    </row>
    <row r="36" spans="2:10" x14ac:dyDescent="0.3">
      <c r="B36" s="106"/>
      <c r="C36" s="260" t="s">
        <v>285</v>
      </c>
      <c r="D36" s="801">
        <f>'Sensitivity Analysis Costs'!V164</f>
        <v>16097.401047441346</v>
      </c>
      <c r="E36" s="801">
        <f>'Sensitivity Analysis Costs'!T164</f>
        <v>8487.3300369385342</v>
      </c>
      <c r="F36" s="801">
        <f>'Sensitivity Analysis Costs'!R164</f>
        <v>877.25902643572226</v>
      </c>
      <c r="G36" s="801">
        <f>'Sensitivity Analysis Costs'!S164</f>
        <v>-6732.8119840670861</v>
      </c>
      <c r="H36" s="801">
        <f>'Sensitivity Analysis Costs'!U164</f>
        <v>-14342.882994569902</v>
      </c>
      <c r="I36" s="297">
        <f t="shared" si="3"/>
        <v>30440.284042011248</v>
      </c>
      <c r="J36" s="297">
        <f t="shared" si="1"/>
        <v>2</v>
      </c>
    </row>
    <row r="37" spans="2:10" x14ac:dyDescent="0.3">
      <c r="B37" s="251" t="s">
        <v>284</v>
      </c>
      <c r="C37" s="776"/>
      <c r="D37" s="803"/>
      <c r="E37" s="803"/>
      <c r="F37" s="803"/>
      <c r="G37" s="803"/>
      <c r="H37" s="803"/>
      <c r="I37" s="803"/>
      <c r="J37" s="803"/>
    </row>
    <row r="38" spans="2:10" x14ac:dyDescent="0.3">
      <c r="B38" s="251"/>
      <c r="C38" s="251" t="s">
        <v>91</v>
      </c>
      <c r="D38" s="800">
        <f>'Sensitivity Analysis Discount R'!AA164</f>
        <v>4689.8219939999981</v>
      </c>
      <c r="E38" s="800">
        <f>'Sensitivity Analysis Discount R'!Y164</f>
        <v>4143.0641962378559</v>
      </c>
      <c r="F38" s="800">
        <f>'Sensitivity Analysis Discount R'!W164</f>
        <v>3664.9350055322457</v>
      </c>
      <c r="G38" s="800">
        <f>'Sensitivity Analysis Discount R'!X164</f>
        <v>3245.0695870346808</v>
      </c>
      <c r="H38" s="800">
        <f>'Sensitivity Analysis Discount R'!Z164</f>
        <v>2874.8782631777958</v>
      </c>
      <c r="I38" s="296">
        <f t="shared" ref="I38:I43" si="4">MAX(D38:H38)-MIN(D38:H38)</f>
        <v>1814.9437308222023</v>
      </c>
      <c r="J38" s="296">
        <f t="shared" si="1"/>
        <v>22</v>
      </c>
    </row>
    <row r="39" spans="2:10" x14ac:dyDescent="0.3">
      <c r="B39" s="251"/>
      <c r="C39" s="776" t="s">
        <v>92</v>
      </c>
      <c r="D39" s="800">
        <f>'Sensitivity Analysis Discount R'!AF164</f>
        <v>4069.2688460000008</v>
      </c>
      <c r="E39" s="800">
        <f>'Sensitivity Analysis Discount R'!AD164</f>
        <v>3366.1382852602328</v>
      </c>
      <c r="F39" s="800">
        <f>'Sensitivity Analysis Discount R'!AB164</f>
        <v>2768.9176147542403</v>
      </c>
      <c r="G39" s="800">
        <f>'Sensitivity Analysis Discount R'!AC164</f>
        <v>2259.1377633224165</v>
      </c>
      <c r="H39" s="800">
        <f>'Sensitivity Analysis Discount R'!AE164</f>
        <v>1821.8951057592521</v>
      </c>
      <c r="I39" s="296">
        <f t="shared" si="4"/>
        <v>2247.3737402407487</v>
      </c>
      <c r="J39" s="296">
        <f t="shared" si="1"/>
        <v>21</v>
      </c>
    </row>
    <row r="40" spans="2:10" x14ac:dyDescent="0.3">
      <c r="B40" s="251"/>
      <c r="C40" s="776" t="s">
        <v>255</v>
      </c>
      <c r="D40" s="800">
        <f>'Sensitivity Analysis Discount R'!AK164</f>
        <v>-670.32594742857327</v>
      </c>
      <c r="E40" s="800">
        <f>'Sensitivity Analysis Discount R'!AI164</f>
        <v>-600.91507837151221</v>
      </c>
      <c r="F40" s="800">
        <f>'Sensitivity Analysis Discount R'!AG164</f>
        <v>-542.03959967578339</v>
      </c>
      <c r="G40" s="800">
        <f>'Sensitivity Analysis Discount R'!AH164</f>
        <v>-491.83263196087682</v>
      </c>
      <c r="H40" s="800">
        <f>'Sensitivity Analysis Discount R'!AJ164</f>
        <v>-448.79365323738602</v>
      </c>
      <c r="I40" s="296">
        <f t="shared" si="4"/>
        <v>221.53229419118725</v>
      </c>
      <c r="J40" s="296">
        <f t="shared" si="1"/>
        <v>24</v>
      </c>
    </row>
    <row r="41" spans="2:10" x14ac:dyDescent="0.3">
      <c r="B41" s="258"/>
      <c r="C41" s="257" t="s">
        <v>93</v>
      </c>
      <c r="D41" s="800">
        <f>'Sensitivity Analysis Discount R'!L164</f>
        <v>727.76534159983566</v>
      </c>
      <c r="E41" s="800">
        <f>'Sensitivity Analysis Discount R'!J164</f>
        <v>6.223663204767945</v>
      </c>
      <c r="F41" s="800">
        <f>'Sensitivity Analysis Discount R'!H164</f>
        <v>-605.5124262940717</v>
      </c>
      <c r="G41" s="800">
        <f>'Sensitivity Analysis Discount R'!I164</f>
        <v>-1126.8045791066215</v>
      </c>
      <c r="H41" s="800">
        <f>'Sensitivity Analysis Discount R'!K164</f>
        <v>-1573.2376624950621</v>
      </c>
      <c r="I41" s="296">
        <f t="shared" si="4"/>
        <v>2301.0030040948977</v>
      </c>
      <c r="J41" s="296">
        <f>RANK(I41,$I$20:$I$42)</f>
        <v>17</v>
      </c>
    </row>
    <row r="42" spans="2:10" x14ac:dyDescent="0.3">
      <c r="B42" s="258"/>
      <c r="C42" s="257" t="s">
        <v>436</v>
      </c>
      <c r="D42" s="800">
        <f>'Sensitivity Analysis Discount R'!Q164</f>
        <v>5176.4547137914124</v>
      </c>
      <c r="E42" s="800">
        <f>'Sensitivity Analysis Discount R'!O164</f>
        <v>4289.039660266224</v>
      </c>
      <c r="F42" s="800">
        <f>'Sensitivity Analysis Discount R'!$M$164</f>
        <v>3535.7282403429181</v>
      </c>
      <c r="G42" s="800">
        <f>'Sensitivity Analysis Discount R'!N164</f>
        <v>2893.0416333596795</v>
      </c>
      <c r="H42" s="800">
        <f>'Sensitivity Analysis Discount R'!P164</f>
        <v>2342.0505411266922</v>
      </c>
      <c r="I42" s="296">
        <f t="shared" si="4"/>
        <v>2834.4041726647201</v>
      </c>
      <c r="J42" s="296">
        <f>RANK(I42,$I$20:$I$43)</f>
        <v>16</v>
      </c>
    </row>
    <row r="43" spans="2:10" x14ac:dyDescent="0.3">
      <c r="B43" s="106"/>
      <c r="C43" s="777" t="s">
        <v>285</v>
      </c>
      <c r="D43" s="804">
        <f>'Sensitivity Analysis Discount R'!V164</f>
        <v>1166.5296120660387</v>
      </c>
      <c r="E43" s="804">
        <f>'Sensitivity Analysis Discount R'!T164</f>
        <v>1008.0272977574823</v>
      </c>
      <c r="F43" s="804">
        <f>'Sensitivity Analysis Discount R'!R164</f>
        <v>877.25902643572226</v>
      </c>
      <c r="G43" s="804">
        <f>'Sensitivity Analysis Discount R'!S164</f>
        <v>768.76823101427544</v>
      </c>
      <c r="H43" s="804">
        <f>'Sensitivity Analysis Discount R'!U164</f>
        <v>678.26524605690611</v>
      </c>
      <c r="I43" s="297">
        <f t="shared" si="4"/>
        <v>488.26436600913257</v>
      </c>
      <c r="J43" s="297">
        <f>RANK(I43,$I$20:$I$43)</f>
        <v>20</v>
      </c>
    </row>
  </sheetData>
  <mergeCells count="2">
    <mergeCell ref="B5:C5"/>
    <mergeCell ref="D14:G1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D193"/>
  <sheetViews>
    <sheetView topLeftCell="C173" zoomScaleNormal="100" workbookViewId="0">
      <selection activeCell="H187" sqref="H187"/>
    </sheetView>
  </sheetViews>
  <sheetFormatPr defaultColWidth="9" defaultRowHeight="14" x14ac:dyDescent="0.3"/>
  <cols>
    <col min="2" max="2" width="45" customWidth="1"/>
    <col min="5" max="5" width="4.08203125" customWidth="1"/>
    <col min="6" max="6" width="9" customWidth="1"/>
    <col min="7" max="7" width="8" customWidth="1"/>
    <col min="8" max="9" width="9" customWidth="1"/>
    <col min="10" max="10" width="4.08203125" customWidth="1"/>
    <col min="11" max="14" width="9" customWidth="1"/>
    <col min="15" max="15" width="4.08203125" customWidth="1"/>
    <col min="16" max="19" width="9" customWidth="1"/>
    <col min="20" max="20" width="4.08203125" customWidth="1"/>
    <col min="25" max="25" width="4.08203125" customWidth="1"/>
  </cols>
  <sheetData>
    <row r="1" spans="2:29" ht="14.5" thickBot="1" x14ac:dyDescent="0.35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</row>
    <row r="2" spans="2:29" ht="14.5" thickBot="1" x14ac:dyDescent="0.35">
      <c r="B2" s="420" t="s">
        <v>566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</row>
    <row r="3" spans="2:29" x14ac:dyDescent="0.3">
      <c r="B3" s="421"/>
      <c r="C3" s="366"/>
      <c r="D3" s="366"/>
      <c r="E3" s="366"/>
      <c r="F3" s="422"/>
      <c r="G3" s="366"/>
      <c r="H3" s="366"/>
      <c r="I3" s="366"/>
      <c r="J3" s="366"/>
      <c r="K3" s="366"/>
      <c r="L3" s="366"/>
      <c r="M3" s="422"/>
      <c r="N3" s="423"/>
      <c r="O3" s="423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</row>
    <row r="4" spans="2:29" x14ac:dyDescent="0.3">
      <c r="B4" s="424" t="s">
        <v>37</v>
      </c>
      <c r="C4" s="84">
        <f>'Arable Inputs'!D31</f>
        <v>14.5</v>
      </c>
      <c r="D4" s="366"/>
      <c r="E4" s="366"/>
      <c r="F4" s="422"/>
      <c r="G4" s="423"/>
      <c r="H4" s="366"/>
      <c r="I4" s="422"/>
      <c r="J4" s="422"/>
      <c r="K4" s="423"/>
      <c r="L4" s="366"/>
      <c r="M4" s="422"/>
      <c r="N4" s="423"/>
      <c r="O4" s="423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</row>
    <row r="5" spans="2:29" x14ac:dyDescent="0.3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</row>
    <row r="6" spans="2:29" x14ac:dyDescent="0.3">
      <c r="B6" s="425"/>
      <c r="C6" s="366"/>
      <c r="D6" s="366"/>
      <c r="E6" s="366"/>
      <c r="F6" s="426"/>
      <c r="G6" s="426"/>
      <c r="H6" s="426"/>
      <c r="I6" s="426"/>
      <c r="J6" s="426"/>
      <c r="K6" s="426"/>
      <c r="L6" s="426"/>
      <c r="M6" s="426"/>
      <c r="N6" s="426"/>
      <c r="O6" s="426"/>
      <c r="P6" s="426"/>
      <c r="Q6" s="426"/>
      <c r="R6" s="426"/>
      <c r="S6" s="426"/>
      <c r="T6" s="426"/>
      <c r="U6" s="426"/>
      <c r="V6" s="426"/>
      <c r="W6" s="426"/>
      <c r="X6" s="426"/>
      <c r="Y6" s="426"/>
      <c r="Z6" s="426"/>
      <c r="AA6" s="426"/>
      <c r="AB6" s="426"/>
      <c r="AC6" s="426"/>
    </row>
    <row r="7" spans="2:29" x14ac:dyDescent="0.3">
      <c r="B7" s="427"/>
      <c r="C7" s="427"/>
      <c r="D7" s="427"/>
      <c r="E7" s="428"/>
      <c r="F7" s="429" t="s">
        <v>4</v>
      </c>
      <c r="G7" s="430"/>
      <c r="H7" s="430"/>
      <c r="I7" s="430"/>
      <c r="J7" s="428"/>
      <c r="K7" s="431" t="s">
        <v>559</v>
      </c>
      <c r="L7" s="430"/>
      <c r="M7" s="430"/>
      <c r="N7" s="432"/>
      <c r="O7" s="430"/>
      <c r="P7" s="431" t="s">
        <v>5</v>
      </c>
      <c r="Q7" s="430"/>
      <c r="R7" s="430"/>
      <c r="S7" s="432"/>
      <c r="T7" s="430"/>
      <c r="U7" s="431" t="s">
        <v>560</v>
      </c>
      <c r="V7" s="430"/>
      <c r="W7" s="430"/>
      <c r="X7" s="432"/>
      <c r="Y7" s="430"/>
      <c r="Z7" s="431" t="s">
        <v>255</v>
      </c>
      <c r="AA7" s="430"/>
      <c r="AB7" s="430"/>
      <c r="AC7" s="432"/>
    </row>
    <row r="8" spans="2:29" ht="22.5" customHeight="1" x14ac:dyDescent="0.3">
      <c r="B8" s="433"/>
      <c r="C8" s="434"/>
      <c r="D8" s="434"/>
      <c r="E8" s="435"/>
      <c r="F8" s="1047" t="s">
        <v>35</v>
      </c>
      <c r="G8" s="1048"/>
      <c r="H8" s="1045">
        <f>H35+H48+H53+H71+H81+H105+H116+H134+H141+H160</f>
        <v>16.8</v>
      </c>
      <c r="I8" s="1046"/>
      <c r="J8" s="436"/>
      <c r="K8" s="1056" t="s">
        <v>35</v>
      </c>
      <c r="L8" s="1057"/>
      <c r="M8" s="1046">
        <f>M35+M48+M53+M71+M81+M105+M116+M134+M141+M160</f>
        <v>6.8</v>
      </c>
      <c r="N8" s="1059"/>
      <c r="O8" s="437"/>
      <c r="P8" s="1056" t="s">
        <v>35</v>
      </c>
      <c r="Q8" s="1047"/>
      <c r="R8" s="1046">
        <f>R35+R48+R53+R71+R81+R105+R116+R134+R141+R160</f>
        <v>18.3</v>
      </c>
      <c r="S8" s="1059"/>
      <c r="T8" s="437"/>
      <c r="U8" s="1056" t="s">
        <v>35</v>
      </c>
      <c r="V8" s="1047"/>
      <c r="W8" s="1046">
        <f>W35+W48+W53+W71+W81+W105+W116+W134+W141+W160</f>
        <v>10.799999999999999</v>
      </c>
      <c r="X8" s="1059"/>
      <c r="Y8" s="437"/>
      <c r="Z8" s="1056" t="s">
        <v>35</v>
      </c>
      <c r="AA8" s="1047"/>
      <c r="AB8" s="1046">
        <f>AB35+AB48+AB53+AB71+AB81+AB105+AB116+AB134+AB141+AB160</f>
        <v>14.2</v>
      </c>
      <c r="AC8" s="1059"/>
    </row>
    <row r="9" spans="2:29" ht="22.5" customHeight="1" x14ac:dyDescent="0.3">
      <c r="B9" s="438"/>
      <c r="C9" s="434"/>
      <c r="D9" s="434"/>
      <c r="E9" s="435"/>
      <c r="F9" s="1051" t="s">
        <v>34</v>
      </c>
      <c r="G9" s="1052"/>
      <c r="H9" s="1049">
        <f>I35+I48+I54+I71+I81+I105+I116+I134+I141+I160</f>
        <v>243.6</v>
      </c>
      <c r="I9" s="1050"/>
      <c r="J9" s="439"/>
      <c r="K9" s="1058" t="s">
        <v>34</v>
      </c>
      <c r="L9" s="1051"/>
      <c r="M9" s="1050">
        <f>N35+N48+N54+N71+N81+N105+N116+N134+N141+N160</f>
        <v>98.6</v>
      </c>
      <c r="N9" s="1060"/>
      <c r="O9" s="440"/>
      <c r="P9" s="1058" t="s">
        <v>34</v>
      </c>
      <c r="Q9" s="1051"/>
      <c r="R9" s="1050">
        <f>S35+S48+S54+S71+S81+S105+S116+S134+S141+S160</f>
        <v>265.35000000000002</v>
      </c>
      <c r="S9" s="1060"/>
      <c r="T9" s="440"/>
      <c r="U9" s="1058" t="s">
        <v>34</v>
      </c>
      <c r="V9" s="1051"/>
      <c r="W9" s="1050">
        <f>X35+X48+X54+X71+X81+X105+X116+X134+X141+X160</f>
        <v>156.6</v>
      </c>
      <c r="X9" s="1060"/>
      <c r="Y9" s="440"/>
      <c r="Z9" s="1058" t="s">
        <v>34</v>
      </c>
      <c r="AA9" s="1051"/>
      <c r="AB9" s="1050">
        <f>AC35+AC48+AC54+AC71+AC81+AC105+AC116+AC134+AC141+AC160</f>
        <v>205.89999999999998</v>
      </c>
      <c r="AC9" s="1060"/>
    </row>
    <row r="10" spans="2:29" ht="22.5" customHeight="1" x14ac:dyDescent="0.3">
      <c r="B10" s="438" t="s">
        <v>237</v>
      </c>
      <c r="C10" s="441"/>
      <c r="D10" s="434"/>
      <c r="E10" s="435"/>
      <c r="F10" s="1051" t="s">
        <v>33</v>
      </c>
      <c r="G10" s="1052"/>
      <c r="H10" s="1049">
        <f>G35+G48+G53+G71+G81+G105+G116+G134+G141+G160</f>
        <v>629.80233599999997</v>
      </c>
      <c r="I10" s="1050"/>
      <c r="J10" s="439"/>
      <c r="K10" s="1058" t="s">
        <v>33</v>
      </c>
      <c r="L10" s="1051"/>
      <c r="M10" s="1050">
        <f>L35+L48+L53+L71+L81+L105+L116+L134+L141+L160</f>
        <v>449.02448399999992</v>
      </c>
      <c r="N10" s="1060"/>
      <c r="O10" s="440"/>
      <c r="P10" s="1058" t="s">
        <v>33</v>
      </c>
      <c r="Q10" s="1051"/>
      <c r="R10" s="1050">
        <f>Q35+Q48+Q53+Q71+Q81+Q105+Q116+Q134+Q141+Q160</f>
        <v>369.96322685714284</v>
      </c>
      <c r="S10" s="1060"/>
      <c r="T10" s="440"/>
      <c r="U10" s="1058" t="s">
        <v>33</v>
      </c>
      <c r="V10" s="1051"/>
      <c r="W10" s="1050">
        <f>V35+V48+V53+V71+V81+V105+V116+V134+V141+V160</f>
        <v>622.08036799999991</v>
      </c>
      <c r="X10" s="1060"/>
      <c r="Y10" s="440"/>
      <c r="Z10" s="1058" t="s">
        <v>33</v>
      </c>
      <c r="AA10" s="1051"/>
      <c r="AB10" s="1050">
        <f>AA35+AA48+AA53+AA71+AA81+AA105+AA116+AA134+AA141+AA160</f>
        <v>485.56913599999996</v>
      </c>
      <c r="AC10" s="1060"/>
    </row>
    <row r="11" spans="2:29" ht="22.5" customHeight="1" x14ac:dyDescent="0.3">
      <c r="B11" s="16"/>
      <c r="C11" s="427"/>
      <c r="D11" s="427"/>
      <c r="E11" s="442"/>
      <c r="F11" s="1044" t="s">
        <v>36</v>
      </c>
      <c r="G11" s="1053"/>
      <c r="H11" s="1054">
        <f>H10-H9</f>
        <v>386.20233599999995</v>
      </c>
      <c r="I11" s="1055"/>
      <c r="J11" s="443"/>
      <c r="K11" s="1043" t="s">
        <v>36</v>
      </c>
      <c r="L11" s="1044"/>
      <c r="M11" s="1061">
        <f>M10-M9</f>
        <v>350.42448399999989</v>
      </c>
      <c r="N11" s="1062"/>
      <c r="O11" s="444"/>
      <c r="P11" s="1043" t="s">
        <v>36</v>
      </c>
      <c r="Q11" s="1044"/>
      <c r="R11" s="1055">
        <f>R10-R9</f>
        <v>104.61322685714282</v>
      </c>
      <c r="S11" s="1062"/>
      <c r="T11" s="444"/>
      <c r="U11" s="1043" t="s">
        <v>36</v>
      </c>
      <c r="V11" s="1044"/>
      <c r="W11" s="1055">
        <f>W10-W9</f>
        <v>465.48036799999988</v>
      </c>
      <c r="X11" s="1062"/>
      <c r="Y11" s="444"/>
      <c r="Z11" s="1043" t="s">
        <v>36</v>
      </c>
      <c r="AA11" s="1063"/>
      <c r="AB11" s="1055">
        <f>AB10-AB9</f>
        <v>279.66913599999998</v>
      </c>
      <c r="AC11" s="1062"/>
    </row>
    <row r="12" spans="2:29" x14ac:dyDescent="0.3">
      <c r="B12" s="445"/>
      <c r="C12" s="446" t="s">
        <v>97</v>
      </c>
      <c r="D12" s="447" t="s">
        <v>98</v>
      </c>
      <c r="E12" s="448" t="s">
        <v>238</v>
      </c>
      <c r="F12" s="449" t="s">
        <v>39</v>
      </c>
      <c r="G12" s="450" t="s">
        <v>40</v>
      </c>
      <c r="H12" s="449" t="s">
        <v>41</v>
      </c>
      <c r="I12" s="449" t="s">
        <v>42</v>
      </c>
      <c r="J12" s="451" t="s">
        <v>238</v>
      </c>
      <c r="K12" s="452" t="s">
        <v>39</v>
      </c>
      <c r="L12" s="450" t="s">
        <v>42</v>
      </c>
      <c r="M12" s="449" t="s">
        <v>41</v>
      </c>
      <c r="N12" s="450" t="s">
        <v>42</v>
      </c>
      <c r="O12" s="451" t="s">
        <v>238</v>
      </c>
      <c r="P12" s="452" t="s">
        <v>39</v>
      </c>
      <c r="Q12" s="450" t="s">
        <v>42</v>
      </c>
      <c r="R12" s="449" t="s">
        <v>41</v>
      </c>
      <c r="S12" s="450" t="s">
        <v>42</v>
      </c>
      <c r="T12" s="451" t="s">
        <v>238</v>
      </c>
      <c r="U12" s="452" t="s">
        <v>39</v>
      </c>
      <c r="V12" s="450" t="s">
        <v>42</v>
      </c>
      <c r="W12" s="449" t="s">
        <v>41</v>
      </c>
      <c r="X12" s="450" t="s">
        <v>42</v>
      </c>
      <c r="Y12" s="451" t="s">
        <v>238</v>
      </c>
      <c r="Z12" s="452" t="s">
        <v>39</v>
      </c>
      <c r="AA12" s="450" t="s">
        <v>42</v>
      </c>
      <c r="AB12" s="449" t="s">
        <v>41</v>
      </c>
      <c r="AC12" s="450" t="s">
        <v>42</v>
      </c>
    </row>
    <row r="13" spans="2:29" x14ac:dyDescent="0.3">
      <c r="B13" s="431" t="s">
        <v>38</v>
      </c>
      <c r="C13" s="453"/>
      <c r="D13" s="454"/>
      <c r="E13" s="454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55"/>
      <c r="Q13" s="455"/>
      <c r="R13" s="455"/>
      <c r="S13" s="455"/>
      <c r="T13" s="455"/>
      <c r="U13" s="455"/>
      <c r="V13" s="455"/>
      <c r="W13" s="455"/>
      <c r="X13" s="455"/>
      <c r="Y13" s="455"/>
      <c r="Z13" s="455"/>
      <c r="AA13" s="455"/>
      <c r="AB13" s="455"/>
      <c r="AC13" s="456"/>
    </row>
    <row r="14" spans="2:29" x14ac:dyDescent="0.3">
      <c r="B14" s="16" t="s">
        <v>118</v>
      </c>
      <c r="C14" s="457">
        <f>61.38*'Arable Inputs'!$D$8</f>
        <v>69.359399999999994</v>
      </c>
      <c r="D14" s="458">
        <f>52.06*'Arable Inputs'!$D$8</f>
        <v>58.827799999999996</v>
      </c>
      <c r="E14" s="459"/>
      <c r="F14" s="434"/>
      <c r="G14" s="460"/>
      <c r="H14" s="434"/>
      <c r="I14" s="434"/>
      <c r="J14" s="459"/>
      <c r="K14" s="434"/>
      <c r="L14" s="460"/>
      <c r="M14" s="434"/>
      <c r="N14" s="434"/>
      <c r="O14" s="459"/>
      <c r="P14" s="434"/>
      <c r="Q14" s="460"/>
      <c r="R14" s="16"/>
      <c r="S14" s="434"/>
      <c r="T14" s="459"/>
      <c r="U14" s="434"/>
      <c r="V14" s="460"/>
      <c r="W14" s="434"/>
      <c r="X14" s="434"/>
      <c r="Y14" s="459"/>
      <c r="Z14" s="434"/>
      <c r="AA14" s="460"/>
      <c r="AB14" s="461"/>
      <c r="AC14" s="460"/>
    </row>
    <row r="15" spans="2:29" x14ac:dyDescent="0.3">
      <c r="B15" s="16" t="s">
        <v>119</v>
      </c>
      <c r="C15" s="457">
        <f>63.88*'Arable Inputs'!$D$8</f>
        <v>72.184399999999997</v>
      </c>
      <c r="D15" s="458">
        <f>57.54*'Arable Inputs'!$D$8</f>
        <v>65.020199999999988</v>
      </c>
      <c r="E15" s="459">
        <v>2</v>
      </c>
      <c r="F15" s="462">
        <v>1</v>
      </c>
      <c r="G15" s="998">
        <f>IF(F15&gt;=1,CHOOSE(E15,$C15,$D15)*F15)</f>
        <v>65.020199999999988</v>
      </c>
      <c r="H15" s="809">
        <v>1.4</v>
      </c>
      <c r="I15" s="578">
        <f>H15*$C$4</f>
        <v>20.299999999999997</v>
      </c>
      <c r="J15" s="459">
        <v>2</v>
      </c>
      <c r="K15" s="462">
        <v>1</v>
      </c>
      <c r="L15" s="998">
        <f>IF(K15&gt;=1,CHOOSE(J15,$C15,$D15)*K15)</f>
        <v>65.020199999999988</v>
      </c>
      <c r="M15" s="809">
        <v>1.4</v>
      </c>
      <c r="N15" s="578">
        <f>M15*$C$4</f>
        <v>20.299999999999997</v>
      </c>
      <c r="O15" s="459"/>
      <c r="P15" s="434"/>
      <c r="Q15" s="460"/>
      <c r="R15" s="813"/>
      <c r="S15" s="423"/>
      <c r="T15" s="459">
        <v>2</v>
      </c>
      <c r="U15" s="462">
        <v>1</v>
      </c>
      <c r="V15" s="998">
        <f>IF(U15&gt;=1,CHOOSE(T15,$C15,$D15)*U15)</f>
        <v>65.020199999999988</v>
      </c>
      <c r="W15" s="809">
        <v>1.4</v>
      </c>
      <c r="X15" s="578">
        <f>W15*$C$4</f>
        <v>20.299999999999997</v>
      </c>
      <c r="Y15" s="459">
        <v>2</v>
      </c>
      <c r="Z15" s="462">
        <v>1</v>
      </c>
      <c r="AA15" s="998">
        <f>IF(Z15&gt;=1,CHOOSE(Y15,$C15,$D15)*Z15)</f>
        <v>65.020199999999988</v>
      </c>
      <c r="AB15" s="862">
        <v>1.4</v>
      </c>
      <c r="AC15" s="998">
        <f>AB15*$C$4</f>
        <v>20.299999999999997</v>
      </c>
    </row>
    <row r="16" spans="2:29" x14ac:dyDescent="0.3">
      <c r="B16" s="16" t="s">
        <v>120</v>
      </c>
      <c r="C16" s="457">
        <f>(C14+6.92)*'Arable Inputs'!$D$8</f>
        <v>86.195721999999989</v>
      </c>
      <c r="D16" s="458">
        <f>(D14+10.44)*'Arable Inputs'!$D$8</f>
        <v>78.27261399999999</v>
      </c>
      <c r="E16" s="459"/>
      <c r="F16" s="434"/>
      <c r="G16" s="998"/>
      <c r="H16" s="434"/>
      <c r="I16" s="578"/>
      <c r="J16" s="459"/>
      <c r="K16" s="434"/>
      <c r="L16" s="998"/>
      <c r="M16" s="434"/>
      <c r="N16" s="578"/>
      <c r="O16" s="459"/>
      <c r="P16" s="434"/>
      <c r="Q16" s="460"/>
      <c r="R16" s="434"/>
      <c r="S16" s="434"/>
      <c r="T16" s="459"/>
      <c r="U16" s="434"/>
      <c r="V16" s="998"/>
      <c r="W16" s="434"/>
      <c r="X16" s="578"/>
      <c r="Y16" s="459"/>
      <c r="Z16" s="434"/>
      <c r="AA16" s="998"/>
      <c r="AB16" s="461"/>
      <c r="AC16" s="998"/>
    </row>
    <row r="17" spans="2:29" x14ac:dyDescent="0.3">
      <c r="B17" s="16" t="s">
        <v>99</v>
      </c>
      <c r="C17" s="457">
        <f>76.5*'Arable Inputs'!$D$8</f>
        <v>86.444999999999993</v>
      </c>
      <c r="D17" s="458">
        <f>68.49*'Arable Inputs'!$D$8</f>
        <v>77.393699999999981</v>
      </c>
      <c r="E17" s="459"/>
      <c r="F17" s="434"/>
      <c r="G17" s="998"/>
      <c r="H17" s="434"/>
      <c r="I17" s="578"/>
      <c r="J17" s="459"/>
      <c r="K17" s="434"/>
      <c r="L17" s="998"/>
      <c r="M17" s="434"/>
      <c r="N17" s="578"/>
      <c r="O17" s="459"/>
      <c r="P17" s="434"/>
      <c r="Q17" s="460"/>
      <c r="R17" s="434"/>
      <c r="S17" s="434"/>
      <c r="T17" s="459"/>
      <c r="U17" s="434"/>
      <c r="V17" s="998"/>
      <c r="W17" s="434"/>
      <c r="X17" s="578"/>
      <c r="Y17" s="459"/>
      <c r="Z17" s="434"/>
      <c r="AA17" s="998"/>
      <c r="AB17" s="461"/>
      <c r="AC17" s="998"/>
    </row>
    <row r="18" spans="2:29" x14ac:dyDescent="0.3">
      <c r="B18" s="16" t="s">
        <v>122</v>
      </c>
      <c r="C18" s="457">
        <f>75.12*'Arable Inputs'!$D$8</f>
        <v>84.885599999999997</v>
      </c>
      <c r="D18" s="458">
        <v>62.16</v>
      </c>
      <c r="E18" s="459"/>
      <c r="F18" s="434"/>
      <c r="G18" s="998"/>
      <c r="H18" s="434"/>
      <c r="I18" s="578"/>
      <c r="J18" s="459"/>
      <c r="K18" s="434"/>
      <c r="L18" s="998"/>
      <c r="M18" s="434"/>
      <c r="N18" s="578"/>
      <c r="O18" s="459"/>
      <c r="P18" s="434"/>
      <c r="Q18" s="460"/>
      <c r="R18" s="434"/>
      <c r="S18" s="434"/>
      <c r="T18" s="459"/>
      <c r="U18" s="434"/>
      <c r="V18" s="998"/>
      <c r="W18" s="434"/>
      <c r="X18" s="578"/>
      <c r="Y18" s="459"/>
      <c r="Z18" s="434"/>
      <c r="AA18" s="998"/>
      <c r="AB18" s="461"/>
      <c r="AC18" s="998"/>
    </row>
    <row r="19" spans="2:29" x14ac:dyDescent="0.3">
      <c r="B19" s="16" t="s">
        <v>121</v>
      </c>
      <c r="C19" s="457" t="s">
        <v>115</v>
      </c>
      <c r="D19" s="458">
        <f>88.06*'Arable Inputs'!$D$8</f>
        <v>99.507799999999989</v>
      </c>
      <c r="E19" s="459"/>
      <c r="F19" s="434"/>
      <c r="G19" s="998"/>
      <c r="H19" s="434"/>
      <c r="I19" s="578"/>
      <c r="J19" s="459"/>
      <c r="K19" s="434"/>
      <c r="L19" s="998"/>
      <c r="M19" s="434"/>
      <c r="N19" s="578"/>
      <c r="O19" s="459"/>
      <c r="P19" s="434"/>
      <c r="Q19" s="460"/>
      <c r="R19" s="434"/>
      <c r="S19" s="434"/>
      <c r="T19" s="459"/>
      <c r="U19" s="434"/>
      <c r="V19" s="998"/>
      <c r="W19" s="434"/>
      <c r="X19" s="578"/>
      <c r="Y19" s="459"/>
      <c r="Z19" s="434"/>
      <c r="AA19" s="998"/>
      <c r="AB19" s="461"/>
      <c r="AC19" s="998"/>
    </row>
    <row r="20" spans="2:29" x14ac:dyDescent="0.3">
      <c r="B20" s="16" t="s">
        <v>100</v>
      </c>
      <c r="C20" s="457">
        <f>59.3*'Arable Inputs'!$D$8</f>
        <v>67.008999999999986</v>
      </c>
      <c r="D20" s="458">
        <f>52.25*'Arable Inputs'!$D$8</f>
        <v>59.042499999999997</v>
      </c>
      <c r="E20" s="459"/>
      <c r="F20" s="434"/>
      <c r="G20" s="998"/>
      <c r="H20" s="434"/>
      <c r="I20" s="578"/>
      <c r="J20" s="459"/>
      <c r="K20" s="434"/>
      <c r="L20" s="998"/>
      <c r="M20" s="434"/>
      <c r="N20" s="578"/>
      <c r="O20" s="459"/>
      <c r="P20" s="434"/>
      <c r="Q20" s="460"/>
      <c r="R20" s="434"/>
      <c r="S20" s="434"/>
      <c r="T20" s="459"/>
      <c r="U20" s="434"/>
      <c r="V20" s="998"/>
      <c r="W20" s="434"/>
      <c r="X20" s="578"/>
      <c r="Y20" s="459"/>
      <c r="Z20" s="434"/>
      <c r="AA20" s="998"/>
      <c r="AB20" s="461"/>
      <c r="AC20" s="998"/>
    </row>
    <row r="21" spans="2:29" x14ac:dyDescent="0.3">
      <c r="B21" s="16" t="s">
        <v>101</v>
      </c>
      <c r="C21" s="457">
        <f>70.77*'Arable Inputs'!$D$8</f>
        <v>79.970099999999988</v>
      </c>
      <c r="D21" s="458">
        <f>59.72*'Arable Inputs'!$D$8</f>
        <v>67.483599999999996</v>
      </c>
      <c r="E21" s="459"/>
      <c r="F21" s="434"/>
      <c r="G21" s="998"/>
      <c r="H21" s="434"/>
      <c r="I21" s="578"/>
      <c r="J21" s="459"/>
      <c r="K21" s="434"/>
      <c r="L21" s="998"/>
      <c r="M21" s="434"/>
      <c r="N21" s="578"/>
      <c r="O21" s="459"/>
      <c r="P21" s="434"/>
      <c r="Q21" s="460"/>
      <c r="R21" s="434"/>
      <c r="S21" s="434"/>
      <c r="T21" s="459"/>
      <c r="U21" s="434"/>
      <c r="V21" s="998"/>
      <c r="W21" s="434"/>
      <c r="X21" s="578"/>
      <c r="Y21" s="459"/>
      <c r="Z21" s="434"/>
      <c r="AA21" s="998"/>
      <c r="AB21" s="461"/>
      <c r="AC21" s="998"/>
    </row>
    <row r="22" spans="2:29" x14ac:dyDescent="0.3">
      <c r="B22" s="16" t="s">
        <v>43</v>
      </c>
      <c r="C22" s="457">
        <f>18.93*'Arable Inputs'!$D$8</f>
        <v>21.390899999999998</v>
      </c>
      <c r="D22" s="458">
        <f>15.22*'Arable Inputs'!$D$8</f>
        <v>17.198599999999999</v>
      </c>
      <c r="E22" s="459"/>
      <c r="F22" s="434"/>
      <c r="G22" s="998"/>
      <c r="H22" s="434"/>
      <c r="I22" s="578"/>
      <c r="J22" s="459"/>
      <c r="K22" s="434"/>
      <c r="L22" s="998"/>
      <c r="M22" s="434"/>
      <c r="N22" s="578"/>
      <c r="O22" s="459"/>
      <c r="P22" s="434"/>
      <c r="Q22" s="460"/>
      <c r="R22" s="434"/>
      <c r="S22" s="434"/>
      <c r="T22" s="459"/>
      <c r="U22" s="434"/>
      <c r="V22" s="998"/>
      <c r="W22" s="434"/>
      <c r="X22" s="578"/>
      <c r="Y22" s="459"/>
      <c r="Z22" s="434"/>
      <c r="AA22" s="998"/>
      <c r="AB22" s="461"/>
      <c r="AC22" s="998"/>
    </row>
    <row r="23" spans="2:29" x14ac:dyDescent="0.3">
      <c r="B23" s="16" t="s">
        <v>124</v>
      </c>
      <c r="C23" s="457">
        <f>51.89*'Arable Inputs'!$D$8</f>
        <v>58.635699999999993</v>
      </c>
      <c r="D23" s="458">
        <f>33.4*'Arable Inputs'!$D$8</f>
        <v>37.741999999999997</v>
      </c>
      <c r="E23" s="459"/>
      <c r="F23" s="434"/>
      <c r="G23" s="998"/>
      <c r="H23" s="434"/>
      <c r="I23" s="578"/>
      <c r="J23" s="459"/>
      <c r="K23" s="434"/>
      <c r="L23" s="998"/>
      <c r="M23" s="434"/>
      <c r="N23" s="578"/>
      <c r="O23" s="459"/>
      <c r="P23" s="434"/>
      <c r="Q23" s="460"/>
      <c r="R23" s="434"/>
      <c r="S23" s="434"/>
      <c r="T23" s="459"/>
      <c r="U23" s="434"/>
      <c r="V23" s="998"/>
      <c r="W23" s="434"/>
      <c r="X23" s="578"/>
      <c r="Y23" s="459"/>
      <c r="Z23" s="434"/>
      <c r="AA23" s="998"/>
      <c r="AB23" s="461"/>
      <c r="AC23" s="998"/>
    </row>
    <row r="24" spans="2:29" x14ac:dyDescent="0.3">
      <c r="B24" s="16" t="s">
        <v>123</v>
      </c>
      <c r="C24" s="457">
        <f>59.3*'Arable Inputs'!$D$8</f>
        <v>67.008999999999986</v>
      </c>
      <c r="D24" s="458">
        <f>41.49*'Arable Inputs'!$D$8</f>
        <v>46.883699999999997</v>
      </c>
      <c r="E24" s="459"/>
      <c r="F24" s="434"/>
      <c r="G24" s="998"/>
      <c r="H24" s="434"/>
      <c r="I24" s="578"/>
      <c r="J24" s="459"/>
      <c r="K24" s="434"/>
      <c r="L24" s="998"/>
      <c r="M24" s="434"/>
      <c r="N24" s="578"/>
      <c r="O24" s="459"/>
      <c r="P24" s="434"/>
      <c r="Q24" s="460"/>
      <c r="R24" s="434"/>
      <c r="S24" s="434"/>
      <c r="T24" s="459"/>
      <c r="U24" s="434"/>
      <c r="V24" s="998"/>
      <c r="W24" s="434"/>
      <c r="X24" s="578"/>
      <c r="Y24" s="459"/>
      <c r="Z24" s="434"/>
      <c r="AA24" s="998"/>
      <c r="AB24" s="461"/>
      <c r="AC24" s="998"/>
    </row>
    <row r="25" spans="2:29" x14ac:dyDescent="0.3">
      <c r="B25" s="16" t="s">
        <v>125</v>
      </c>
      <c r="C25" s="457">
        <f>59.3*'Arable Inputs'!$D$8</f>
        <v>67.008999999999986</v>
      </c>
      <c r="D25" s="458">
        <f>52.41*'Arable Inputs'!$D$8</f>
        <v>59.223299999999988</v>
      </c>
      <c r="E25" s="459">
        <v>2</v>
      </c>
      <c r="F25" s="462">
        <v>1</v>
      </c>
      <c r="G25" s="998">
        <f>IF(F25&gt;=1,CHOOSE(E25,$C25,$D25)*F25)</f>
        <v>59.223299999999988</v>
      </c>
      <c r="H25" s="812">
        <f>1+1.1</f>
        <v>2.1</v>
      </c>
      <c r="I25" s="578">
        <f>H25*$C$4</f>
        <v>30.450000000000003</v>
      </c>
      <c r="J25" s="459">
        <v>2</v>
      </c>
      <c r="K25" s="462">
        <v>1</v>
      </c>
      <c r="L25" s="998">
        <f>IF(K25&gt;=1,CHOOSE(J25,$C25,$D25)*K25)</f>
        <v>59.223299999999988</v>
      </c>
      <c r="M25" s="812">
        <v>1</v>
      </c>
      <c r="N25" s="578">
        <f>M25*$C$4</f>
        <v>14.5</v>
      </c>
      <c r="O25" s="459"/>
      <c r="P25" s="434"/>
      <c r="Q25" s="460"/>
      <c r="R25" s="813"/>
      <c r="S25" s="423"/>
      <c r="T25" s="459">
        <v>2</v>
      </c>
      <c r="U25" s="462">
        <v>1</v>
      </c>
      <c r="V25" s="998">
        <f>IF(U25&gt;=1,CHOOSE(T25,$C25,$D25)*U25)</f>
        <v>59.223299999999988</v>
      </c>
      <c r="W25" s="812">
        <v>1</v>
      </c>
      <c r="X25" s="578">
        <f>W25*$C$4</f>
        <v>14.5</v>
      </c>
      <c r="Y25" s="459">
        <v>2</v>
      </c>
      <c r="Z25" s="462">
        <v>1</v>
      </c>
      <c r="AA25" s="998">
        <f>IF(Z25&gt;=1,CHOOSE(Y25,$C25,$D25)*Z25)</f>
        <v>59.223299999999988</v>
      </c>
      <c r="AB25" s="836">
        <v>2.1</v>
      </c>
      <c r="AC25" s="998">
        <f>AB25*$C$4</f>
        <v>30.450000000000003</v>
      </c>
    </row>
    <row r="26" spans="2:29" x14ac:dyDescent="0.3">
      <c r="B26" s="16" t="s">
        <v>126</v>
      </c>
      <c r="C26" s="457">
        <f>51.89*'Arable Inputs'!$D$8</f>
        <v>58.635699999999993</v>
      </c>
      <c r="D26" s="458">
        <f>39.31*'Arable Inputs'!$D$8</f>
        <v>44.420299999999997</v>
      </c>
      <c r="E26" s="459"/>
      <c r="F26" s="434"/>
      <c r="G26" s="998"/>
      <c r="H26" s="434"/>
      <c r="I26" s="578"/>
      <c r="J26" s="459"/>
      <c r="K26" s="434"/>
      <c r="L26" s="998"/>
      <c r="M26" s="434"/>
      <c r="N26" s="578"/>
      <c r="O26" s="459"/>
      <c r="P26" s="434"/>
      <c r="Q26" s="460"/>
      <c r="R26" s="813"/>
      <c r="S26" s="423"/>
      <c r="T26" s="459"/>
      <c r="U26" s="434"/>
      <c r="V26" s="998"/>
      <c r="W26" s="813"/>
      <c r="X26" s="578"/>
      <c r="Y26" s="459"/>
      <c r="Z26" s="434"/>
      <c r="AA26" s="998"/>
      <c r="AB26" s="835"/>
      <c r="AC26" s="998"/>
    </row>
    <row r="27" spans="2:29" x14ac:dyDescent="0.3">
      <c r="B27" s="16" t="s">
        <v>102</v>
      </c>
      <c r="C27" s="457">
        <f>34.59*'Arable Inputs'!$D$8</f>
        <v>39.0867</v>
      </c>
      <c r="D27" s="458">
        <f>21.76*'Arable Inputs'!$D$8</f>
        <v>24.588799999999999</v>
      </c>
      <c r="E27" s="459"/>
      <c r="F27" s="434"/>
      <c r="G27" s="998"/>
      <c r="H27" s="434"/>
      <c r="I27" s="578"/>
      <c r="J27" s="459"/>
      <c r="K27" s="434"/>
      <c r="L27" s="998"/>
      <c r="M27" s="434"/>
      <c r="N27" s="578"/>
      <c r="O27" s="459"/>
      <c r="P27" s="434"/>
      <c r="Q27" s="460"/>
      <c r="R27" s="434"/>
      <c r="S27" s="434"/>
      <c r="T27" s="459"/>
      <c r="U27" s="434"/>
      <c r="V27" s="998"/>
      <c r="W27" s="434"/>
      <c r="X27" s="578"/>
      <c r="Y27" s="459"/>
      <c r="Z27" s="434"/>
      <c r="AA27" s="998"/>
      <c r="AB27" s="461"/>
      <c r="AC27" s="998"/>
    </row>
    <row r="28" spans="2:29" x14ac:dyDescent="0.3">
      <c r="B28" s="16" t="s">
        <v>103</v>
      </c>
      <c r="C28" s="457">
        <f>37.07*'Arable Inputs'!$D$8</f>
        <v>41.889099999999999</v>
      </c>
      <c r="D28" s="458">
        <f>25.65*'Arable Inputs'!$D$8</f>
        <v>28.984499999999997</v>
      </c>
      <c r="E28" s="459"/>
      <c r="F28" s="434"/>
      <c r="G28" s="998"/>
      <c r="H28" s="434"/>
      <c r="I28" s="578"/>
      <c r="J28" s="459"/>
      <c r="K28" s="434"/>
      <c r="L28" s="998"/>
      <c r="M28" s="434"/>
      <c r="N28" s="578"/>
      <c r="O28" s="459"/>
      <c r="P28" s="434"/>
      <c r="Q28" s="460"/>
      <c r="R28" s="434"/>
      <c r="S28" s="434"/>
      <c r="T28" s="459"/>
      <c r="U28" s="434"/>
      <c r="V28" s="998"/>
      <c r="W28" s="434"/>
      <c r="X28" s="578"/>
      <c r="Y28" s="459"/>
      <c r="Z28" s="434"/>
      <c r="AA28" s="998"/>
      <c r="AB28" s="461"/>
      <c r="AC28" s="998"/>
    </row>
    <row r="29" spans="2:29" x14ac:dyDescent="0.3">
      <c r="B29" s="16" t="s">
        <v>106</v>
      </c>
      <c r="C29" s="457">
        <f>67.26*'Arable Inputs'!$D$8</f>
        <v>76.003799999999998</v>
      </c>
      <c r="D29" s="458">
        <f>52.91*'Arable Inputs'!$D$8</f>
        <v>59.788299999999992</v>
      </c>
      <c r="E29" s="459"/>
      <c r="F29" s="434"/>
      <c r="G29" s="998"/>
      <c r="H29" s="434"/>
      <c r="I29" s="578"/>
      <c r="J29" s="459"/>
      <c r="K29" s="434"/>
      <c r="L29" s="998"/>
      <c r="M29" s="434"/>
      <c r="N29" s="578"/>
      <c r="O29" s="459"/>
      <c r="P29" s="434"/>
      <c r="Q29" s="460"/>
      <c r="R29" s="434"/>
      <c r="S29" s="434"/>
      <c r="T29" s="459"/>
      <c r="U29" s="434"/>
      <c r="V29" s="998"/>
      <c r="W29" s="434"/>
      <c r="X29" s="578"/>
      <c r="Y29" s="459"/>
      <c r="Z29" s="434"/>
      <c r="AA29" s="998"/>
      <c r="AB29" s="461"/>
      <c r="AC29" s="998"/>
    </row>
    <row r="30" spans="2:29" x14ac:dyDescent="0.3">
      <c r="B30" s="16" t="s">
        <v>105</v>
      </c>
      <c r="C30" s="457">
        <f>37.07*'Arable Inputs'!$D$8</f>
        <v>41.889099999999999</v>
      </c>
      <c r="D30" s="458">
        <f>37.32*'Arable Inputs'!$D$8</f>
        <v>42.171599999999998</v>
      </c>
      <c r="E30" s="459"/>
      <c r="F30" s="434"/>
      <c r="G30" s="998"/>
      <c r="H30" s="434"/>
      <c r="I30" s="578"/>
      <c r="J30" s="459"/>
      <c r="K30" s="434"/>
      <c r="L30" s="998"/>
      <c r="M30" s="434"/>
      <c r="N30" s="578"/>
      <c r="O30" s="459">
        <v>2</v>
      </c>
      <c r="P30" s="462">
        <v>1</v>
      </c>
      <c r="Q30" s="998">
        <f>IF(P30&gt;=1,CHOOSE(O30,$C30,$D30)*P30)</f>
        <v>42.171599999999998</v>
      </c>
      <c r="R30" s="812">
        <v>1.6</v>
      </c>
      <c r="S30" s="578">
        <f>R30*$C$4</f>
        <v>23.200000000000003</v>
      </c>
      <c r="T30" s="459"/>
      <c r="U30" s="434"/>
      <c r="V30" s="998"/>
      <c r="W30" s="813"/>
      <c r="X30" s="578"/>
      <c r="Y30" s="459"/>
      <c r="Z30" s="434"/>
      <c r="AA30" s="998"/>
      <c r="AB30" s="868"/>
      <c r="AC30" s="998"/>
    </row>
    <row r="31" spans="2:29" x14ac:dyDescent="0.3">
      <c r="B31" s="16" t="s">
        <v>104</v>
      </c>
      <c r="C31" s="457">
        <f>29.9*'Arable Inputs'!$D$8</f>
        <v>33.786999999999992</v>
      </c>
      <c r="D31" s="458">
        <f>16.68*'Arable Inputs'!$D$8</f>
        <v>18.848399999999998</v>
      </c>
      <c r="E31" s="459"/>
      <c r="F31" s="366"/>
      <c r="G31" s="998"/>
      <c r="H31" s="366"/>
      <c r="I31" s="578"/>
      <c r="J31" s="459"/>
      <c r="K31" s="465"/>
      <c r="L31" s="998"/>
      <c r="M31" s="434"/>
      <c r="N31" s="578"/>
      <c r="O31" s="459"/>
      <c r="P31" s="366" t="s">
        <v>531</v>
      </c>
      <c r="Q31" s="998"/>
      <c r="R31" s="366"/>
      <c r="S31" s="578"/>
      <c r="T31" s="459"/>
      <c r="U31" s="434"/>
      <c r="V31" s="998"/>
      <c r="W31" s="813"/>
      <c r="X31" s="578"/>
      <c r="Y31" s="459"/>
      <c r="Z31" s="434"/>
      <c r="AA31" s="998"/>
      <c r="AB31" s="461"/>
      <c r="AC31" s="998"/>
    </row>
    <row r="32" spans="2:29" x14ac:dyDescent="0.3">
      <c r="B32" s="16" t="s">
        <v>127</v>
      </c>
      <c r="C32" s="457">
        <f>21.42*'Arable Inputs'!$D$8</f>
        <v>24.204599999999999</v>
      </c>
      <c r="D32" s="458">
        <f>8.89*'Arable Inputs'!$D$8</f>
        <v>10.0457</v>
      </c>
      <c r="E32" s="459">
        <v>2</v>
      </c>
      <c r="F32" s="462">
        <v>1</v>
      </c>
      <c r="G32" s="998">
        <f>IF(F32&gt;=1,CHOOSE(E32,$C32,$D32)*F32)</f>
        <v>10.0457</v>
      </c>
      <c r="H32" s="809">
        <v>1.1000000000000001</v>
      </c>
      <c r="I32" s="578">
        <f>H32*$C$4</f>
        <v>15.950000000000001</v>
      </c>
      <c r="J32" s="459"/>
      <c r="K32" s="434"/>
      <c r="L32" s="998"/>
      <c r="M32" s="813"/>
      <c r="N32" s="578"/>
      <c r="O32" s="459">
        <v>2</v>
      </c>
      <c r="P32" s="462">
        <v>1</v>
      </c>
      <c r="Q32" s="998">
        <f>IF(P32&gt;=1,CHOOSE(O32,$C32,$D32)*P32)</f>
        <v>10.0457</v>
      </c>
      <c r="R32" s="809">
        <v>1.6</v>
      </c>
      <c r="S32" s="578">
        <f>R32*$C$4</f>
        <v>23.200000000000003</v>
      </c>
      <c r="T32" s="459">
        <v>2</v>
      </c>
      <c r="U32" s="462">
        <v>1</v>
      </c>
      <c r="V32" s="998">
        <f>IF(U32&gt;=1,CHOOSE(T32,$C32,$D32)*U32)</f>
        <v>10.0457</v>
      </c>
      <c r="W32" s="809">
        <v>0.8</v>
      </c>
      <c r="X32" s="578">
        <f>W32*$C$4</f>
        <v>11.600000000000001</v>
      </c>
      <c r="Y32" s="459">
        <v>2</v>
      </c>
      <c r="Z32" s="462">
        <v>1</v>
      </c>
      <c r="AA32" s="998">
        <f>IF(Z32&gt;=1,CHOOSE(Y32,$C32,$D32)*Z32)</f>
        <v>10.0457</v>
      </c>
      <c r="AB32" s="836">
        <v>1.1000000000000001</v>
      </c>
      <c r="AC32" s="998">
        <f>AB32*$C$4</f>
        <v>15.950000000000001</v>
      </c>
    </row>
    <row r="33" spans="2:29" x14ac:dyDescent="0.3">
      <c r="B33" s="16" t="s">
        <v>51</v>
      </c>
      <c r="C33" s="457">
        <f>276.75*'Arable Inputs'!$D$8</f>
        <v>312.72749999999996</v>
      </c>
      <c r="D33" s="466">
        <f>217.01*'Arable Inputs'!$D$8</f>
        <v>245.22129999999996</v>
      </c>
      <c r="E33" s="459"/>
      <c r="F33" s="434"/>
      <c r="G33" s="998"/>
      <c r="H33" s="434"/>
      <c r="I33" s="578"/>
      <c r="J33" s="459"/>
      <c r="K33" s="434"/>
      <c r="L33" s="998"/>
      <c r="M33" s="434"/>
      <c r="N33" s="578"/>
      <c r="O33" s="459"/>
      <c r="P33" s="434"/>
      <c r="Q33" s="998"/>
      <c r="R33" s="434"/>
      <c r="S33" s="578"/>
      <c r="T33" s="459"/>
      <c r="U33" s="434"/>
      <c r="V33" s="998"/>
      <c r="W33" s="434"/>
      <c r="X33" s="578"/>
      <c r="Y33" s="459"/>
      <c r="Z33" s="434"/>
      <c r="AA33" s="998"/>
      <c r="AB33" s="461"/>
      <c r="AC33" s="998"/>
    </row>
    <row r="34" spans="2:29" x14ac:dyDescent="0.3">
      <c r="B34" s="16" t="s">
        <v>52</v>
      </c>
      <c r="C34" s="467">
        <f>85.25*'Arable Inputs'!$D$8</f>
        <v>96.332499999999996</v>
      </c>
      <c r="D34" s="466">
        <f>56.5*'Arable Inputs'!$D$8</f>
        <v>63.844999999999992</v>
      </c>
      <c r="E34" s="459"/>
      <c r="F34" s="434"/>
      <c r="G34" s="998"/>
      <c r="H34" s="434"/>
      <c r="I34" s="578"/>
      <c r="J34" s="459"/>
      <c r="K34" s="434"/>
      <c r="L34" s="998"/>
      <c r="M34" s="434"/>
      <c r="N34" s="578"/>
      <c r="O34" s="459"/>
      <c r="P34" s="434"/>
      <c r="Q34" s="998"/>
      <c r="R34" s="434"/>
      <c r="S34" s="578"/>
      <c r="T34" s="459"/>
      <c r="U34" s="434"/>
      <c r="V34" s="998"/>
      <c r="W34" s="434"/>
      <c r="X34" s="578"/>
      <c r="Y34" s="459"/>
      <c r="Z34" s="434"/>
      <c r="AA34" s="998"/>
      <c r="AB34" s="461"/>
      <c r="AC34" s="998"/>
    </row>
    <row r="35" spans="2:29" x14ac:dyDescent="0.3">
      <c r="B35" s="431" t="s">
        <v>44</v>
      </c>
      <c r="C35" s="468"/>
      <c r="D35" s="468"/>
      <c r="E35" s="469"/>
      <c r="F35" s="429" t="s">
        <v>9</v>
      </c>
      <c r="G35" s="826">
        <f>SUM(G14:G34)</f>
        <v>134.28919999999999</v>
      </c>
      <c r="H35" s="431">
        <f>SUM(H14:H34)</f>
        <v>4.5999999999999996</v>
      </c>
      <c r="I35" s="839">
        <f>SUM(I14:I34)</f>
        <v>66.7</v>
      </c>
      <c r="J35" s="472"/>
      <c r="K35" s="429"/>
      <c r="L35" s="826">
        <f>SUM(L14:L34)</f>
        <v>124.24349999999998</v>
      </c>
      <c r="M35" s="431">
        <f>SUM(M14:M34)</f>
        <v>2.4</v>
      </c>
      <c r="N35" s="839">
        <f>SUM(N14:N34)</f>
        <v>34.799999999999997</v>
      </c>
      <c r="O35" s="472"/>
      <c r="P35" s="429"/>
      <c r="Q35" s="826">
        <f>SUM(Q14:Q34)</f>
        <v>52.217299999999994</v>
      </c>
      <c r="R35" s="431">
        <f>SUM(R14:R34)</f>
        <v>3.2</v>
      </c>
      <c r="S35" s="839">
        <f>SUM(S14:S34)</f>
        <v>46.400000000000006</v>
      </c>
      <c r="T35" s="472"/>
      <c r="U35" s="429"/>
      <c r="V35" s="826">
        <f>SUM(V14:V34)</f>
        <v>134.28919999999999</v>
      </c>
      <c r="W35" s="431">
        <f>SUM(W14:W34)</f>
        <v>3.2</v>
      </c>
      <c r="X35" s="839">
        <f>SUM(X14:X34)</f>
        <v>46.4</v>
      </c>
      <c r="Y35" s="472"/>
      <c r="Z35" s="429"/>
      <c r="AA35" s="826">
        <f>SUM(AA14:AA34)</f>
        <v>134.28919999999999</v>
      </c>
      <c r="AB35" s="431">
        <f>SUM(AB14:AB34)</f>
        <v>4.5999999999999996</v>
      </c>
      <c r="AC35" s="826">
        <f>SUM(AC14:AC34)</f>
        <v>66.7</v>
      </c>
    </row>
    <row r="36" spans="2:29" s="39" customFormat="1" x14ac:dyDescent="0.3">
      <c r="B36" s="474"/>
      <c r="C36" s="468"/>
      <c r="D36" s="468"/>
      <c r="E36" s="468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70"/>
    </row>
    <row r="37" spans="2:29" x14ac:dyDescent="0.3">
      <c r="B37" s="474" t="s">
        <v>144</v>
      </c>
      <c r="C37" s="468"/>
      <c r="D37" s="468"/>
      <c r="E37" s="468"/>
      <c r="F37" s="430"/>
      <c r="G37" s="430"/>
      <c r="H37" s="430"/>
      <c r="I37" s="430"/>
      <c r="J37" s="430"/>
      <c r="K37" s="430"/>
      <c r="L37" s="430"/>
      <c r="M37" s="430"/>
      <c r="N37" s="430"/>
      <c r="O37" s="430"/>
      <c r="P37" s="430"/>
      <c r="Q37" s="430"/>
      <c r="R37" s="430"/>
      <c r="S37" s="430"/>
      <c r="T37" s="430"/>
      <c r="U37" s="430"/>
      <c r="V37" s="430"/>
      <c r="W37" s="430"/>
      <c r="X37" s="430"/>
      <c r="Y37" s="430"/>
      <c r="Z37" s="430"/>
      <c r="AA37" s="430"/>
      <c r="AB37" s="430"/>
      <c r="AC37" s="432"/>
    </row>
    <row r="38" spans="2:29" x14ac:dyDescent="0.3">
      <c r="B38" s="16" t="s">
        <v>201</v>
      </c>
      <c r="C38" s="457">
        <f>12.36*'Arable Inputs'!$D$8</f>
        <v>13.966799999999997</v>
      </c>
      <c r="D38" s="458">
        <f>6.69*'Arable Inputs'!$D$8</f>
        <v>7.5596999999999994</v>
      </c>
      <c r="E38" s="459"/>
      <c r="F38" s="475"/>
      <c r="G38" s="476"/>
      <c r="H38" s="434"/>
      <c r="I38" s="434"/>
      <c r="J38" s="459"/>
      <c r="K38" s="475"/>
      <c r="L38" s="476"/>
      <c r="M38" s="434"/>
      <c r="N38" s="434"/>
      <c r="O38" s="459"/>
      <c r="P38" s="475"/>
      <c r="Q38" s="476"/>
      <c r="R38" s="434"/>
      <c r="S38" s="434"/>
      <c r="T38" s="459"/>
      <c r="U38" s="475"/>
      <c r="V38" s="476"/>
      <c r="W38" s="434"/>
      <c r="X38" s="434"/>
      <c r="Y38" s="459"/>
      <c r="Z38" s="475"/>
      <c r="AA38" s="476"/>
      <c r="AB38" s="461"/>
      <c r="AC38" s="460"/>
    </row>
    <row r="39" spans="2:29" x14ac:dyDescent="0.3">
      <c r="B39" s="16" t="s">
        <v>45</v>
      </c>
      <c r="C39" s="457">
        <f>(C38+3.71)*'Arable Inputs'!$D$8</f>
        <v>19.974783999999993</v>
      </c>
      <c r="D39" s="458" t="s">
        <v>115</v>
      </c>
      <c r="E39" s="459">
        <v>1</v>
      </c>
      <c r="F39" s="462">
        <v>4</v>
      </c>
      <c r="G39" s="998">
        <f>IF(F39&gt;=1,CHOOSE(E39,$C39,$D39)*F39)</f>
        <v>79.89913599999997</v>
      </c>
      <c r="H39" s="809">
        <f>0.3*F39</f>
        <v>1.2</v>
      </c>
      <c r="I39" s="578">
        <f>H39*$C$4</f>
        <v>17.399999999999999</v>
      </c>
      <c r="J39" s="459">
        <v>1</v>
      </c>
      <c r="K39" s="462">
        <v>1</v>
      </c>
      <c r="L39" s="998">
        <f>IF(K39&gt;=1,CHOOSE(J39,$C39,$D39)*K39)</f>
        <v>19.974783999999993</v>
      </c>
      <c r="M39" s="809">
        <f>0.3*K39</f>
        <v>0.3</v>
      </c>
      <c r="N39" s="578">
        <f>M39*$C$4</f>
        <v>4.3499999999999996</v>
      </c>
      <c r="O39" s="459">
        <v>1</v>
      </c>
      <c r="P39" s="462">
        <v>1</v>
      </c>
      <c r="Q39" s="998">
        <f>IF(P39&gt;=1,CHOOSE(O39,$C39,$D39)*P39)</f>
        <v>19.974783999999993</v>
      </c>
      <c r="R39" s="809">
        <f>1.6*P39</f>
        <v>1.6</v>
      </c>
      <c r="S39" s="578">
        <f>R39*$C$4</f>
        <v>23.200000000000003</v>
      </c>
      <c r="T39" s="459">
        <v>1</v>
      </c>
      <c r="U39" s="462">
        <v>2</v>
      </c>
      <c r="V39" s="998">
        <f>IF(U39&gt;=1,CHOOSE(T39,$C39,$D39)*U39)</f>
        <v>39.949567999999985</v>
      </c>
      <c r="W39" s="809">
        <f>0.7*U39</f>
        <v>1.4</v>
      </c>
      <c r="X39" s="578">
        <f>W39*$C$4</f>
        <v>20.299999999999997</v>
      </c>
      <c r="Y39" s="459">
        <v>1</v>
      </c>
      <c r="Z39" s="462">
        <v>4</v>
      </c>
      <c r="AA39" s="998">
        <f>IF(Z39&gt;=1,CHOOSE(Y39,$C39,$D39)*Z39)</f>
        <v>79.89913599999997</v>
      </c>
      <c r="AB39" s="836">
        <f>1.6*Z39</f>
        <v>6.4</v>
      </c>
      <c r="AC39" s="998">
        <f>AB39*$C$4</f>
        <v>92.800000000000011</v>
      </c>
    </row>
    <row r="40" spans="2:29" x14ac:dyDescent="0.3">
      <c r="B40" s="16" t="s">
        <v>128</v>
      </c>
      <c r="C40" s="457">
        <f>6.1*'Arable Inputs'!$D$8</f>
        <v>6.8929999999999989</v>
      </c>
      <c r="D40" s="458" t="s">
        <v>115</v>
      </c>
      <c r="E40" s="459"/>
      <c r="F40" s="434"/>
      <c r="G40" s="998"/>
      <c r="H40" s="434"/>
      <c r="I40" s="578"/>
      <c r="J40" s="459"/>
      <c r="K40" s="434"/>
      <c r="L40" s="998"/>
      <c r="M40" s="434"/>
      <c r="N40" s="578"/>
      <c r="O40" s="459"/>
      <c r="P40" s="434"/>
      <c r="Q40" s="998"/>
      <c r="R40" s="434"/>
      <c r="S40" s="578"/>
      <c r="T40" s="459"/>
      <c r="U40" s="434"/>
      <c r="V40" s="998"/>
      <c r="W40" s="434"/>
      <c r="X40" s="578"/>
      <c r="Y40" s="459"/>
      <c r="Z40" s="434"/>
      <c r="AA40" s="998"/>
      <c r="AB40" s="461"/>
      <c r="AC40" s="998"/>
    </row>
    <row r="41" spans="2:29" x14ac:dyDescent="0.3">
      <c r="B41" s="16" t="s">
        <v>46</v>
      </c>
      <c r="C41" s="457">
        <f>14.83*'Arable Inputs'!$D$8</f>
        <v>16.757899999999999</v>
      </c>
      <c r="D41" s="458">
        <f>12.09*'Arable Inputs'!$D$8</f>
        <v>13.661699999999998</v>
      </c>
      <c r="E41" s="459"/>
      <c r="F41" s="434"/>
      <c r="G41" s="998"/>
      <c r="H41" s="434"/>
      <c r="I41" s="578"/>
      <c r="J41" s="459"/>
      <c r="K41" s="434"/>
      <c r="L41" s="998"/>
      <c r="M41" s="434"/>
      <c r="N41" s="578"/>
      <c r="O41" s="459"/>
      <c r="P41" s="434"/>
      <c r="Q41" s="998"/>
      <c r="R41" s="434"/>
      <c r="S41" s="578"/>
      <c r="T41" s="459"/>
      <c r="U41" s="434"/>
      <c r="V41" s="998"/>
      <c r="W41" s="434"/>
      <c r="X41" s="578"/>
      <c r="Y41" s="459"/>
      <c r="Z41" s="434"/>
      <c r="AA41" s="998"/>
      <c r="AB41" s="461"/>
      <c r="AC41" s="998"/>
    </row>
    <row r="42" spans="2:29" x14ac:dyDescent="0.3">
      <c r="B42" s="16" t="s">
        <v>171</v>
      </c>
      <c r="C42" s="457">
        <f>49.5*'Arable Inputs'!$D$8</f>
        <v>55.934999999999995</v>
      </c>
      <c r="D42" s="458">
        <f>49.64*'Arable Inputs'!$D$8</f>
        <v>56.093199999999996</v>
      </c>
      <c r="E42" s="459"/>
      <c r="F42" s="434"/>
      <c r="G42" s="998"/>
      <c r="H42" s="813"/>
      <c r="I42" s="578"/>
      <c r="J42" s="459"/>
      <c r="K42" s="434"/>
      <c r="L42" s="998"/>
      <c r="M42" s="813"/>
      <c r="N42" s="578"/>
      <c r="O42" s="459"/>
      <c r="P42" s="434"/>
      <c r="Q42" s="998"/>
      <c r="R42" s="813"/>
      <c r="S42" s="578"/>
      <c r="T42" s="459"/>
      <c r="U42" s="434"/>
      <c r="V42" s="998"/>
      <c r="W42" s="434"/>
      <c r="X42" s="578"/>
      <c r="Y42" s="459"/>
      <c r="Z42" s="434"/>
      <c r="AA42" s="998"/>
      <c r="AB42" s="814"/>
      <c r="AC42" s="998"/>
    </row>
    <row r="43" spans="2:29" x14ac:dyDescent="0.3">
      <c r="B43" s="16" t="s">
        <v>172</v>
      </c>
      <c r="C43" s="457">
        <f>44.5*'Arable Inputs'!$D$8</f>
        <v>50.284999999999997</v>
      </c>
      <c r="D43" s="458" t="s">
        <v>115</v>
      </c>
      <c r="E43" s="459"/>
      <c r="F43" s="434"/>
      <c r="G43" s="998"/>
      <c r="H43" s="434"/>
      <c r="I43" s="578"/>
      <c r="J43" s="459"/>
      <c r="K43" s="434"/>
      <c r="L43" s="998"/>
      <c r="M43" s="434"/>
      <c r="N43" s="578"/>
      <c r="O43" s="459"/>
      <c r="P43" s="434"/>
      <c r="Q43" s="998"/>
      <c r="R43" s="434"/>
      <c r="S43" s="578"/>
      <c r="T43" s="459"/>
      <c r="U43" s="434"/>
      <c r="V43" s="998"/>
      <c r="W43" s="434"/>
      <c r="X43" s="578"/>
      <c r="Y43" s="459"/>
      <c r="Z43" s="434"/>
      <c r="AA43" s="998"/>
      <c r="AB43" s="461"/>
      <c r="AC43" s="998"/>
    </row>
    <row r="44" spans="2:29" x14ac:dyDescent="0.3">
      <c r="B44" s="16" t="s">
        <v>173</v>
      </c>
      <c r="C44" s="457">
        <f>50*'Arable Inputs'!$D$8</f>
        <v>56.499999999999993</v>
      </c>
      <c r="D44" s="458">
        <f>54.11*'Arable Inputs'!$D$8</f>
        <v>61.144299999999994</v>
      </c>
      <c r="E44" s="459"/>
      <c r="F44" s="434"/>
      <c r="G44" s="998"/>
      <c r="H44" s="434"/>
      <c r="I44" s="578"/>
      <c r="J44" s="459"/>
      <c r="K44" s="434"/>
      <c r="L44" s="998"/>
      <c r="M44" s="434"/>
      <c r="N44" s="578"/>
      <c r="O44" s="459"/>
      <c r="P44" s="434"/>
      <c r="Q44" s="998"/>
      <c r="R44" s="434"/>
      <c r="S44" s="578"/>
      <c r="T44" s="459"/>
      <c r="U44" s="434"/>
      <c r="V44" s="998"/>
      <c r="W44" s="434"/>
      <c r="X44" s="578"/>
      <c r="Y44" s="459"/>
      <c r="Z44" s="434"/>
      <c r="AA44" s="998"/>
      <c r="AB44" s="461"/>
      <c r="AC44" s="998"/>
    </row>
    <row r="45" spans="2:29" x14ac:dyDescent="0.3">
      <c r="B45" s="16" t="s">
        <v>174</v>
      </c>
      <c r="C45" s="457">
        <f>78.2*'Arable Inputs'!$D$8</f>
        <v>88.366</v>
      </c>
      <c r="D45" s="458" t="s">
        <v>115</v>
      </c>
      <c r="E45" s="459"/>
      <c r="F45" s="434"/>
      <c r="G45" s="998"/>
      <c r="H45" s="434"/>
      <c r="I45" s="578"/>
      <c r="J45" s="459"/>
      <c r="K45" s="434"/>
      <c r="L45" s="998"/>
      <c r="M45" s="434"/>
      <c r="N45" s="578"/>
      <c r="O45" s="459"/>
      <c r="P45" s="434"/>
      <c r="Q45" s="998"/>
      <c r="R45" s="434"/>
      <c r="S45" s="578"/>
      <c r="T45" s="459"/>
      <c r="U45" s="434"/>
      <c r="V45" s="998"/>
      <c r="W45" s="434"/>
      <c r="X45" s="578"/>
      <c r="Y45" s="459"/>
      <c r="Z45" s="434"/>
      <c r="AA45" s="998"/>
      <c r="AB45" s="461"/>
      <c r="AC45" s="998"/>
    </row>
    <row r="46" spans="2:29" x14ac:dyDescent="0.3">
      <c r="B46" s="16" t="s">
        <v>175</v>
      </c>
      <c r="C46" s="457">
        <f>40*'Arable Inputs'!$D$8</f>
        <v>45.199999999999996</v>
      </c>
      <c r="D46" s="458" t="s">
        <v>115</v>
      </c>
      <c r="E46" s="459"/>
      <c r="F46" s="434"/>
      <c r="G46" s="998"/>
      <c r="H46" s="434"/>
      <c r="I46" s="578"/>
      <c r="J46" s="459"/>
      <c r="K46" s="434"/>
      <c r="L46" s="998"/>
      <c r="M46" s="434"/>
      <c r="N46" s="578"/>
      <c r="O46" s="459"/>
      <c r="P46" s="434"/>
      <c r="Q46" s="998"/>
      <c r="R46" s="434"/>
      <c r="S46" s="578"/>
      <c r="T46" s="459"/>
      <c r="U46" s="434"/>
      <c r="V46" s="998"/>
      <c r="W46" s="434"/>
      <c r="X46" s="578"/>
      <c r="Y46" s="459"/>
      <c r="Z46" s="434"/>
      <c r="AA46" s="998"/>
      <c r="AB46" s="461"/>
      <c r="AC46" s="998"/>
    </row>
    <row r="47" spans="2:29" x14ac:dyDescent="0.3">
      <c r="B47" s="16" t="s">
        <v>176</v>
      </c>
      <c r="C47" s="467">
        <f>54.83*'Arable Inputs'!$D$8</f>
        <v>61.957899999999995</v>
      </c>
      <c r="D47" s="477" t="s">
        <v>115</v>
      </c>
      <c r="E47" s="478"/>
      <c r="F47" s="427"/>
      <c r="G47" s="1010"/>
      <c r="H47" s="434"/>
      <c r="I47" s="578"/>
      <c r="J47" s="459"/>
      <c r="K47" s="427"/>
      <c r="L47" s="1010"/>
      <c r="M47" s="434"/>
      <c r="N47" s="578"/>
      <c r="O47" s="459"/>
      <c r="P47" s="427"/>
      <c r="Q47" s="1010"/>
      <c r="R47" s="434"/>
      <c r="S47" s="578"/>
      <c r="T47" s="459"/>
      <c r="U47" s="427"/>
      <c r="V47" s="1010"/>
      <c r="W47" s="434"/>
      <c r="X47" s="578"/>
      <c r="Y47" s="459"/>
      <c r="Z47" s="427"/>
      <c r="AA47" s="1010"/>
      <c r="AB47" s="461"/>
      <c r="AC47" s="998"/>
    </row>
    <row r="48" spans="2:29" s="39" customFormat="1" x14ac:dyDescent="0.3">
      <c r="B48" s="431" t="s">
        <v>47</v>
      </c>
      <c r="C48" s="468"/>
      <c r="D48" s="468"/>
      <c r="E48" s="469"/>
      <c r="F48" s="429" t="s">
        <v>9</v>
      </c>
      <c r="G48" s="839">
        <f>SUM(G38:G47)</f>
        <v>79.89913599999997</v>
      </c>
      <c r="H48" s="480">
        <f>SUM(H38:H47)</f>
        <v>1.2</v>
      </c>
      <c r="I48" s="839">
        <f>SUM(I38:I47)</f>
        <v>17.399999999999999</v>
      </c>
      <c r="J48" s="472"/>
      <c r="K48" s="429"/>
      <c r="L48" s="839">
        <f>SUM(L38:L47)</f>
        <v>19.974783999999993</v>
      </c>
      <c r="M48" s="480">
        <f>SUM(M38:M47)</f>
        <v>0.3</v>
      </c>
      <c r="N48" s="839">
        <f>SUM(N38:N47)</f>
        <v>4.3499999999999996</v>
      </c>
      <c r="O48" s="472"/>
      <c r="P48" s="429"/>
      <c r="Q48" s="839">
        <f>SUM(Q38:Q47)</f>
        <v>19.974783999999993</v>
      </c>
      <c r="R48" s="480">
        <f>SUM(R38:R47)</f>
        <v>1.6</v>
      </c>
      <c r="S48" s="839">
        <f>SUM(S38:S47)</f>
        <v>23.200000000000003</v>
      </c>
      <c r="T48" s="472"/>
      <c r="U48" s="429"/>
      <c r="V48" s="839">
        <f>SUM(V38:V47)</f>
        <v>39.949567999999985</v>
      </c>
      <c r="W48" s="480">
        <f>SUM(W38:W47)</f>
        <v>1.4</v>
      </c>
      <c r="X48" s="839">
        <f>SUM(X38:X47)</f>
        <v>20.299999999999997</v>
      </c>
      <c r="Y48" s="472"/>
      <c r="Z48" s="429"/>
      <c r="AA48" s="839">
        <f>SUM(AA38:AA47)</f>
        <v>79.89913599999997</v>
      </c>
      <c r="AB48" s="480">
        <f>SUM(AB38:AB47)</f>
        <v>6.4</v>
      </c>
      <c r="AC48" s="826">
        <f>SUM(AC38:AC47)</f>
        <v>92.800000000000011</v>
      </c>
    </row>
    <row r="49" spans="2:30" s="39" customFormat="1" x14ac:dyDescent="0.3">
      <c r="B49" s="431"/>
      <c r="C49" s="468"/>
      <c r="D49" s="468"/>
      <c r="E49" s="468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70"/>
    </row>
    <row r="50" spans="2:30" x14ac:dyDescent="0.3">
      <c r="B50" s="431" t="s">
        <v>129</v>
      </c>
      <c r="C50" s="481"/>
      <c r="D50" s="481"/>
      <c r="E50" s="481"/>
      <c r="F50" s="430"/>
      <c r="G50" s="430"/>
      <c r="H50" s="430"/>
      <c r="I50" s="430"/>
      <c r="J50" s="430"/>
      <c r="K50" s="430"/>
      <c r="L50" s="430"/>
      <c r="M50" s="430"/>
      <c r="N50" s="430"/>
      <c r="O50" s="430"/>
      <c r="P50" s="430"/>
      <c r="Q50" s="430"/>
      <c r="R50" s="430"/>
      <c r="S50" s="430"/>
      <c r="T50" s="430"/>
      <c r="U50" s="430"/>
      <c r="V50" s="430"/>
      <c r="W50" s="430"/>
      <c r="X50" s="430"/>
      <c r="Y50" s="430"/>
      <c r="Z50" s="430"/>
      <c r="AA50" s="430"/>
      <c r="AB50" s="430"/>
      <c r="AC50" s="432"/>
    </row>
    <row r="51" spans="2:30" x14ac:dyDescent="0.3">
      <c r="B51" s="482" t="s">
        <v>130</v>
      </c>
      <c r="C51" s="457">
        <f>98.84*'Arable Inputs'!$D$8</f>
        <v>111.6892</v>
      </c>
      <c r="D51" s="458" t="s">
        <v>115</v>
      </c>
      <c r="E51" s="483"/>
      <c r="F51" s="434"/>
      <c r="G51" s="460"/>
      <c r="H51" s="434"/>
      <c r="I51" s="475"/>
      <c r="J51" s="459"/>
      <c r="K51" s="434"/>
      <c r="L51" s="460"/>
      <c r="M51" s="434"/>
      <c r="N51" s="434"/>
      <c r="O51" s="459"/>
      <c r="P51" s="434"/>
      <c r="Q51" s="460"/>
      <c r="R51" s="434"/>
      <c r="S51" s="434"/>
      <c r="T51" s="459"/>
      <c r="U51" s="434"/>
      <c r="V51" s="460"/>
      <c r="W51" s="434"/>
      <c r="X51" s="434"/>
      <c r="Y51" s="459"/>
      <c r="Z51" s="434"/>
      <c r="AA51" s="460"/>
      <c r="AB51" s="434"/>
      <c r="AC51" s="460"/>
      <c r="AD51" s="64"/>
    </row>
    <row r="52" spans="2:30" x14ac:dyDescent="0.3">
      <c r="B52" s="77" t="s">
        <v>170</v>
      </c>
      <c r="C52" s="467">
        <f>98*'Arable Inputs'!$D$8</f>
        <v>110.74</v>
      </c>
      <c r="D52" s="477" t="s">
        <v>115</v>
      </c>
      <c r="E52" s="484"/>
      <c r="F52" s="427"/>
      <c r="G52" s="479"/>
      <c r="H52" s="427"/>
      <c r="I52" s="427"/>
      <c r="J52" s="478"/>
      <c r="K52" s="427"/>
      <c r="L52" s="479"/>
      <c r="M52" s="427"/>
      <c r="N52" s="427"/>
      <c r="O52" s="478"/>
      <c r="P52" s="427"/>
      <c r="Q52" s="479"/>
      <c r="R52" s="427"/>
      <c r="S52" s="427"/>
      <c r="T52" s="478"/>
      <c r="U52" s="427"/>
      <c r="V52" s="479"/>
      <c r="W52" s="427"/>
      <c r="X52" s="427"/>
      <c r="Y52" s="478"/>
      <c r="Z52" s="427"/>
      <c r="AA52" s="479"/>
      <c r="AB52" s="427"/>
      <c r="AC52" s="479"/>
      <c r="AD52" s="63"/>
    </row>
    <row r="53" spans="2:30" x14ac:dyDescent="0.3">
      <c r="B53" s="431" t="s">
        <v>131</v>
      </c>
      <c r="C53" s="481"/>
      <c r="D53" s="481"/>
      <c r="E53" s="485"/>
      <c r="F53" s="429" t="s">
        <v>9</v>
      </c>
      <c r="G53" s="470"/>
      <c r="H53" s="429"/>
      <c r="I53" s="429"/>
      <c r="J53" s="472"/>
      <c r="K53" s="429"/>
      <c r="L53" s="470"/>
      <c r="M53" s="429"/>
      <c r="N53" s="429"/>
      <c r="O53" s="472"/>
      <c r="P53" s="429"/>
      <c r="Q53" s="470"/>
      <c r="R53" s="429"/>
      <c r="S53" s="429"/>
      <c r="T53" s="472"/>
      <c r="U53" s="429"/>
      <c r="V53" s="470"/>
      <c r="W53" s="429"/>
      <c r="X53" s="429"/>
      <c r="Y53" s="472"/>
      <c r="Z53" s="429"/>
      <c r="AA53" s="470"/>
      <c r="AB53" s="429"/>
      <c r="AC53" s="470"/>
    </row>
    <row r="54" spans="2:30" s="39" customFormat="1" x14ac:dyDescent="0.3">
      <c r="B54" s="96"/>
      <c r="C54" s="486"/>
      <c r="D54" s="486"/>
      <c r="E54" s="487"/>
      <c r="F54" s="434"/>
      <c r="G54" s="434"/>
      <c r="H54" s="434"/>
      <c r="I54" s="434"/>
      <c r="J54" s="434"/>
      <c r="K54" s="434"/>
      <c r="L54" s="434"/>
      <c r="M54" s="434"/>
      <c r="N54" s="434"/>
      <c r="O54" s="434"/>
      <c r="P54" s="434"/>
      <c r="Q54" s="434"/>
      <c r="R54" s="434"/>
      <c r="S54" s="434"/>
      <c r="T54" s="434"/>
      <c r="U54" s="434"/>
      <c r="V54" s="434"/>
      <c r="W54" s="434"/>
      <c r="X54" s="434"/>
      <c r="Y54" s="434"/>
      <c r="Z54" s="434"/>
      <c r="AA54" s="434"/>
      <c r="AB54" s="461"/>
      <c r="AC54" s="460"/>
    </row>
    <row r="55" spans="2:30" s="39" customFormat="1" x14ac:dyDescent="0.3">
      <c r="B55" s="431" t="s">
        <v>182</v>
      </c>
      <c r="C55" s="468"/>
      <c r="D55" s="468"/>
      <c r="E55" s="468"/>
      <c r="F55" s="430"/>
      <c r="G55" s="430"/>
      <c r="H55" s="430"/>
      <c r="I55" s="430"/>
      <c r="J55" s="430"/>
      <c r="K55" s="430"/>
      <c r="L55" s="430"/>
      <c r="M55" s="430"/>
      <c r="N55" s="430"/>
      <c r="O55" s="430"/>
      <c r="P55" s="430"/>
      <c r="Q55" s="430"/>
      <c r="R55" s="430"/>
      <c r="S55" s="430"/>
      <c r="T55" s="430"/>
      <c r="U55" s="430"/>
      <c r="V55" s="430"/>
      <c r="W55" s="430"/>
      <c r="X55" s="430"/>
      <c r="Y55" s="430"/>
      <c r="Z55" s="430"/>
      <c r="AA55" s="430"/>
      <c r="AB55" s="430"/>
      <c r="AC55" s="432"/>
    </row>
    <row r="56" spans="2:30" x14ac:dyDescent="0.3">
      <c r="B56" s="16" t="s">
        <v>107</v>
      </c>
      <c r="C56" s="457">
        <f>67.78*'Arable Inputs'!$D$8</f>
        <v>76.591399999999993</v>
      </c>
      <c r="D56" s="458">
        <f>57.48*'Arable Inputs'!$D$8</f>
        <v>64.952399999999997</v>
      </c>
      <c r="E56" s="490"/>
      <c r="F56" s="434"/>
      <c r="G56" s="998"/>
      <c r="H56" s="434"/>
      <c r="I56" s="578"/>
      <c r="J56" s="459"/>
      <c r="K56" s="434"/>
      <c r="L56" s="998"/>
      <c r="M56" s="434"/>
      <c r="N56" s="578"/>
      <c r="O56" s="459">
        <v>2</v>
      </c>
      <c r="P56" s="462">
        <v>1</v>
      </c>
      <c r="Q56" s="998">
        <f>IF(P56&gt;=1,CHOOSE(O56,$C56,$D56)*P56)</f>
        <v>64.952399999999997</v>
      </c>
      <c r="R56" s="812">
        <v>1.6</v>
      </c>
      <c r="S56" s="578">
        <f>R56*$C$4</f>
        <v>23.200000000000003</v>
      </c>
      <c r="T56" s="459"/>
      <c r="U56" s="434"/>
      <c r="V56" s="460"/>
      <c r="W56" s="434"/>
      <c r="X56" s="434"/>
      <c r="Y56" s="459"/>
      <c r="Z56" s="434"/>
      <c r="AA56" s="460"/>
      <c r="AB56" s="434"/>
      <c r="AC56" s="460"/>
    </row>
    <row r="57" spans="2:30" x14ac:dyDescent="0.3">
      <c r="B57" s="16" t="s">
        <v>108</v>
      </c>
      <c r="C57" s="457">
        <f>50.14*'Arable Inputs'!$D$8</f>
        <v>56.658199999999994</v>
      </c>
      <c r="D57" s="458">
        <f>27.04*'Arable Inputs'!$D$8</f>
        <v>30.555199999999996</v>
      </c>
      <c r="E57" s="459">
        <v>2</v>
      </c>
      <c r="F57" s="462">
        <v>1</v>
      </c>
      <c r="G57" s="998">
        <f>IF(F57&gt;=1,CHOOSE(E57,$C57,$D57)*F57)</f>
        <v>30.555199999999996</v>
      </c>
      <c r="H57" s="809">
        <v>1.1000000000000001</v>
      </c>
      <c r="I57" s="578">
        <f>H57*$C$4</f>
        <v>15.950000000000001</v>
      </c>
      <c r="J57" s="459">
        <v>2</v>
      </c>
      <c r="K57" s="462">
        <v>1</v>
      </c>
      <c r="L57" s="998">
        <f>IF(K57&gt;=1,CHOOSE(J57,$C57,$D57)*K57)</f>
        <v>30.555199999999996</v>
      </c>
      <c r="M57" s="809">
        <v>0.6</v>
      </c>
      <c r="N57" s="578">
        <f>M57*$C$4</f>
        <v>8.6999999999999993</v>
      </c>
      <c r="O57" s="459"/>
      <c r="P57" s="366"/>
      <c r="Q57" s="998"/>
      <c r="R57" s="366"/>
      <c r="S57" s="578"/>
      <c r="T57" s="459">
        <v>2</v>
      </c>
      <c r="U57" s="462">
        <v>1</v>
      </c>
      <c r="V57" s="998">
        <f>IF(U57&gt;=1,CHOOSE(T57,$C57,$D57)*U57)</f>
        <v>30.555199999999996</v>
      </c>
      <c r="W57" s="809">
        <v>1.2</v>
      </c>
      <c r="X57" s="578">
        <f>W57*$C$4</f>
        <v>17.399999999999999</v>
      </c>
      <c r="Y57" s="459"/>
      <c r="Z57" s="434"/>
      <c r="AA57" s="460"/>
      <c r="AB57" s="461"/>
      <c r="AC57" s="460"/>
    </row>
    <row r="58" spans="2:30" x14ac:dyDescent="0.3">
      <c r="B58" s="16" t="s">
        <v>109</v>
      </c>
      <c r="C58" s="457">
        <f>61.78*'Arable Inputs'!$D$8</f>
        <v>69.811399999999992</v>
      </c>
      <c r="D58" s="458">
        <f>58.52*'Arable Inputs'!$D$8</f>
        <v>66.127600000000001</v>
      </c>
      <c r="E58" s="483"/>
      <c r="F58" s="434"/>
      <c r="G58" s="998"/>
      <c r="H58" s="434"/>
      <c r="I58" s="578"/>
      <c r="J58" s="459"/>
      <c r="K58" s="434"/>
      <c r="L58" s="998"/>
      <c r="M58" s="434"/>
      <c r="N58" s="578"/>
      <c r="O58" s="459"/>
      <c r="P58" s="434"/>
      <c r="Q58" s="998"/>
      <c r="R58" s="434"/>
      <c r="S58" s="578"/>
      <c r="T58" s="459"/>
      <c r="U58" s="434"/>
      <c r="V58" s="460"/>
      <c r="W58" s="434"/>
      <c r="X58" s="434"/>
      <c r="Y58" s="459"/>
      <c r="Z58" s="434"/>
      <c r="AA58" s="460"/>
      <c r="AB58" s="461"/>
      <c r="AC58" s="460"/>
    </row>
    <row r="59" spans="2:30" x14ac:dyDescent="0.3">
      <c r="B59" s="16" t="s">
        <v>110</v>
      </c>
      <c r="C59" s="457">
        <f>51.89*'Arable Inputs'!$D$8</f>
        <v>58.635699999999993</v>
      </c>
      <c r="D59" s="458">
        <f>50.58*'Arable Inputs'!$D$8</f>
        <v>57.155399999999993</v>
      </c>
      <c r="E59" s="483"/>
      <c r="F59" s="434"/>
      <c r="G59" s="998"/>
      <c r="H59" s="434"/>
      <c r="I59" s="578"/>
      <c r="J59" s="459"/>
      <c r="K59" s="434"/>
      <c r="L59" s="998"/>
      <c r="M59" s="434"/>
      <c r="N59" s="578"/>
      <c r="O59" s="459"/>
      <c r="P59" s="434"/>
      <c r="Q59" s="998"/>
      <c r="R59" s="434"/>
      <c r="S59" s="578"/>
      <c r="T59" s="459"/>
      <c r="U59" s="434"/>
      <c r="V59" s="460"/>
      <c r="W59" s="434"/>
      <c r="X59" s="434"/>
      <c r="Y59" s="459"/>
      <c r="Z59" s="434"/>
      <c r="AA59" s="460"/>
      <c r="AB59" s="461"/>
      <c r="AC59" s="460"/>
    </row>
    <row r="60" spans="2:30" x14ac:dyDescent="0.3">
      <c r="B60" s="16" t="s">
        <v>111</v>
      </c>
      <c r="C60" s="457">
        <f>58.71*'Arable Inputs'!$D$8</f>
        <v>66.342299999999994</v>
      </c>
      <c r="D60" s="458">
        <f>61.14*'Arable Inputs'!$D$8</f>
        <v>69.088200000000001</v>
      </c>
      <c r="E60" s="483"/>
      <c r="F60" s="434"/>
      <c r="G60" s="998"/>
      <c r="H60" s="434"/>
      <c r="I60" s="578"/>
      <c r="J60" s="459"/>
      <c r="K60" s="434"/>
      <c r="L60" s="998"/>
      <c r="M60" s="434"/>
      <c r="N60" s="578"/>
      <c r="O60" s="459"/>
      <c r="P60" s="434"/>
      <c r="Q60" s="998"/>
      <c r="R60" s="434"/>
      <c r="S60" s="578"/>
      <c r="T60" s="459"/>
      <c r="U60" s="434"/>
      <c r="V60" s="460"/>
      <c r="W60" s="434"/>
      <c r="X60" s="434"/>
      <c r="Y60" s="459"/>
      <c r="Z60" s="434"/>
      <c r="AA60" s="460"/>
      <c r="AB60" s="461"/>
      <c r="AC60" s="460"/>
    </row>
    <row r="61" spans="2:30" x14ac:dyDescent="0.3">
      <c r="B61" s="16" t="s">
        <v>50</v>
      </c>
      <c r="C61" s="457">
        <f>51.97*'Arable Inputs'!$D$8</f>
        <v>58.726099999999995</v>
      </c>
      <c r="D61" s="458">
        <f>57.16*'Arable Inputs'!$D$8</f>
        <v>64.590799999999987</v>
      </c>
      <c r="E61" s="483"/>
      <c r="F61" s="434"/>
      <c r="G61" s="998"/>
      <c r="H61" s="434"/>
      <c r="I61" s="578"/>
      <c r="J61" s="459"/>
      <c r="K61" s="434"/>
      <c r="L61" s="998"/>
      <c r="M61" s="434"/>
      <c r="N61" s="578"/>
      <c r="O61" s="459"/>
      <c r="P61" s="434"/>
      <c r="Q61" s="998"/>
      <c r="R61" s="434"/>
      <c r="S61" s="578"/>
      <c r="T61" s="459"/>
      <c r="U61" s="434"/>
      <c r="V61" s="998"/>
      <c r="W61" s="813"/>
      <c r="X61" s="578"/>
      <c r="Y61" s="459"/>
      <c r="Z61" s="434"/>
      <c r="AA61" s="460"/>
      <c r="AB61" s="461"/>
      <c r="AC61" s="460"/>
    </row>
    <row r="62" spans="2:30" x14ac:dyDescent="0.3">
      <c r="B62" s="16" t="s">
        <v>112</v>
      </c>
      <c r="C62" s="457">
        <f>78.26*'Arable Inputs'!$D$8</f>
        <v>88.433799999999991</v>
      </c>
      <c r="D62" s="458" t="s">
        <v>115</v>
      </c>
      <c r="E62" s="483"/>
      <c r="F62" s="434"/>
      <c r="G62" s="998"/>
      <c r="H62" s="434"/>
      <c r="I62" s="578"/>
      <c r="J62" s="459"/>
      <c r="K62" s="434"/>
      <c r="L62" s="998"/>
      <c r="M62" s="434"/>
      <c r="N62" s="578"/>
      <c r="O62" s="459"/>
      <c r="P62" s="434"/>
      <c r="Q62" s="998"/>
      <c r="R62" s="434"/>
      <c r="S62" s="578"/>
      <c r="T62" s="459"/>
      <c r="U62" s="434"/>
      <c r="V62" s="998"/>
      <c r="W62" s="434"/>
      <c r="X62" s="578"/>
      <c r="Y62" s="459"/>
      <c r="Z62" s="434"/>
      <c r="AA62" s="460"/>
      <c r="AB62" s="461"/>
      <c r="AC62" s="460"/>
    </row>
    <row r="63" spans="2:30" x14ac:dyDescent="0.3">
      <c r="B63" s="16" t="s">
        <v>48</v>
      </c>
      <c r="C63" s="457">
        <f>29.31*'Arable Inputs'!$D$8</f>
        <v>33.120299999999993</v>
      </c>
      <c r="D63" s="458">
        <f>20*'Arable Inputs'!$D$8</f>
        <v>22.599999999999998</v>
      </c>
      <c r="E63" s="483"/>
      <c r="F63" s="434"/>
      <c r="G63" s="998"/>
      <c r="H63" s="434"/>
      <c r="I63" s="578"/>
      <c r="J63" s="459"/>
      <c r="K63" s="434"/>
      <c r="L63" s="998"/>
      <c r="M63" s="434"/>
      <c r="N63" s="578"/>
      <c r="O63" s="459"/>
      <c r="P63" s="434"/>
      <c r="Q63" s="998"/>
      <c r="R63" s="434"/>
      <c r="S63" s="578"/>
      <c r="T63" s="459"/>
      <c r="U63" s="434"/>
      <c r="V63" s="998"/>
      <c r="W63" s="434"/>
      <c r="X63" s="578"/>
      <c r="Y63" s="459"/>
      <c r="Z63" s="434"/>
      <c r="AA63" s="460"/>
      <c r="AB63" s="461"/>
      <c r="AC63" s="460"/>
    </row>
    <row r="64" spans="2:30" x14ac:dyDescent="0.3">
      <c r="B64" s="16" t="s">
        <v>113</v>
      </c>
      <c r="C64" s="457">
        <f>31.16*'Arable Inputs'!$D$8</f>
        <v>35.210799999999999</v>
      </c>
      <c r="D64" s="458">
        <f>20.54*'Arable Inputs'!$D$8</f>
        <v>23.210199999999997</v>
      </c>
      <c r="E64" s="483"/>
      <c r="F64" s="434"/>
      <c r="G64" s="998"/>
      <c r="H64" s="434"/>
      <c r="I64" s="578"/>
      <c r="J64" s="459"/>
      <c r="K64" s="434"/>
      <c r="L64" s="998"/>
      <c r="M64" s="434"/>
      <c r="N64" s="578"/>
      <c r="O64" s="459"/>
      <c r="P64" s="434"/>
      <c r="Q64" s="998"/>
      <c r="R64" s="434"/>
      <c r="S64" s="578"/>
      <c r="T64" s="459"/>
      <c r="U64" s="434"/>
      <c r="V64" s="998"/>
      <c r="W64" s="434"/>
      <c r="X64" s="578"/>
      <c r="Y64" s="459"/>
      <c r="Z64" s="434"/>
      <c r="AA64" s="460"/>
      <c r="AB64" s="461"/>
      <c r="AC64" s="460"/>
    </row>
    <row r="65" spans="2:29" x14ac:dyDescent="0.3">
      <c r="B65" s="16" t="s">
        <v>114</v>
      </c>
      <c r="C65" s="457">
        <f>74.13*'Arable Inputs'!$D$8</f>
        <v>83.766899999999993</v>
      </c>
      <c r="D65" s="458" t="s">
        <v>115</v>
      </c>
      <c r="E65" s="483"/>
      <c r="F65" s="434"/>
      <c r="G65" s="998"/>
      <c r="H65" s="434"/>
      <c r="I65" s="578"/>
      <c r="J65" s="459"/>
      <c r="K65" s="434"/>
      <c r="L65" s="998"/>
      <c r="M65" s="434"/>
      <c r="N65" s="578"/>
      <c r="O65" s="459"/>
      <c r="P65" s="434"/>
      <c r="Q65" s="998"/>
      <c r="R65" s="434"/>
      <c r="S65" s="578"/>
      <c r="T65" s="459"/>
      <c r="U65" s="434"/>
      <c r="V65" s="998"/>
      <c r="W65" s="434"/>
      <c r="X65" s="578"/>
      <c r="Y65" s="459"/>
      <c r="Z65" s="434"/>
      <c r="AA65" s="460"/>
      <c r="AB65" s="461"/>
      <c r="AC65" s="460"/>
    </row>
    <row r="66" spans="2:29" x14ac:dyDescent="0.3">
      <c r="B66" s="16" t="s">
        <v>116</v>
      </c>
      <c r="C66" s="457">
        <f>23.3*'Arable Inputs'!$D$8</f>
        <v>26.328999999999997</v>
      </c>
      <c r="D66" s="458">
        <f>14.67*'Arable Inputs'!$D$8</f>
        <v>16.577099999999998</v>
      </c>
      <c r="E66" s="483"/>
      <c r="F66" s="434"/>
      <c r="G66" s="998"/>
      <c r="H66" s="434"/>
      <c r="I66" s="578"/>
      <c r="J66" s="459"/>
      <c r="K66" s="434"/>
      <c r="L66" s="998"/>
      <c r="M66" s="434"/>
      <c r="N66" s="578"/>
      <c r="O66" s="459"/>
      <c r="P66" s="434"/>
      <c r="Q66" s="998"/>
      <c r="R66" s="434"/>
      <c r="S66" s="578"/>
      <c r="T66" s="459"/>
      <c r="U66" s="434"/>
      <c r="V66" s="998"/>
      <c r="W66" s="434"/>
      <c r="X66" s="578"/>
      <c r="Y66" s="459"/>
      <c r="Z66" s="434"/>
      <c r="AA66" s="460"/>
      <c r="AB66" s="461"/>
      <c r="AC66" s="460"/>
    </row>
    <row r="67" spans="2:29" x14ac:dyDescent="0.3">
      <c r="B67" s="16" t="s">
        <v>49</v>
      </c>
      <c r="C67" s="457">
        <f>46.55*'Arable Inputs'!$D$8</f>
        <v>52.601499999999994</v>
      </c>
      <c r="D67" s="458" t="s">
        <v>115</v>
      </c>
      <c r="E67" s="483"/>
      <c r="F67" s="434"/>
      <c r="G67" s="998"/>
      <c r="H67" s="434"/>
      <c r="I67" s="578"/>
      <c r="J67" s="459"/>
      <c r="K67" s="434"/>
      <c r="L67" s="998"/>
      <c r="M67" s="434"/>
      <c r="N67" s="578"/>
      <c r="O67" s="459"/>
      <c r="P67" s="434"/>
      <c r="Q67" s="998"/>
      <c r="R67" s="434"/>
      <c r="S67" s="578"/>
      <c r="T67" s="459"/>
      <c r="U67" s="434"/>
      <c r="V67" s="998"/>
      <c r="W67" s="434"/>
      <c r="X67" s="578"/>
      <c r="Y67" s="459"/>
      <c r="Z67" s="434"/>
      <c r="AA67" s="998"/>
      <c r="AB67" s="836">
        <v>1.1000000000000001</v>
      </c>
      <c r="AC67" s="998">
        <f>AB67*$C$4</f>
        <v>15.950000000000001</v>
      </c>
    </row>
    <row r="68" spans="2:29" x14ac:dyDescent="0.3">
      <c r="B68" s="16" t="s">
        <v>117</v>
      </c>
      <c r="C68" s="457">
        <f>123.87*'Arable Inputs'!$D$8</f>
        <v>139.97309999999999</v>
      </c>
      <c r="D68" s="458" t="s">
        <v>115</v>
      </c>
      <c r="E68" s="483"/>
      <c r="F68" s="491"/>
      <c r="G68" s="1011"/>
      <c r="H68" s="493"/>
      <c r="I68" s="1012"/>
      <c r="J68" s="494"/>
      <c r="K68" s="491"/>
      <c r="L68" s="1011"/>
      <c r="M68" s="493"/>
      <c r="N68" s="1012"/>
      <c r="O68" s="494"/>
      <c r="P68" s="491"/>
      <c r="Q68" s="1011"/>
      <c r="R68" s="493"/>
      <c r="S68" s="1012"/>
      <c r="T68" s="494"/>
      <c r="U68" s="491"/>
      <c r="V68" s="1011"/>
      <c r="W68" s="495"/>
      <c r="X68" s="1013"/>
      <c r="Y68" s="459"/>
      <c r="Z68" s="434"/>
      <c r="AA68" s="998"/>
      <c r="AB68" s="867"/>
      <c r="AC68" s="998"/>
    </row>
    <row r="69" spans="2:29" x14ac:dyDescent="0.3">
      <c r="B69" s="16" t="s">
        <v>53</v>
      </c>
      <c r="C69" s="457">
        <f>187.8*'Arable Inputs'!$D$8</f>
        <v>212.214</v>
      </c>
      <c r="D69" s="458">
        <f>126.29*'Arable Inputs'!$D$8</f>
        <v>142.70769999999999</v>
      </c>
      <c r="E69" s="483"/>
      <c r="F69" s="434"/>
      <c r="G69" s="998"/>
      <c r="H69" s="434"/>
      <c r="I69" s="578"/>
      <c r="J69" s="459"/>
      <c r="K69" s="434"/>
      <c r="L69" s="998"/>
      <c r="M69" s="434"/>
      <c r="N69" s="578"/>
      <c r="O69" s="459"/>
      <c r="P69" s="434"/>
      <c r="Q69" s="998"/>
      <c r="R69" s="434"/>
      <c r="S69" s="578"/>
      <c r="T69" s="459"/>
      <c r="U69" s="434"/>
      <c r="V69" s="998"/>
      <c r="W69" s="434"/>
      <c r="X69" s="578"/>
      <c r="Y69" s="459"/>
      <c r="Z69" s="434"/>
      <c r="AA69" s="998"/>
      <c r="AB69" s="461"/>
      <c r="AC69" s="998"/>
    </row>
    <row r="70" spans="2:29" x14ac:dyDescent="0.3">
      <c r="B70" s="16" t="s">
        <v>203</v>
      </c>
      <c r="C70" s="457">
        <f>42*'Arable Inputs'!$D$8</f>
        <v>47.459999999999994</v>
      </c>
      <c r="D70" s="458">
        <f>35.63*'Arable Inputs'!$D$8</f>
        <v>40.261899999999997</v>
      </c>
      <c r="E70" s="483"/>
      <c r="F70" s="434"/>
      <c r="G70" s="998"/>
      <c r="H70" s="434"/>
      <c r="I70" s="578"/>
      <c r="J70" s="459"/>
      <c r="K70" s="434"/>
      <c r="L70" s="998"/>
      <c r="M70" s="434"/>
      <c r="N70" s="578"/>
      <c r="O70" s="459"/>
      <c r="P70" s="434"/>
      <c r="Q70" s="998"/>
      <c r="R70" s="813"/>
      <c r="S70" s="578"/>
      <c r="T70" s="459"/>
      <c r="U70" s="434"/>
      <c r="V70" s="998"/>
      <c r="W70" s="434"/>
      <c r="X70" s="578"/>
      <c r="Y70" s="459"/>
      <c r="Z70" s="427"/>
      <c r="AA70" s="998"/>
      <c r="AB70" s="461"/>
      <c r="AC70" s="998"/>
    </row>
    <row r="71" spans="2:29" s="39" customFormat="1" x14ac:dyDescent="0.3">
      <c r="B71" s="431" t="s">
        <v>54</v>
      </c>
      <c r="C71" s="468"/>
      <c r="D71" s="468"/>
      <c r="E71" s="469"/>
      <c r="F71" s="429" t="s">
        <v>9</v>
      </c>
      <c r="G71" s="826">
        <f>SUM(G56:G70)</f>
        <v>30.555199999999996</v>
      </c>
      <c r="H71" s="431">
        <f>SUM(H56:H70)</f>
        <v>1.1000000000000001</v>
      </c>
      <c r="I71" s="839">
        <f>SUM(I56:I70)</f>
        <v>15.950000000000001</v>
      </c>
      <c r="J71" s="472"/>
      <c r="K71" s="429"/>
      <c r="L71" s="826">
        <f>SUM(L56:L70)</f>
        <v>30.555199999999996</v>
      </c>
      <c r="M71" s="431">
        <f>SUM(M56:M70)</f>
        <v>0.6</v>
      </c>
      <c r="N71" s="839">
        <f>SUM(N56:N70)</f>
        <v>8.6999999999999993</v>
      </c>
      <c r="O71" s="472"/>
      <c r="P71" s="429"/>
      <c r="Q71" s="826">
        <f>SUM(Q56:Q70)</f>
        <v>64.952399999999997</v>
      </c>
      <c r="R71" s="431">
        <f>SUM(R56:R70)</f>
        <v>1.6</v>
      </c>
      <c r="S71" s="839">
        <f>SUM(S56:S70)</f>
        <v>23.200000000000003</v>
      </c>
      <c r="T71" s="472"/>
      <c r="U71" s="429"/>
      <c r="V71" s="826">
        <f>SUM(V56:V70)</f>
        <v>30.555199999999996</v>
      </c>
      <c r="W71" s="431">
        <f>SUM(W56:W70)</f>
        <v>1.2</v>
      </c>
      <c r="X71" s="839">
        <f>SUM(X56:X70)</f>
        <v>17.399999999999999</v>
      </c>
      <c r="Y71" s="472"/>
      <c r="Z71" s="429"/>
      <c r="AA71" s="843">
        <f>45*'Arable Inputs'!D8</f>
        <v>50.849999999999994</v>
      </c>
      <c r="AB71" s="431">
        <f>SUM(AB56:AB70)</f>
        <v>1.1000000000000001</v>
      </c>
      <c r="AC71" s="826">
        <f>SUM(AC56:AC70)</f>
        <v>15.950000000000001</v>
      </c>
    </row>
    <row r="72" spans="2:29" s="39" customFormat="1" x14ac:dyDescent="0.3">
      <c r="B72" s="431"/>
      <c r="C72" s="468"/>
      <c r="D72" s="468"/>
      <c r="E72" s="468"/>
      <c r="F72" s="429"/>
      <c r="G72" s="429"/>
      <c r="H72" s="429"/>
      <c r="I72" s="429"/>
      <c r="J72" s="429"/>
      <c r="K72" s="429"/>
      <c r="L72" s="429"/>
      <c r="M72" s="429"/>
      <c r="N72" s="429"/>
      <c r="O72" s="429"/>
      <c r="P72" s="429"/>
      <c r="Q72" s="429"/>
      <c r="R72" s="429"/>
      <c r="S72" s="429"/>
      <c r="T72" s="429"/>
      <c r="U72" s="429"/>
      <c r="V72" s="429"/>
      <c r="W72" s="429"/>
      <c r="X72" s="429"/>
      <c r="Y72" s="429"/>
      <c r="Z72" s="429"/>
      <c r="AA72" s="429"/>
      <c r="AB72" s="429"/>
      <c r="AC72" s="470"/>
    </row>
    <row r="73" spans="2:29" x14ac:dyDescent="0.3">
      <c r="B73" s="431" t="s">
        <v>32</v>
      </c>
      <c r="C73" s="468"/>
      <c r="D73" s="468"/>
      <c r="E73" s="468"/>
      <c r="F73" s="430"/>
      <c r="G73" s="430"/>
      <c r="H73" s="430"/>
      <c r="I73" s="1016"/>
      <c r="J73" s="430"/>
      <c r="K73" s="430"/>
      <c r="L73" s="430"/>
      <c r="M73" s="430"/>
      <c r="N73" s="430"/>
      <c r="O73" s="430"/>
      <c r="P73" s="430"/>
      <c r="Q73" s="430"/>
      <c r="R73" s="430"/>
      <c r="S73" s="430"/>
      <c r="T73" s="430"/>
      <c r="U73" s="430"/>
      <c r="V73" s="430"/>
      <c r="W73" s="430"/>
      <c r="X73" s="430"/>
      <c r="Y73" s="430"/>
      <c r="Z73" s="430"/>
      <c r="AA73" s="430"/>
      <c r="AB73" s="430"/>
      <c r="AC73" s="432"/>
    </row>
    <row r="74" spans="2:29" x14ac:dyDescent="0.3">
      <c r="B74" s="16" t="s">
        <v>57</v>
      </c>
      <c r="C74" s="457">
        <f>12.63*'Arable Inputs'!$D$8</f>
        <v>14.271899999999999</v>
      </c>
      <c r="D74" s="496">
        <f>10.08*'Arable Inputs'!$D$8</f>
        <v>11.3904</v>
      </c>
      <c r="E74" s="459">
        <v>2</v>
      </c>
      <c r="F74" s="497">
        <f>'Arable Inputs'!D55</f>
        <v>3</v>
      </c>
      <c r="G74" s="998">
        <f>IF(F74&gt;=1,CHOOSE(E74,$C74,$D74)*F74)</f>
        <v>34.171199999999999</v>
      </c>
      <c r="H74" s="810">
        <f>0.3*F74</f>
        <v>0.89999999999999991</v>
      </c>
      <c r="I74" s="578">
        <f>H74*$C$4</f>
        <v>13.049999999999999</v>
      </c>
      <c r="J74" s="459">
        <v>2</v>
      </c>
      <c r="K74" s="497">
        <f>'Arable Inputs'!E55</f>
        <v>1</v>
      </c>
      <c r="L74" s="998">
        <f>IF(K74&gt;=1,CHOOSE(J74,$C74,$D74)*K74)</f>
        <v>11.3904</v>
      </c>
      <c r="M74" s="810">
        <f>0.3*K74</f>
        <v>0.3</v>
      </c>
      <c r="N74" s="578">
        <f>M74*$C$4</f>
        <v>4.3499999999999996</v>
      </c>
      <c r="O74" s="459">
        <v>2</v>
      </c>
      <c r="P74" s="498">
        <f>'Arable Inputs'!F55</f>
        <v>2</v>
      </c>
      <c r="Q74" s="998">
        <f>IF(P74&gt;=1,CHOOSE(O74,$C74,$D74)*P74)</f>
        <v>22.780799999999999</v>
      </c>
      <c r="R74" s="810">
        <f>0.6*P74</f>
        <v>1.2</v>
      </c>
      <c r="S74" s="578">
        <f>R74*$C$4</f>
        <v>17.399999999999999</v>
      </c>
      <c r="T74" s="459">
        <v>2</v>
      </c>
      <c r="U74" s="498">
        <f>'Arable Inputs'!G55</f>
        <v>2</v>
      </c>
      <c r="V74" s="998">
        <f>IF(U74&gt;=1,CHOOSE(T74,$C74,$D74)*U74)</f>
        <v>22.780799999999999</v>
      </c>
      <c r="W74" s="810">
        <f>0.7*U74</f>
        <v>1.4</v>
      </c>
      <c r="X74" s="578">
        <f>W74*$C$4</f>
        <v>20.299999999999997</v>
      </c>
      <c r="Y74" s="459">
        <v>2</v>
      </c>
      <c r="Z74" s="498">
        <f>'Arable Inputs'!H55</f>
        <v>2</v>
      </c>
      <c r="AA74" s="998">
        <f>IF(Z74&gt;=1,CHOOSE(Y74,$C74,$D74)*Z74)</f>
        <v>22.780799999999999</v>
      </c>
      <c r="AB74" s="863">
        <f>0.3*Z74</f>
        <v>0.6</v>
      </c>
      <c r="AC74" s="998">
        <f>AB74*$C$4</f>
        <v>8.6999999999999993</v>
      </c>
    </row>
    <row r="75" spans="2:29" x14ac:dyDescent="0.3">
      <c r="B75" s="16" t="s">
        <v>56</v>
      </c>
      <c r="C75" s="457" t="s">
        <v>115</v>
      </c>
      <c r="D75" s="458">
        <f>8.16*'Arable Inputs'!$D$8</f>
        <v>9.2207999999999988</v>
      </c>
      <c r="E75" s="459"/>
      <c r="F75" s="434"/>
      <c r="G75" s="578"/>
      <c r="H75" s="16"/>
      <c r="I75" s="578"/>
      <c r="J75" s="459"/>
      <c r="K75" s="434"/>
      <c r="L75" s="578"/>
      <c r="M75" s="16"/>
      <c r="N75" s="578"/>
      <c r="O75" s="459"/>
      <c r="P75" s="434"/>
      <c r="Q75" s="578"/>
      <c r="R75" s="16"/>
      <c r="S75" s="578"/>
      <c r="T75" s="459"/>
      <c r="U75" s="434"/>
      <c r="V75" s="578"/>
      <c r="W75" s="16"/>
      <c r="X75" s="578"/>
      <c r="Y75" s="459"/>
      <c r="Z75" s="434"/>
      <c r="AA75" s="578"/>
      <c r="AB75" s="16"/>
      <c r="AC75" s="998"/>
    </row>
    <row r="76" spans="2:29" x14ac:dyDescent="0.3">
      <c r="B76" s="10" t="s">
        <v>55</v>
      </c>
      <c r="C76" s="499">
        <f>(C74+4.32)*'Arable Inputs'!$D$8</f>
        <v>21.008846999999996</v>
      </c>
      <c r="D76" s="458" t="s">
        <v>115</v>
      </c>
      <c r="E76" s="459"/>
      <c r="F76" s="434"/>
      <c r="G76" s="578"/>
      <c r="H76" s="16"/>
      <c r="I76" s="578"/>
      <c r="J76" s="459"/>
      <c r="K76" s="434"/>
      <c r="L76" s="578"/>
      <c r="M76" s="16"/>
      <c r="N76" s="578"/>
      <c r="O76" s="459"/>
      <c r="P76" s="434"/>
      <c r="Q76" s="578"/>
      <c r="R76" s="16"/>
      <c r="S76" s="578"/>
      <c r="T76" s="459"/>
      <c r="U76" s="434"/>
      <c r="V76" s="578"/>
      <c r="W76" s="16"/>
      <c r="X76" s="578"/>
      <c r="Y76" s="459"/>
      <c r="Z76" s="434"/>
      <c r="AA76" s="578"/>
      <c r="AB76" s="16"/>
      <c r="AC76" s="998"/>
    </row>
    <row r="77" spans="2:29" x14ac:dyDescent="0.3">
      <c r="B77" s="16" t="s">
        <v>132</v>
      </c>
      <c r="C77" s="457">
        <f>12.36*'Arable Inputs'!$D$8</f>
        <v>13.966799999999997</v>
      </c>
      <c r="D77" s="458" t="s">
        <v>115</v>
      </c>
      <c r="E77" s="459"/>
      <c r="F77" s="493"/>
      <c r="G77" s="1012"/>
      <c r="H77" s="495"/>
      <c r="I77" s="1013"/>
      <c r="J77" s="494"/>
      <c r="K77" s="493"/>
      <c r="L77" s="1012"/>
      <c r="M77" s="495"/>
      <c r="N77" s="1012"/>
      <c r="O77" s="494"/>
      <c r="P77" s="491"/>
      <c r="Q77" s="1012"/>
      <c r="R77" s="495"/>
      <c r="S77" s="1012"/>
      <c r="T77" s="494"/>
      <c r="U77" s="491"/>
      <c r="V77" s="1012"/>
      <c r="W77" s="495"/>
      <c r="X77" s="1012"/>
      <c r="Y77" s="494"/>
      <c r="Z77" s="491"/>
      <c r="AA77" s="1012"/>
      <c r="AB77" s="495"/>
      <c r="AC77" s="1011"/>
    </row>
    <row r="78" spans="2:29" x14ac:dyDescent="0.3">
      <c r="B78" s="16" t="s">
        <v>133</v>
      </c>
      <c r="C78" s="457">
        <f>8.9*'Arable Inputs'!$D$8</f>
        <v>10.056999999999999</v>
      </c>
      <c r="D78" s="458">
        <f>2.89*'Arable Inputs'!$D$8</f>
        <v>3.2656999999999998</v>
      </c>
      <c r="E78" s="459"/>
      <c r="F78" s="493"/>
      <c r="G78" s="1012"/>
      <c r="H78" s="495"/>
      <c r="I78" s="1013"/>
      <c r="J78" s="494"/>
      <c r="K78" s="493"/>
      <c r="L78" s="1012"/>
      <c r="M78" s="495"/>
      <c r="N78" s="1012"/>
      <c r="O78" s="494"/>
      <c r="P78" s="491"/>
      <c r="Q78" s="1012"/>
      <c r="R78" s="495"/>
      <c r="S78" s="1012"/>
      <c r="T78" s="494"/>
      <c r="U78" s="491"/>
      <c r="V78" s="1012"/>
      <c r="W78" s="495"/>
      <c r="X78" s="1012"/>
      <c r="Y78" s="494"/>
      <c r="Z78" s="491"/>
      <c r="AA78" s="1012"/>
      <c r="AB78" s="495"/>
      <c r="AC78" s="1011"/>
    </row>
    <row r="79" spans="2:29" x14ac:dyDescent="0.3">
      <c r="B79" s="16" t="s">
        <v>58</v>
      </c>
      <c r="C79" s="457">
        <f>25.95*'Arable Inputs'!$D$8</f>
        <v>29.323499999999996</v>
      </c>
      <c r="D79" s="458" t="s">
        <v>115</v>
      </c>
      <c r="E79" s="459"/>
      <c r="F79" s="434"/>
      <c r="G79" s="578"/>
      <c r="H79" s="16"/>
      <c r="I79" s="578"/>
      <c r="J79" s="459"/>
      <c r="K79" s="434"/>
      <c r="L79" s="578"/>
      <c r="M79" s="16"/>
      <c r="N79" s="578"/>
      <c r="O79" s="459"/>
      <c r="P79" s="434"/>
      <c r="Q79" s="578"/>
      <c r="R79" s="16"/>
      <c r="S79" s="578"/>
      <c r="T79" s="459"/>
      <c r="U79" s="434"/>
      <c r="V79" s="578"/>
      <c r="W79" s="16"/>
      <c r="X79" s="578"/>
      <c r="Y79" s="459"/>
      <c r="Z79" s="434"/>
      <c r="AA79" s="578"/>
      <c r="AB79" s="16"/>
      <c r="AC79" s="998"/>
    </row>
    <row r="80" spans="2:29" x14ac:dyDescent="0.3">
      <c r="B80" s="16" t="s">
        <v>134</v>
      </c>
      <c r="C80" s="457">
        <f>19.77*'Arable Inputs'!$D$8</f>
        <v>22.340099999999996</v>
      </c>
      <c r="D80" s="458" t="s">
        <v>115</v>
      </c>
      <c r="E80" s="459">
        <v>1</v>
      </c>
      <c r="F80" s="462">
        <v>1</v>
      </c>
      <c r="G80" s="998">
        <f>IF(F80&gt;=1,CHOOSE(E80,$C80,$D80)*F80)</f>
        <v>22.340099999999996</v>
      </c>
      <c r="H80" s="811">
        <v>1</v>
      </c>
      <c r="I80" s="578">
        <f>H80*$C$4</f>
        <v>14.5</v>
      </c>
      <c r="J80" s="459"/>
      <c r="K80" s="427"/>
      <c r="L80" s="998"/>
      <c r="M80" s="827"/>
      <c r="N80" s="578"/>
      <c r="O80" s="459"/>
      <c r="P80" s="427"/>
      <c r="Q80" s="998"/>
      <c r="R80" s="1014"/>
      <c r="S80" s="578"/>
      <c r="T80" s="459"/>
      <c r="U80" s="427"/>
      <c r="V80" s="998"/>
      <c r="W80" s="827"/>
      <c r="X80" s="578"/>
      <c r="Y80" s="459"/>
      <c r="Z80" s="427"/>
      <c r="AA80" s="998"/>
      <c r="AB80" s="1015"/>
      <c r="AC80" s="998"/>
    </row>
    <row r="81" spans="2:29" s="39" customFormat="1" x14ac:dyDescent="0.3">
      <c r="B81" s="431" t="s">
        <v>59</v>
      </c>
      <c r="C81" s="468"/>
      <c r="D81" s="468"/>
      <c r="E81" s="469"/>
      <c r="F81" s="429" t="s">
        <v>9</v>
      </c>
      <c r="G81" s="826">
        <f>SUM(G74:G80)</f>
        <v>56.511299999999991</v>
      </c>
      <c r="H81" s="808">
        <f>SUM(H74:H80)</f>
        <v>1.9</v>
      </c>
      <c r="I81" s="839">
        <f>SUM(I74:I80)</f>
        <v>27.549999999999997</v>
      </c>
      <c r="J81" s="472"/>
      <c r="K81" s="429"/>
      <c r="L81" s="826">
        <f>SUM(L74:L80)</f>
        <v>11.3904</v>
      </c>
      <c r="M81" s="808">
        <f>SUM(M74:M80)</f>
        <v>0.3</v>
      </c>
      <c r="N81" s="839">
        <f>SUM(N74:N80)</f>
        <v>4.3499999999999996</v>
      </c>
      <c r="O81" s="472"/>
      <c r="P81" s="429"/>
      <c r="Q81" s="826">
        <f>SUM(Q74:Q80)</f>
        <v>22.780799999999999</v>
      </c>
      <c r="R81" s="431">
        <f>SUM(R74:R80)</f>
        <v>1.2</v>
      </c>
      <c r="S81" s="839">
        <f>SUM(S74:S80)</f>
        <v>17.399999999999999</v>
      </c>
      <c r="T81" s="472"/>
      <c r="U81" s="429"/>
      <c r="V81" s="826">
        <f>SUM(V74:V80)</f>
        <v>22.780799999999999</v>
      </c>
      <c r="W81" s="808">
        <f>SUM(W74:W80)</f>
        <v>1.4</v>
      </c>
      <c r="X81" s="839">
        <f>SUM(X74:X80)</f>
        <v>20.299999999999997</v>
      </c>
      <c r="Y81" s="472"/>
      <c r="Z81" s="429"/>
      <c r="AA81" s="826">
        <f>SUM(AA74:AA80)</f>
        <v>22.780799999999999</v>
      </c>
      <c r="AB81" s="431">
        <f>SUM(AB74:AB80)</f>
        <v>0.6</v>
      </c>
      <c r="AC81" s="826">
        <f>SUM(AC74:AC80)</f>
        <v>8.6999999999999993</v>
      </c>
    </row>
    <row r="82" spans="2:29" s="39" customFormat="1" x14ac:dyDescent="0.3">
      <c r="B82" s="431"/>
      <c r="C82" s="468"/>
      <c r="D82" s="468"/>
      <c r="E82" s="468"/>
      <c r="F82" s="429"/>
      <c r="G82" s="429"/>
      <c r="H82" s="429"/>
      <c r="I82" s="429"/>
      <c r="J82" s="429"/>
      <c r="K82" s="429"/>
      <c r="L82" s="429"/>
      <c r="M82" s="429"/>
      <c r="N82" s="429"/>
      <c r="O82" s="429"/>
      <c r="P82" s="429"/>
      <c r="Q82" s="429"/>
      <c r="R82" s="429"/>
      <c r="S82" s="429"/>
      <c r="T82" s="429"/>
      <c r="U82" s="429"/>
      <c r="V82" s="429"/>
      <c r="W82" s="429"/>
      <c r="X82" s="429"/>
      <c r="Y82" s="429"/>
      <c r="Z82" s="429"/>
      <c r="AA82" s="429"/>
      <c r="AB82" s="429"/>
      <c r="AC82" s="470"/>
    </row>
    <row r="83" spans="2:29" s="39" customFormat="1" x14ac:dyDescent="0.3">
      <c r="B83" s="431" t="s">
        <v>177</v>
      </c>
      <c r="C83" s="468"/>
      <c r="D83" s="468"/>
      <c r="E83" s="468"/>
      <c r="F83" s="430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0"/>
      <c r="X83" s="430"/>
      <c r="Y83" s="430"/>
      <c r="Z83" s="430"/>
      <c r="AA83" s="430"/>
      <c r="AB83" s="430"/>
      <c r="AC83" s="432"/>
    </row>
    <row r="84" spans="2:29" x14ac:dyDescent="0.3">
      <c r="B84" s="16" t="s">
        <v>61</v>
      </c>
      <c r="C84" s="457">
        <f>89.13*'Arable Inputs'!$D$8</f>
        <v>100.71689999999998</v>
      </c>
      <c r="D84" s="496">
        <f>90.1*'Arable Inputs'!$D$8</f>
        <v>101.81299999999999</v>
      </c>
      <c r="E84" s="459">
        <v>2</v>
      </c>
      <c r="F84" s="462">
        <v>1</v>
      </c>
      <c r="G84" s="998">
        <f>IF(F84&gt;=1,CHOOSE(E84,$C84,$D84)*F84)</f>
        <v>101.81299999999999</v>
      </c>
      <c r="H84" s="812">
        <v>1.5</v>
      </c>
      <c r="I84" s="578">
        <f>H84*$C$4</f>
        <v>21.75</v>
      </c>
      <c r="J84" s="459"/>
      <c r="K84" s="434"/>
      <c r="L84" s="998"/>
      <c r="M84" s="825"/>
      <c r="N84" s="578"/>
      <c r="O84" s="459"/>
      <c r="P84" s="434"/>
      <c r="Q84" s="460"/>
      <c r="R84" s="434"/>
      <c r="S84" s="434"/>
      <c r="T84" s="459"/>
      <c r="U84" s="434"/>
      <c r="V84" s="460"/>
      <c r="W84" s="434"/>
      <c r="X84" s="434"/>
      <c r="Y84" s="459"/>
      <c r="Z84" s="434"/>
      <c r="AA84" s="460"/>
      <c r="AB84" s="461"/>
      <c r="AC84" s="460"/>
    </row>
    <row r="85" spans="2:29" x14ac:dyDescent="0.3">
      <c r="B85" s="16" t="s">
        <v>135</v>
      </c>
      <c r="C85" s="457">
        <f>(C84+6.35)*'Arable Inputs'!$D$8</f>
        <v>120.98559699999996</v>
      </c>
      <c r="D85" s="458">
        <f>90.1*'Arable Inputs'!$D$8</f>
        <v>101.81299999999999</v>
      </c>
      <c r="E85" s="459"/>
      <c r="F85" s="434"/>
      <c r="G85" s="460"/>
      <c r="H85" s="434"/>
      <c r="I85" s="578"/>
      <c r="J85" s="459"/>
      <c r="K85" s="434"/>
      <c r="L85" s="460"/>
      <c r="M85" s="434"/>
      <c r="N85" s="578"/>
      <c r="O85" s="459"/>
      <c r="P85" s="434"/>
      <c r="Q85" s="460"/>
      <c r="R85" s="434"/>
      <c r="S85" s="434"/>
      <c r="T85" s="459"/>
      <c r="U85" s="434"/>
      <c r="V85" s="460"/>
      <c r="W85" s="434"/>
      <c r="X85" s="434"/>
      <c r="Y85" s="459"/>
      <c r="Z85" s="434"/>
      <c r="AA85" s="460"/>
      <c r="AB85" s="461"/>
      <c r="AC85" s="460"/>
    </row>
    <row r="86" spans="2:29" x14ac:dyDescent="0.3">
      <c r="B86" s="16" t="s">
        <v>136</v>
      </c>
      <c r="C86" s="457">
        <f>(C84+0.02)*'Arable Inputs'!$D$8</f>
        <v>113.83269699999997</v>
      </c>
      <c r="D86" s="458">
        <f>90.1*'Arable Inputs'!$D$8</f>
        <v>101.81299999999999</v>
      </c>
      <c r="E86" s="459"/>
      <c r="F86" s="434"/>
      <c r="G86" s="460"/>
      <c r="H86" s="434"/>
      <c r="I86" s="578"/>
      <c r="J86" s="459"/>
      <c r="K86" s="434"/>
      <c r="L86" s="460"/>
      <c r="M86" s="434"/>
      <c r="N86" s="578"/>
      <c r="O86" s="459"/>
      <c r="P86" s="434"/>
      <c r="Q86" s="460"/>
      <c r="R86" s="434"/>
      <c r="S86" s="434"/>
      <c r="T86" s="459"/>
      <c r="U86" s="434"/>
      <c r="V86" s="460"/>
      <c r="W86" s="434"/>
      <c r="X86" s="434"/>
      <c r="Y86" s="459"/>
      <c r="Z86" s="434"/>
      <c r="AA86" s="460"/>
      <c r="AB86" s="461"/>
      <c r="AC86" s="460"/>
    </row>
    <row r="87" spans="2:29" x14ac:dyDescent="0.3">
      <c r="B87" s="16" t="s">
        <v>137</v>
      </c>
      <c r="C87" s="457">
        <f>(C84+2.47)*'Arable Inputs'!$D$8</f>
        <v>116.60119699999997</v>
      </c>
      <c r="D87" s="458">
        <f>90.1*'Arable Inputs'!$D$8</f>
        <v>101.81299999999999</v>
      </c>
      <c r="E87" s="459"/>
      <c r="F87" s="434"/>
      <c r="G87" s="460"/>
      <c r="H87" s="434"/>
      <c r="I87" s="578"/>
      <c r="J87" s="459"/>
      <c r="K87" s="434"/>
      <c r="L87" s="460"/>
      <c r="M87" s="434"/>
      <c r="N87" s="578"/>
      <c r="O87" s="459"/>
      <c r="P87" s="434"/>
      <c r="Q87" s="460"/>
      <c r="R87" s="434"/>
      <c r="S87" s="434"/>
      <c r="T87" s="459"/>
      <c r="U87" s="434"/>
      <c r="V87" s="460"/>
      <c r="W87" s="434"/>
      <c r="X87" s="434"/>
      <c r="Y87" s="459"/>
      <c r="Z87" s="434"/>
      <c r="AA87" s="460"/>
      <c r="AB87" s="461"/>
      <c r="AC87" s="460"/>
    </row>
    <row r="88" spans="2:29" x14ac:dyDescent="0.3">
      <c r="B88" s="16" t="s">
        <v>138</v>
      </c>
      <c r="C88" s="457">
        <f>86.49*'Arable Inputs'!$D$8</f>
        <v>97.733699999999985</v>
      </c>
      <c r="D88" s="458" t="s">
        <v>115</v>
      </c>
      <c r="E88" s="459"/>
      <c r="F88" s="434"/>
      <c r="G88" s="460"/>
      <c r="H88" s="434"/>
      <c r="I88" s="578"/>
      <c r="J88" s="459"/>
      <c r="K88" s="434"/>
      <c r="L88" s="460"/>
      <c r="M88" s="434"/>
      <c r="N88" s="578"/>
      <c r="O88" s="459"/>
      <c r="P88" s="434"/>
      <c r="Q88" s="460"/>
      <c r="R88" s="434"/>
      <c r="S88" s="434"/>
      <c r="T88" s="459"/>
      <c r="U88" s="434"/>
      <c r="V88" s="460"/>
      <c r="W88" s="434"/>
      <c r="X88" s="434"/>
      <c r="Y88" s="459"/>
      <c r="Z88" s="434"/>
      <c r="AA88" s="460"/>
      <c r="AB88" s="461"/>
      <c r="AC88" s="460"/>
    </row>
    <row r="89" spans="2:29" x14ac:dyDescent="0.3">
      <c r="B89" s="16" t="s">
        <v>139</v>
      </c>
      <c r="C89" s="457">
        <f>89.6*'Arable Inputs'!$D$8</f>
        <v>101.24799999999999</v>
      </c>
      <c r="D89" s="458">
        <f>90.1*'Arable Inputs'!$D$8</f>
        <v>101.81299999999999</v>
      </c>
      <c r="E89" s="459"/>
      <c r="F89" s="434"/>
      <c r="G89" s="460"/>
      <c r="H89" s="434"/>
      <c r="I89" s="578"/>
      <c r="J89" s="459"/>
      <c r="K89" s="434"/>
      <c r="L89" s="460"/>
      <c r="M89" s="434"/>
      <c r="N89" s="578"/>
      <c r="O89" s="459">
        <v>2</v>
      </c>
      <c r="P89" s="462">
        <v>1</v>
      </c>
      <c r="Q89" s="998">
        <f>IF(P89&gt;=1,CHOOSE(O89,$C89,$D89)*P89)</f>
        <v>101.81299999999999</v>
      </c>
      <c r="R89" s="809">
        <v>2.4</v>
      </c>
      <c r="S89" s="578">
        <f>R89*$C$4</f>
        <v>34.799999999999997</v>
      </c>
      <c r="T89" s="459"/>
      <c r="U89" s="434"/>
      <c r="V89" s="460"/>
      <c r="W89" s="434"/>
      <c r="X89" s="423"/>
      <c r="Y89" s="459"/>
      <c r="Z89" s="434"/>
      <c r="AA89" s="460"/>
      <c r="AB89" s="461"/>
      <c r="AC89" s="460"/>
    </row>
    <row r="90" spans="2:29" x14ac:dyDescent="0.3">
      <c r="B90" s="16" t="s">
        <v>140</v>
      </c>
      <c r="C90" s="457">
        <f>93.16*'Arable Inputs'!$D$8</f>
        <v>105.27079999999998</v>
      </c>
      <c r="D90" s="458">
        <f>90.1*'Arable Inputs'!$D$8</f>
        <v>101.81299999999999</v>
      </c>
      <c r="E90" s="459"/>
      <c r="F90" s="434"/>
      <c r="G90" s="460"/>
      <c r="H90" s="434"/>
      <c r="I90" s="578"/>
      <c r="J90" s="459">
        <v>2</v>
      </c>
      <c r="K90" s="462">
        <v>1</v>
      </c>
      <c r="L90" s="998">
        <f>IF(K90&gt;=1,CHOOSE(J90,$C90,$D90)*K90)</f>
        <v>101.81299999999999</v>
      </c>
      <c r="M90" s="812">
        <v>1.5</v>
      </c>
      <c r="N90" s="578">
        <f>M90*$C$4</f>
        <v>21.75</v>
      </c>
      <c r="O90" s="459"/>
      <c r="P90" s="434"/>
      <c r="Q90" s="998"/>
      <c r="R90" s="434"/>
      <c r="S90" s="578"/>
      <c r="T90" s="459"/>
      <c r="U90" s="434"/>
      <c r="V90" s="460"/>
      <c r="W90" s="434"/>
      <c r="X90" s="434"/>
      <c r="Y90" s="459"/>
      <c r="Z90" s="434"/>
      <c r="AA90" s="460"/>
      <c r="AB90" s="461"/>
      <c r="AC90" s="460"/>
    </row>
    <row r="91" spans="2:29" x14ac:dyDescent="0.3">
      <c r="B91" s="16" t="s">
        <v>141</v>
      </c>
      <c r="C91" s="457">
        <f>106.45*'Arable Inputs'!$D$8</f>
        <v>120.28849999999998</v>
      </c>
      <c r="D91" s="458" t="s">
        <v>115</v>
      </c>
      <c r="E91" s="459"/>
      <c r="F91" s="434"/>
      <c r="G91" s="460"/>
      <c r="H91" s="434"/>
      <c r="I91" s="578"/>
      <c r="J91" s="459"/>
      <c r="K91" s="434"/>
      <c r="L91" s="460"/>
      <c r="M91" s="434"/>
      <c r="N91" s="578"/>
      <c r="O91" s="459"/>
      <c r="P91" s="434"/>
      <c r="Q91" s="998"/>
      <c r="R91" s="434"/>
      <c r="S91" s="578"/>
      <c r="T91" s="459"/>
      <c r="U91" s="434"/>
      <c r="V91" s="460"/>
      <c r="W91" s="434"/>
      <c r="X91" s="434"/>
      <c r="Y91" s="459"/>
      <c r="Z91" s="434"/>
      <c r="AA91" s="460"/>
      <c r="AB91" s="461"/>
      <c r="AC91" s="463"/>
    </row>
    <row r="92" spans="2:29" x14ac:dyDescent="0.3">
      <c r="B92" s="16" t="s">
        <v>142</v>
      </c>
      <c r="C92" s="457">
        <f>44.48*'Arable Inputs'!$D$8</f>
        <v>50.262399999999992</v>
      </c>
      <c r="D92" s="458" t="s">
        <v>115</v>
      </c>
      <c r="E92" s="459"/>
      <c r="F92" s="434"/>
      <c r="G92" s="460"/>
      <c r="H92" s="434"/>
      <c r="I92" s="578"/>
      <c r="J92" s="459"/>
      <c r="K92" s="434"/>
      <c r="L92" s="460"/>
      <c r="M92" s="434"/>
      <c r="N92" s="578"/>
      <c r="O92" s="459"/>
      <c r="P92" s="434"/>
      <c r="Q92" s="998"/>
      <c r="R92" s="434"/>
      <c r="S92" s="578"/>
      <c r="T92" s="459"/>
      <c r="U92" s="434"/>
      <c r="V92" s="460"/>
      <c r="W92" s="434"/>
      <c r="X92" s="434"/>
      <c r="Y92" s="459"/>
      <c r="Z92" s="434"/>
      <c r="AA92" s="460"/>
      <c r="AB92" s="461"/>
      <c r="AC92" s="460"/>
    </row>
    <row r="93" spans="2:29" x14ac:dyDescent="0.3">
      <c r="B93" s="16" t="s">
        <v>143</v>
      </c>
      <c r="C93" s="457">
        <f>42*'Arable Inputs'!$D$8</f>
        <v>47.459999999999994</v>
      </c>
      <c r="D93" s="458">
        <f>35.63*'Arable Inputs'!$D$8</f>
        <v>40.261899999999997</v>
      </c>
      <c r="E93" s="459"/>
      <c r="F93" s="434"/>
      <c r="G93" s="460"/>
      <c r="H93" s="434"/>
      <c r="I93" s="578"/>
      <c r="J93" s="459"/>
      <c r="K93" s="434"/>
      <c r="L93" s="460"/>
      <c r="M93" s="434"/>
      <c r="N93" s="578"/>
      <c r="O93" s="459"/>
      <c r="P93" s="434"/>
      <c r="Q93" s="998"/>
      <c r="R93" s="434"/>
      <c r="S93" s="578"/>
      <c r="T93" s="459"/>
      <c r="U93" s="434"/>
      <c r="V93" s="460"/>
      <c r="W93" s="434"/>
      <c r="X93" s="434"/>
      <c r="Y93" s="459"/>
      <c r="Z93" s="434"/>
      <c r="AA93" s="460"/>
      <c r="AB93" s="461"/>
      <c r="AC93" s="460"/>
    </row>
    <row r="94" spans="2:29" x14ac:dyDescent="0.3">
      <c r="B94" s="10" t="s">
        <v>168</v>
      </c>
      <c r="C94" s="457">
        <f>778.37*'Arable Inputs'!$D$8</f>
        <v>879.55809999999997</v>
      </c>
      <c r="D94" s="458">
        <f>602.86*'Arable Inputs'!$D$8</f>
        <v>681.23179999999991</v>
      </c>
      <c r="E94" s="459"/>
      <c r="F94" s="434"/>
      <c r="G94" s="460"/>
      <c r="H94" s="434"/>
      <c r="I94" s="578"/>
      <c r="J94" s="459"/>
      <c r="K94" s="434"/>
      <c r="L94" s="460"/>
      <c r="M94" s="434"/>
      <c r="N94" s="578"/>
      <c r="O94" s="459"/>
      <c r="P94" s="434"/>
      <c r="Q94" s="998"/>
      <c r="R94" s="434"/>
      <c r="S94" s="578"/>
      <c r="T94" s="459"/>
      <c r="U94" s="434"/>
      <c r="V94" s="460"/>
      <c r="W94" s="434"/>
      <c r="X94" s="434"/>
      <c r="Y94" s="459"/>
      <c r="Z94" s="434"/>
      <c r="AA94" s="460"/>
      <c r="AB94" s="461"/>
      <c r="AC94" s="460"/>
    </row>
    <row r="95" spans="2:29" x14ac:dyDescent="0.3">
      <c r="B95" s="16" t="s">
        <v>169</v>
      </c>
      <c r="C95" s="457">
        <f>998.28*'Arable Inputs'!$D$8</f>
        <v>1128.0563999999999</v>
      </c>
      <c r="D95" s="458">
        <f>830.86*'Arable Inputs'!$D$8</f>
        <v>938.87179999999989</v>
      </c>
      <c r="E95" s="459"/>
      <c r="F95" s="434"/>
      <c r="G95" s="460"/>
      <c r="H95" s="434"/>
      <c r="I95" s="578"/>
      <c r="J95" s="459"/>
      <c r="K95" s="434"/>
      <c r="L95" s="460"/>
      <c r="M95" s="434"/>
      <c r="N95" s="578"/>
      <c r="O95" s="459"/>
      <c r="P95" s="434"/>
      <c r="Q95" s="998"/>
      <c r="R95" s="434"/>
      <c r="S95" s="578"/>
      <c r="T95" s="459"/>
      <c r="U95" s="434"/>
      <c r="V95" s="460"/>
      <c r="W95" s="434"/>
      <c r="X95" s="434"/>
      <c r="Y95" s="459"/>
      <c r="Z95" s="434"/>
      <c r="AA95" s="460"/>
      <c r="AB95" s="461"/>
      <c r="AC95" s="460"/>
    </row>
    <row r="96" spans="2:29" x14ac:dyDescent="0.3">
      <c r="B96" s="16" t="s">
        <v>561</v>
      </c>
      <c r="C96" s="457">
        <f>242.23*'Arable Inputs'!$D$8</f>
        <v>273.71989999999994</v>
      </c>
      <c r="D96" s="458">
        <f>280.99*'Arable Inputs'!$D$8</f>
        <v>317.51869999999997</v>
      </c>
      <c r="E96" s="459"/>
      <c r="F96" s="434"/>
      <c r="G96" s="460"/>
      <c r="H96" s="434"/>
      <c r="I96" s="578"/>
      <c r="J96" s="459"/>
      <c r="K96" s="434"/>
      <c r="L96" s="460"/>
      <c r="M96" s="434"/>
      <c r="N96" s="578"/>
      <c r="O96" s="459"/>
      <c r="P96" s="434"/>
      <c r="Q96" s="998"/>
      <c r="R96" s="434"/>
      <c r="S96" s="578"/>
      <c r="T96" s="459">
        <v>1</v>
      </c>
      <c r="U96" s="462">
        <v>1</v>
      </c>
      <c r="V96" s="998">
        <f>IF(U96&gt;=1,CHOOSE(T96,$C96,$D96)*U96)</f>
        <v>273.71989999999994</v>
      </c>
      <c r="W96" s="1017">
        <v>2</v>
      </c>
      <c r="X96" s="578">
        <f>W96*$C$4</f>
        <v>29</v>
      </c>
      <c r="Y96" s="459"/>
      <c r="Z96" s="434"/>
      <c r="AA96" s="460"/>
      <c r="AB96" s="461"/>
      <c r="AC96" s="460"/>
    </row>
    <row r="97" spans="2:29" x14ac:dyDescent="0.3">
      <c r="B97" s="16" t="s">
        <v>562</v>
      </c>
      <c r="C97" s="457">
        <f>276.75*'Arable Inputs'!$D$8</f>
        <v>312.72749999999996</v>
      </c>
      <c r="D97" s="458" t="s">
        <v>115</v>
      </c>
      <c r="E97" s="459"/>
      <c r="F97" s="434"/>
      <c r="G97" s="460"/>
      <c r="H97" s="434"/>
      <c r="I97" s="578"/>
      <c r="J97" s="459"/>
      <c r="K97" s="434"/>
      <c r="L97" s="460"/>
      <c r="M97" s="434"/>
      <c r="N97" s="578"/>
      <c r="O97" s="459"/>
      <c r="P97" s="434"/>
      <c r="Q97" s="998"/>
      <c r="R97" s="434"/>
      <c r="S97" s="578"/>
      <c r="T97" s="459"/>
      <c r="U97" s="434"/>
      <c r="V97" s="998"/>
      <c r="W97" s="578"/>
      <c r="X97" s="578"/>
      <c r="Y97" s="459"/>
      <c r="Z97" s="434"/>
      <c r="AA97" s="460"/>
      <c r="AB97" s="461"/>
      <c r="AC97" s="460"/>
    </row>
    <row r="98" spans="2:29" x14ac:dyDescent="0.3">
      <c r="B98" s="16" t="s">
        <v>60</v>
      </c>
      <c r="C98" s="457">
        <f>64.99*'Arable Inputs'!$D$8</f>
        <v>73.438699999999983</v>
      </c>
      <c r="D98" s="458">
        <f>59.25*'Arable Inputs'!$D$8</f>
        <v>66.952500000000001</v>
      </c>
      <c r="E98" s="459"/>
      <c r="F98" s="434"/>
      <c r="G98" s="460"/>
      <c r="H98" s="434"/>
      <c r="I98" s="578"/>
      <c r="J98" s="459"/>
      <c r="K98" s="434"/>
      <c r="L98" s="460"/>
      <c r="M98" s="434"/>
      <c r="N98" s="578"/>
      <c r="O98" s="459"/>
      <c r="P98" s="434"/>
      <c r="Q98" s="998"/>
      <c r="R98" s="434"/>
      <c r="S98" s="578"/>
      <c r="T98" s="459"/>
      <c r="U98" s="434"/>
      <c r="V98" s="998"/>
      <c r="W98" s="578"/>
      <c r="X98" s="578"/>
      <c r="Y98" s="459"/>
      <c r="Z98" s="434"/>
      <c r="AA98" s="460"/>
      <c r="AB98" s="461"/>
      <c r="AC98" s="460"/>
    </row>
    <row r="99" spans="2:29" x14ac:dyDescent="0.3">
      <c r="B99" s="16" t="s">
        <v>145</v>
      </c>
      <c r="C99" s="457">
        <f>58.07*'Arable Inputs'!$D$8</f>
        <v>65.619099999999989</v>
      </c>
      <c r="D99" s="458">
        <f>45.57*'Arable Inputs'!$D$8</f>
        <v>51.494099999999996</v>
      </c>
      <c r="E99" s="459"/>
      <c r="F99" s="434"/>
      <c r="G99" s="460"/>
      <c r="H99" s="434"/>
      <c r="I99" s="578"/>
      <c r="J99" s="459"/>
      <c r="K99" s="434"/>
      <c r="L99" s="460"/>
      <c r="M99" s="434"/>
      <c r="N99" s="578"/>
      <c r="O99" s="459"/>
      <c r="P99" s="434"/>
      <c r="Q99" s="998"/>
      <c r="R99" s="434"/>
      <c r="S99" s="578"/>
      <c r="T99" s="459"/>
      <c r="U99" s="434"/>
      <c r="V99" s="998"/>
      <c r="W99" s="578"/>
      <c r="X99" s="578"/>
      <c r="Y99" s="459"/>
      <c r="Z99" s="434"/>
      <c r="AA99" s="460"/>
      <c r="AB99" s="461"/>
      <c r="AC99" s="460"/>
    </row>
    <row r="100" spans="2:29" x14ac:dyDescent="0.3">
      <c r="B100" s="16" t="s">
        <v>146</v>
      </c>
      <c r="C100" s="457">
        <f>145.29*'Arable Inputs'!$D$8</f>
        <v>164.17769999999999</v>
      </c>
      <c r="D100" s="458" t="s">
        <v>115</v>
      </c>
      <c r="E100" s="459"/>
      <c r="F100" s="434"/>
      <c r="G100" s="460"/>
      <c r="H100" s="434"/>
      <c r="I100" s="578"/>
      <c r="J100" s="459"/>
      <c r="K100" s="434"/>
      <c r="L100" s="460"/>
      <c r="M100" s="434"/>
      <c r="N100" s="578"/>
      <c r="O100" s="459"/>
      <c r="P100" s="434"/>
      <c r="Q100" s="998"/>
      <c r="R100" s="434"/>
      <c r="S100" s="578"/>
      <c r="T100" s="459"/>
      <c r="U100" s="434"/>
      <c r="V100" s="998"/>
      <c r="W100" s="578"/>
      <c r="X100" s="578"/>
      <c r="Y100" s="459"/>
      <c r="Z100" s="434"/>
      <c r="AA100" s="460"/>
      <c r="AB100" s="461"/>
      <c r="AC100" s="460"/>
    </row>
    <row r="101" spans="2:29" x14ac:dyDescent="0.3">
      <c r="B101" s="16" t="s">
        <v>147</v>
      </c>
      <c r="C101" s="457">
        <f>168.03*'Arable Inputs'!$D$8</f>
        <v>189.87389999999999</v>
      </c>
      <c r="D101" s="489" t="s">
        <v>115</v>
      </c>
      <c r="E101" s="459"/>
      <c r="F101" s="434"/>
      <c r="G101" s="460"/>
      <c r="H101" s="434"/>
      <c r="I101" s="578"/>
      <c r="J101" s="459"/>
      <c r="K101" s="434"/>
      <c r="L101" s="460"/>
      <c r="M101" s="434"/>
      <c r="N101" s="578"/>
      <c r="O101" s="459"/>
      <c r="P101" s="434"/>
      <c r="Q101" s="998"/>
      <c r="R101" s="434"/>
      <c r="S101" s="578"/>
      <c r="T101" s="459"/>
      <c r="U101" s="434"/>
      <c r="V101" s="998"/>
      <c r="W101" s="578"/>
      <c r="X101" s="578"/>
      <c r="Y101" s="459"/>
      <c r="Z101" s="434"/>
      <c r="AA101" s="460"/>
      <c r="AB101" s="461"/>
      <c r="AC101" s="460"/>
    </row>
    <row r="102" spans="2:29" x14ac:dyDescent="0.3">
      <c r="B102" s="16" t="s">
        <v>179</v>
      </c>
      <c r="C102" s="457">
        <f>168.03*'Arable Inputs'!$D$8</f>
        <v>189.87389999999999</v>
      </c>
      <c r="D102" s="489" t="s">
        <v>115</v>
      </c>
      <c r="E102" s="459"/>
      <c r="F102" s="434"/>
      <c r="G102" s="460"/>
      <c r="H102" s="434"/>
      <c r="I102" s="578"/>
      <c r="J102" s="459"/>
      <c r="K102" s="434"/>
      <c r="L102" s="460"/>
      <c r="M102" s="434"/>
      <c r="N102" s="578"/>
      <c r="O102" s="459"/>
      <c r="P102" s="434"/>
      <c r="Q102" s="998"/>
      <c r="R102" s="434"/>
      <c r="S102" s="578"/>
      <c r="T102" s="459"/>
      <c r="U102" s="434"/>
      <c r="V102" s="998"/>
      <c r="W102" s="578"/>
      <c r="X102" s="578"/>
      <c r="Y102" s="459">
        <v>1</v>
      </c>
      <c r="Z102" s="462">
        <v>1</v>
      </c>
      <c r="AA102" s="998">
        <f>IF(Z102&gt;=1,CHOOSE(Y102,$C102,$D102)*Z102)</f>
        <v>189.87389999999999</v>
      </c>
      <c r="AB102" s="836">
        <v>1.5</v>
      </c>
      <c r="AC102" s="998">
        <f>AB102*$C$4</f>
        <v>21.75</v>
      </c>
    </row>
    <row r="103" spans="2:29" x14ac:dyDescent="0.3">
      <c r="B103" s="16" t="s">
        <v>202</v>
      </c>
      <c r="C103" s="501">
        <f>42.05*'Arable Inputs'!$D$8</f>
        <v>47.516499999999994</v>
      </c>
      <c r="D103" s="502">
        <f>35.63*'Arable Inputs'!$D$8</f>
        <v>40.261899999999997</v>
      </c>
      <c r="E103" s="459">
        <v>2</v>
      </c>
      <c r="F103" s="462">
        <v>1</v>
      </c>
      <c r="G103" s="998">
        <f>IF(F103&gt;=1,CHOOSE(E103,$C103,$D103)*F103)</f>
        <v>40.261899999999997</v>
      </c>
      <c r="H103" s="809">
        <v>1</v>
      </c>
      <c r="I103" s="578">
        <f>H103*$C$4</f>
        <v>14.5</v>
      </c>
      <c r="J103" s="459">
        <v>2</v>
      </c>
      <c r="K103" s="462">
        <v>1</v>
      </c>
      <c r="L103" s="998">
        <f>IF(K103&gt;=1,CHOOSE(J103,$C103,$D103)*K103)</f>
        <v>40.261899999999997</v>
      </c>
      <c r="M103" s="809">
        <v>1</v>
      </c>
      <c r="N103" s="578">
        <f>M103*$C$4</f>
        <v>14.5</v>
      </c>
      <c r="O103" s="459"/>
      <c r="P103" s="434"/>
      <c r="Q103" s="998"/>
      <c r="R103" s="434"/>
      <c r="S103" s="578"/>
      <c r="T103" s="459">
        <v>2</v>
      </c>
      <c r="U103" s="462">
        <v>1</v>
      </c>
      <c r="V103" s="998">
        <f>IF(U103&gt;=1,CHOOSE(T103,$C103,$D103)*U103)</f>
        <v>40.261899999999997</v>
      </c>
      <c r="W103" s="812">
        <v>0.4</v>
      </c>
      <c r="X103" s="578">
        <f>W103*$C$4</f>
        <v>5.8000000000000007</v>
      </c>
      <c r="Y103" s="459"/>
      <c r="Z103" s="434"/>
      <c r="AA103" s="998"/>
      <c r="AB103" s="461"/>
      <c r="AC103" s="998"/>
    </row>
    <row r="104" spans="2:29" x14ac:dyDescent="0.3">
      <c r="B104" s="16" t="s">
        <v>95</v>
      </c>
      <c r="C104" s="501">
        <f>42.05*'Arable Inputs'!$D$8</f>
        <v>47.516499999999994</v>
      </c>
      <c r="D104" s="502">
        <f>35.63*'Arable Inputs'!$D$8</f>
        <v>40.261899999999997</v>
      </c>
      <c r="E104" s="459">
        <v>2</v>
      </c>
      <c r="F104" s="462">
        <v>3</v>
      </c>
      <c r="G104" s="998">
        <f>IF(F104&gt;=1,CHOOSE(E104,$C104,$D104)*F104)</f>
        <v>120.78569999999999</v>
      </c>
      <c r="H104" s="812">
        <v>0.7</v>
      </c>
      <c r="I104" s="578">
        <f>H104*$C$4</f>
        <v>10.149999999999999</v>
      </c>
      <c r="J104" s="459">
        <v>2</v>
      </c>
      <c r="K104" s="500">
        <v>3</v>
      </c>
      <c r="L104" s="998">
        <f>IF(K104&gt;=1,CHOOSE(J104,$C104,$D104)*K104)</f>
        <v>120.78569999999999</v>
      </c>
      <c r="M104" s="812">
        <v>0.7</v>
      </c>
      <c r="N104" s="578">
        <f>M104*$C$4</f>
        <v>10.149999999999999</v>
      </c>
      <c r="O104" s="459">
        <v>2</v>
      </c>
      <c r="P104" s="500">
        <v>1</v>
      </c>
      <c r="Q104" s="998">
        <f>IF(P104&gt;=1,CHOOSE(O104,$C104,$D104)*P104)</f>
        <v>40.261899999999997</v>
      </c>
      <c r="R104" s="812">
        <f>1.6+0.5</f>
        <v>2.1</v>
      </c>
      <c r="S104" s="578">
        <f>R104*$C$4</f>
        <v>30.450000000000003</v>
      </c>
      <c r="T104" s="459">
        <v>2</v>
      </c>
      <c r="U104" s="462">
        <v>2</v>
      </c>
      <c r="V104" s="998">
        <f>IF(U104&gt;=1,CHOOSE(T104,$C104,$D104)*U104)</f>
        <v>80.523799999999994</v>
      </c>
      <c r="W104" s="812">
        <f>0.6*U104</f>
        <v>1.2</v>
      </c>
      <c r="X104" s="578">
        <f>W104*$C$4</f>
        <v>17.399999999999999</v>
      </c>
      <c r="Y104" s="459"/>
      <c r="Z104" s="434"/>
      <c r="AA104" s="998"/>
      <c r="AB104" s="461"/>
      <c r="AC104" s="998"/>
    </row>
    <row r="105" spans="2:29" x14ac:dyDescent="0.3">
      <c r="B105" s="431" t="s">
        <v>178</v>
      </c>
      <c r="C105" s="468"/>
      <c r="D105" s="468"/>
      <c r="E105" s="469"/>
      <c r="F105" s="429" t="s">
        <v>9</v>
      </c>
      <c r="G105" s="826">
        <f>SUM(G84:G104)</f>
        <v>262.86059999999998</v>
      </c>
      <c r="H105" s="431">
        <f>SUM(H84:H104)</f>
        <v>3.2</v>
      </c>
      <c r="I105" s="839">
        <f>SUM(I84:I104)</f>
        <v>46.4</v>
      </c>
      <c r="J105" s="472"/>
      <c r="K105" s="429"/>
      <c r="L105" s="826">
        <f>SUM(L84:L104)</f>
        <v>262.86059999999998</v>
      </c>
      <c r="M105" s="431">
        <f>SUM(M84:M104)</f>
        <v>3.2</v>
      </c>
      <c r="N105" s="839">
        <f>SUM(N84:N104)</f>
        <v>46.4</v>
      </c>
      <c r="O105" s="472"/>
      <c r="P105" s="429"/>
      <c r="Q105" s="826">
        <f>SUM(Q84:Q104)</f>
        <v>142.07489999999999</v>
      </c>
      <c r="R105" s="431">
        <f>SUM(R84:R104)</f>
        <v>4.5</v>
      </c>
      <c r="S105" s="839">
        <f>SUM(S84:S104)</f>
        <v>65.25</v>
      </c>
      <c r="T105" s="472"/>
      <c r="U105" s="429"/>
      <c r="V105" s="826">
        <f>SUM(V84:V104)</f>
        <v>394.5055999999999</v>
      </c>
      <c r="W105" s="808">
        <f>SUM(W84:W104)</f>
        <v>3.5999999999999996</v>
      </c>
      <c r="X105" s="839">
        <f>SUM(X84:X104)</f>
        <v>52.199999999999996</v>
      </c>
      <c r="Y105" s="472"/>
      <c r="Z105" s="429"/>
      <c r="AA105" s="843">
        <f>175*'Arable Inputs'!D8</f>
        <v>197.74999999999997</v>
      </c>
      <c r="AB105" s="431">
        <f>SUM(AB84:AB104)</f>
        <v>1.5</v>
      </c>
      <c r="AC105" s="826">
        <f>SUM(AC84:AC104)</f>
        <v>21.75</v>
      </c>
    </row>
    <row r="106" spans="2:29" s="39" customFormat="1" x14ac:dyDescent="0.3">
      <c r="B106" s="96"/>
      <c r="C106" s="503"/>
      <c r="D106" s="503"/>
      <c r="E106" s="504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6"/>
    </row>
    <row r="107" spans="2:29" x14ac:dyDescent="0.3">
      <c r="B107" s="431" t="s">
        <v>180</v>
      </c>
      <c r="C107" s="468"/>
      <c r="D107" s="468"/>
      <c r="E107" s="468"/>
      <c r="F107" s="429"/>
      <c r="G107" s="429"/>
      <c r="H107" s="429"/>
      <c r="I107" s="429"/>
      <c r="J107" s="429"/>
      <c r="K107" s="429"/>
      <c r="L107" s="429"/>
      <c r="M107" s="429"/>
      <c r="N107" s="429"/>
      <c r="O107" s="429"/>
      <c r="P107" s="429"/>
      <c r="Q107" s="429"/>
      <c r="R107" s="429"/>
      <c r="S107" s="429"/>
      <c r="T107" s="429"/>
      <c r="U107" s="429"/>
      <c r="V107" s="429"/>
      <c r="W107" s="429"/>
      <c r="X107" s="429"/>
      <c r="Y107" s="429"/>
      <c r="Z107" s="429"/>
      <c r="AA107" s="429"/>
      <c r="AB107" s="429"/>
      <c r="AC107" s="470"/>
    </row>
    <row r="108" spans="2:29" x14ac:dyDescent="0.3">
      <c r="B108" s="16" t="s">
        <v>150</v>
      </c>
      <c r="C108" s="457">
        <f>44.88*'Arable Inputs'!$D$8</f>
        <v>50.714399999999998</v>
      </c>
      <c r="D108" s="489" t="s">
        <v>115</v>
      </c>
      <c r="E108" s="490"/>
      <c r="F108" s="505"/>
      <c r="G108" s="507"/>
      <c r="H108" s="505"/>
      <c r="I108" s="505"/>
      <c r="J108" s="508"/>
      <c r="K108" s="505"/>
      <c r="L108" s="507"/>
      <c r="M108" s="505"/>
      <c r="N108" s="505"/>
      <c r="O108" s="508"/>
      <c r="P108" s="505"/>
      <c r="Q108" s="507"/>
      <c r="R108" s="505"/>
      <c r="S108" s="505"/>
      <c r="T108" s="508"/>
      <c r="U108" s="505"/>
      <c r="V108" s="507"/>
      <c r="W108" s="505"/>
      <c r="X108" s="505"/>
      <c r="Y108" s="508"/>
      <c r="Z108" s="505"/>
      <c r="AA108" s="507"/>
      <c r="AB108" s="505"/>
      <c r="AC108" s="506"/>
    </row>
    <row r="109" spans="2:29" x14ac:dyDescent="0.3">
      <c r="B109" s="16" t="s">
        <v>63</v>
      </c>
      <c r="C109" s="457">
        <f>32.27*'Arable Inputs'!$D$8</f>
        <v>36.4651</v>
      </c>
      <c r="D109" s="458">
        <f>21.44*'Arable Inputs'!$D$8</f>
        <v>24.2272</v>
      </c>
      <c r="E109" s="490"/>
      <c r="F109" s="505"/>
      <c r="G109" s="506"/>
      <c r="H109" s="505"/>
      <c r="I109" s="505"/>
      <c r="J109" s="508"/>
      <c r="K109" s="505"/>
      <c r="L109" s="506"/>
      <c r="M109" s="505"/>
      <c r="N109" s="505"/>
      <c r="O109" s="508"/>
      <c r="P109" s="505"/>
      <c r="Q109" s="506"/>
      <c r="R109" s="505"/>
      <c r="S109" s="505"/>
      <c r="T109" s="508"/>
      <c r="U109" s="505"/>
      <c r="V109" s="506"/>
      <c r="W109" s="505"/>
      <c r="X109" s="505"/>
      <c r="Y109" s="508"/>
      <c r="Z109" s="505"/>
      <c r="AA109" s="506"/>
      <c r="AB109" s="505"/>
      <c r="AC109" s="506"/>
    </row>
    <row r="110" spans="2:29" x14ac:dyDescent="0.3">
      <c r="B110" s="16" t="s">
        <v>64</v>
      </c>
      <c r="C110" s="457">
        <f>29.18*'Arable Inputs'!$D$8</f>
        <v>32.973399999999998</v>
      </c>
      <c r="D110" s="458">
        <f>30.24*'Arable Inputs'!$D$8</f>
        <v>34.171199999999992</v>
      </c>
      <c r="E110" s="490"/>
      <c r="F110" s="505"/>
      <c r="G110" s="506"/>
      <c r="H110" s="505"/>
      <c r="I110" s="505"/>
      <c r="J110" s="508"/>
      <c r="K110" s="505"/>
      <c r="L110" s="506"/>
      <c r="M110" s="505"/>
      <c r="N110" s="505"/>
      <c r="O110" s="508"/>
      <c r="P110" s="505"/>
      <c r="Q110" s="506"/>
      <c r="R110" s="505"/>
      <c r="S110" s="505"/>
      <c r="T110" s="508"/>
      <c r="U110" s="505"/>
      <c r="V110" s="506"/>
      <c r="W110" s="505"/>
      <c r="X110" s="505"/>
      <c r="Y110" s="508"/>
      <c r="Z110" s="505"/>
      <c r="AA110" s="506"/>
      <c r="AB110" s="505"/>
      <c r="AC110" s="506"/>
    </row>
    <row r="111" spans="2:29" x14ac:dyDescent="0.3">
      <c r="B111" s="16" t="s">
        <v>65</v>
      </c>
      <c r="C111" s="457">
        <f>16.58*'Arable Inputs'!$D$8</f>
        <v>18.735399999999995</v>
      </c>
      <c r="D111" s="458">
        <f>14.51*'Arable Inputs'!$D$8</f>
        <v>16.396299999999997</v>
      </c>
      <c r="E111" s="490"/>
      <c r="F111" s="505"/>
      <c r="G111" s="506"/>
      <c r="H111" s="505"/>
      <c r="I111" s="505"/>
      <c r="J111" s="508"/>
      <c r="K111" s="505"/>
      <c r="L111" s="506"/>
      <c r="M111" s="505"/>
      <c r="N111" s="505"/>
      <c r="O111" s="508"/>
      <c r="P111" s="505"/>
      <c r="Q111" s="506"/>
      <c r="R111" s="505"/>
      <c r="S111" s="505"/>
      <c r="T111" s="508"/>
      <c r="U111" s="505"/>
      <c r="V111" s="506"/>
      <c r="W111" s="505"/>
      <c r="X111" s="505"/>
      <c r="Y111" s="508"/>
      <c r="Z111" s="505"/>
      <c r="AA111" s="506"/>
      <c r="AB111" s="505"/>
      <c r="AC111" s="506"/>
    </row>
    <row r="112" spans="2:29" x14ac:dyDescent="0.3">
      <c r="B112" s="16" t="s">
        <v>66</v>
      </c>
      <c r="C112" s="457">
        <f>19.94*'Arable Inputs'!$D$8</f>
        <v>22.5322</v>
      </c>
      <c r="D112" s="458">
        <f>20.13*'Arable Inputs'!$D$8</f>
        <v>22.746899999999997</v>
      </c>
      <c r="E112" s="490"/>
      <c r="F112" s="505"/>
      <c r="G112" s="506"/>
      <c r="H112" s="505"/>
      <c r="I112" s="505"/>
      <c r="J112" s="508"/>
      <c r="K112" s="505"/>
      <c r="L112" s="506"/>
      <c r="M112" s="505"/>
      <c r="N112" s="505"/>
      <c r="O112" s="508"/>
      <c r="P112" s="505"/>
      <c r="Q112" s="506"/>
      <c r="R112" s="505"/>
      <c r="S112" s="505"/>
      <c r="T112" s="508"/>
      <c r="U112" s="505"/>
      <c r="V112" s="506"/>
      <c r="W112" s="505"/>
      <c r="X112" s="505"/>
      <c r="Y112" s="508"/>
      <c r="Z112" s="505"/>
      <c r="AA112" s="506"/>
      <c r="AB112" s="505"/>
      <c r="AC112" s="506"/>
    </row>
    <row r="113" spans="2:29" x14ac:dyDescent="0.3">
      <c r="B113" s="16" t="s">
        <v>148</v>
      </c>
      <c r="C113" s="457">
        <f>160.62*'Arable Inputs'!$D$8</f>
        <v>181.50059999999999</v>
      </c>
      <c r="D113" s="489" t="s">
        <v>115</v>
      </c>
      <c r="E113" s="490"/>
      <c r="F113" s="434"/>
      <c r="G113" s="460"/>
      <c r="H113" s="434"/>
      <c r="I113" s="434"/>
      <c r="J113" s="459"/>
      <c r="K113" s="434"/>
      <c r="L113" s="460"/>
      <c r="M113" s="434"/>
      <c r="N113" s="434"/>
      <c r="O113" s="459"/>
      <c r="P113" s="434"/>
      <c r="Q113" s="460"/>
      <c r="R113" s="434"/>
      <c r="S113" s="434"/>
      <c r="T113" s="459"/>
      <c r="U113" s="434"/>
      <c r="V113" s="460"/>
      <c r="W113" s="434"/>
      <c r="X113" s="434"/>
      <c r="Y113" s="459"/>
      <c r="Z113" s="434"/>
      <c r="AA113" s="460"/>
      <c r="AB113" s="461"/>
      <c r="AC113" s="460"/>
    </row>
    <row r="114" spans="2:29" x14ac:dyDescent="0.3">
      <c r="B114" s="16" t="s">
        <v>149</v>
      </c>
      <c r="C114" s="488">
        <f>40.5*'Arable Inputs'!$D$8</f>
        <v>45.764999999999993</v>
      </c>
      <c r="D114" s="489" t="s">
        <v>115</v>
      </c>
      <c r="E114" s="490"/>
      <c r="F114" s="505"/>
      <c r="G114" s="506"/>
      <c r="H114" s="505"/>
      <c r="I114" s="505"/>
      <c r="J114" s="508"/>
      <c r="K114" s="505"/>
      <c r="L114" s="506"/>
      <c r="M114" s="505"/>
      <c r="N114" s="505"/>
      <c r="O114" s="508"/>
      <c r="P114" s="505"/>
      <c r="Q114" s="506"/>
      <c r="R114" s="505"/>
      <c r="S114" s="505"/>
      <c r="T114" s="508"/>
      <c r="U114" s="505"/>
      <c r="V114" s="506"/>
      <c r="W114" s="505"/>
      <c r="X114" s="505"/>
      <c r="Y114" s="508"/>
      <c r="Z114" s="505"/>
      <c r="AA114" s="506"/>
      <c r="AB114" s="505"/>
      <c r="AC114" s="506"/>
    </row>
    <row r="115" spans="2:29" x14ac:dyDescent="0.3">
      <c r="B115" s="16" t="s">
        <v>151</v>
      </c>
      <c r="C115" s="488">
        <f>110*'Arable Inputs'!$D$8</f>
        <v>124.29999999999998</v>
      </c>
      <c r="D115" s="489" t="s">
        <v>115</v>
      </c>
      <c r="E115" s="490"/>
      <c r="F115" s="505"/>
      <c r="G115" s="509"/>
      <c r="H115" s="505"/>
      <c r="I115" s="505"/>
      <c r="J115" s="508"/>
      <c r="K115" s="505"/>
      <c r="L115" s="509"/>
      <c r="M115" s="505"/>
      <c r="N115" s="505"/>
      <c r="O115" s="508"/>
      <c r="P115" s="505"/>
      <c r="Q115" s="509"/>
      <c r="R115" s="505"/>
      <c r="S115" s="505"/>
      <c r="T115" s="508"/>
      <c r="U115" s="505"/>
      <c r="V115" s="509"/>
      <c r="W115" s="505"/>
      <c r="X115" s="505"/>
      <c r="Y115" s="508"/>
      <c r="Z115" s="505"/>
      <c r="AA115" s="509"/>
      <c r="AB115" s="505"/>
      <c r="AC115" s="506"/>
    </row>
    <row r="116" spans="2:29" x14ac:dyDescent="0.3">
      <c r="B116" s="431" t="s">
        <v>181</v>
      </c>
      <c r="C116" s="481"/>
      <c r="D116" s="481"/>
      <c r="E116" s="485"/>
      <c r="F116" s="429" t="s">
        <v>9</v>
      </c>
      <c r="G116" s="470"/>
      <c r="H116" s="429"/>
      <c r="I116" s="429"/>
      <c r="J116" s="472"/>
      <c r="K116" s="429"/>
      <c r="L116" s="470"/>
      <c r="M116" s="429"/>
      <c r="N116" s="429"/>
      <c r="O116" s="472"/>
      <c r="P116" s="429"/>
      <c r="Q116" s="470"/>
      <c r="R116" s="429"/>
      <c r="S116" s="429"/>
      <c r="T116" s="472"/>
      <c r="U116" s="429"/>
      <c r="V116" s="470"/>
      <c r="W116" s="429"/>
      <c r="X116" s="429"/>
      <c r="Y116" s="472"/>
      <c r="Z116" s="429"/>
      <c r="AA116" s="470"/>
      <c r="AB116" s="429"/>
      <c r="AC116" s="470"/>
    </row>
    <row r="117" spans="2:29" x14ac:dyDescent="0.3">
      <c r="B117" s="431"/>
      <c r="C117" s="468"/>
      <c r="D117" s="468"/>
      <c r="E117" s="468"/>
      <c r="F117" s="429"/>
      <c r="G117" s="429"/>
      <c r="H117" s="429"/>
      <c r="I117" s="429"/>
      <c r="J117" s="429"/>
      <c r="K117" s="429"/>
      <c r="L117" s="429"/>
      <c r="M117" s="429"/>
      <c r="N117" s="429"/>
      <c r="O117" s="429"/>
      <c r="P117" s="429"/>
      <c r="Q117" s="429"/>
      <c r="R117" s="429"/>
      <c r="S117" s="429"/>
      <c r="T117" s="429"/>
      <c r="U117" s="429"/>
      <c r="V117" s="429"/>
      <c r="W117" s="429"/>
      <c r="X117" s="429"/>
      <c r="Y117" s="429"/>
      <c r="Z117" s="429"/>
      <c r="AA117" s="429"/>
      <c r="AB117" s="429"/>
      <c r="AC117" s="470"/>
    </row>
    <row r="118" spans="2:29" s="39" customFormat="1" x14ac:dyDescent="0.3">
      <c r="B118" s="431" t="s">
        <v>152</v>
      </c>
      <c r="C118" s="468"/>
      <c r="D118" s="468"/>
      <c r="E118" s="468"/>
      <c r="F118" s="430"/>
      <c r="G118" s="430"/>
      <c r="H118" s="430"/>
      <c r="I118" s="430"/>
      <c r="J118" s="430"/>
      <c r="K118" s="430"/>
      <c r="L118" s="430"/>
      <c r="M118" s="430"/>
      <c r="N118" s="430"/>
      <c r="O118" s="430"/>
      <c r="P118" s="430"/>
      <c r="Q118" s="430"/>
      <c r="R118" s="430"/>
      <c r="S118" s="430"/>
      <c r="T118" s="430"/>
      <c r="U118" s="430"/>
      <c r="V118" s="430"/>
      <c r="W118" s="430"/>
      <c r="X118" s="430"/>
      <c r="Y118" s="430"/>
      <c r="Z118" s="430"/>
      <c r="AA118" s="430"/>
      <c r="AB118" s="430"/>
      <c r="AC118" s="432"/>
    </row>
    <row r="119" spans="2:29" x14ac:dyDescent="0.3">
      <c r="B119" s="16" t="s">
        <v>153</v>
      </c>
      <c r="C119" s="457">
        <f>0.73*'Arable Inputs'!$D$8</f>
        <v>0.82489999999999986</v>
      </c>
      <c r="D119" s="458">
        <f>0.29*'Arable Inputs'!$D$8</f>
        <v>0.32769999999999994</v>
      </c>
      <c r="E119" s="459"/>
      <c r="F119" s="434"/>
      <c r="G119" s="460"/>
      <c r="H119" s="434"/>
      <c r="I119" s="434"/>
      <c r="J119" s="459"/>
      <c r="K119" s="434"/>
      <c r="L119" s="460"/>
      <c r="M119" s="434"/>
      <c r="N119" s="434"/>
      <c r="O119" s="459"/>
      <c r="P119" s="434"/>
      <c r="Q119" s="460"/>
      <c r="R119" s="434"/>
      <c r="S119" s="434"/>
      <c r="T119" s="459"/>
      <c r="U119" s="434"/>
      <c r="V119" s="460"/>
      <c r="W119" s="434"/>
      <c r="X119" s="434"/>
      <c r="Y119" s="459"/>
      <c r="Z119" s="434"/>
      <c r="AA119" s="460"/>
      <c r="AB119" s="461"/>
      <c r="AC119" s="460"/>
    </row>
    <row r="120" spans="2:29" x14ac:dyDescent="0.3">
      <c r="B120" s="16" t="s">
        <v>154</v>
      </c>
      <c r="C120" s="457">
        <f>3.97*'Arable Inputs'!$D$8</f>
        <v>4.4860999999999995</v>
      </c>
      <c r="D120" s="458" t="s">
        <v>115</v>
      </c>
      <c r="E120" s="459"/>
      <c r="F120" s="434"/>
      <c r="G120" s="460"/>
      <c r="H120" s="434"/>
      <c r="I120" s="434"/>
      <c r="J120" s="459"/>
      <c r="K120" s="434"/>
      <c r="L120" s="460"/>
      <c r="M120" s="434"/>
      <c r="N120" s="434"/>
      <c r="O120" s="459"/>
      <c r="P120" s="434"/>
      <c r="Q120" s="460"/>
      <c r="R120" s="434"/>
      <c r="S120" s="434"/>
      <c r="T120" s="459"/>
      <c r="U120" s="434"/>
      <c r="V120" s="460"/>
      <c r="W120" s="434"/>
      <c r="X120" s="434"/>
      <c r="Y120" s="459"/>
      <c r="Z120" s="434"/>
      <c r="AA120" s="460"/>
      <c r="AB120" s="461"/>
      <c r="AC120" s="460"/>
    </row>
    <row r="121" spans="2:29" x14ac:dyDescent="0.3">
      <c r="B121" s="16" t="s">
        <v>155</v>
      </c>
      <c r="C121" s="457">
        <f>4.66*'Arable Inputs'!$D$8</f>
        <v>5.2657999999999996</v>
      </c>
      <c r="D121" s="458">
        <f>3.53*'Arable Inputs'!$D$8</f>
        <v>3.9888999999999992</v>
      </c>
      <c r="E121" s="459"/>
      <c r="F121" s="434"/>
      <c r="G121" s="460"/>
      <c r="H121" s="434"/>
      <c r="I121" s="434"/>
      <c r="J121" s="459"/>
      <c r="K121" s="434"/>
      <c r="L121" s="460"/>
      <c r="M121" s="434"/>
      <c r="N121" s="434"/>
      <c r="O121" s="459"/>
      <c r="P121" s="434"/>
      <c r="Q121" s="460"/>
      <c r="R121" s="434"/>
      <c r="S121" s="434"/>
      <c r="T121" s="459"/>
      <c r="U121" s="434"/>
      <c r="V121" s="460"/>
      <c r="W121" s="434"/>
      <c r="X121" s="434"/>
      <c r="Y121" s="459"/>
      <c r="Z121" s="434"/>
      <c r="AA121" s="460"/>
      <c r="AB121" s="461"/>
      <c r="AC121" s="460"/>
    </row>
    <row r="122" spans="2:29" x14ac:dyDescent="0.3">
      <c r="B122" s="16" t="s">
        <v>156</v>
      </c>
      <c r="C122" s="457">
        <f>5.6*'Arable Inputs'!$D$8</f>
        <v>6.3279999999999994</v>
      </c>
      <c r="D122" s="458" t="s">
        <v>115</v>
      </c>
      <c r="E122" s="459"/>
      <c r="F122" s="434"/>
      <c r="G122" s="460"/>
      <c r="H122" s="434"/>
      <c r="I122" s="434"/>
      <c r="J122" s="459"/>
      <c r="K122" s="434"/>
      <c r="L122" s="460"/>
      <c r="M122" s="434"/>
      <c r="N122" s="434"/>
      <c r="O122" s="459"/>
      <c r="P122" s="434"/>
      <c r="Q122" s="460"/>
      <c r="R122" s="434"/>
      <c r="S122" s="434"/>
      <c r="T122" s="459"/>
      <c r="U122" s="434"/>
      <c r="V122" s="460"/>
      <c r="W122" s="434"/>
      <c r="X122" s="434"/>
      <c r="Y122" s="459"/>
      <c r="Z122" s="434"/>
      <c r="AA122" s="460"/>
      <c r="AB122" s="461"/>
      <c r="AC122" s="460"/>
    </row>
    <row r="123" spans="2:29" x14ac:dyDescent="0.3">
      <c r="B123" s="16" t="s">
        <v>157</v>
      </c>
      <c r="C123" s="457">
        <f>7.25*'Arable Inputs'!$D$8</f>
        <v>8.192499999999999</v>
      </c>
      <c r="D123" s="458" t="s">
        <v>115</v>
      </c>
      <c r="E123" s="459"/>
      <c r="F123" s="434"/>
      <c r="G123" s="460"/>
      <c r="H123" s="434"/>
      <c r="I123" s="434"/>
      <c r="J123" s="459"/>
      <c r="K123" s="434"/>
      <c r="L123" s="460"/>
      <c r="M123" s="434"/>
      <c r="N123" s="434"/>
      <c r="O123" s="459"/>
      <c r="P123" s="434"/>
      <c r="Q123" s="460"/>
      <c r="R123" s="434"/>
      <c r="S123" s="434"/>
      <c r="T123" s="459"/>
      <c r="U123" s="434"/>
      <c r="V123" s="460"/>
      <c r="W123" s="434"/>
      <c r="X123" s="434"/>
      <c r="Y123" s="459"/>
      <c r="Z123" s="434"/>
      <c r="AA123" s="460"/>
      <c r="AB123" s="461"/>
      <c r="AC123" s="460"/>
    </row>
    <row r="124" spans="2:29" x14ac:dyDescent="0.3">
      <c r="B124" s="16" t="s">
        <v>158</v>
      </c>
      <c r="C124" s="457">
        <f>2.98*'Arable Inputs'!$D$8</f>
        <v>3.3673999999999995</v>
      </c>
      <c r="D124" s="458" t="s">
        <v>115</v>
      </c>
      <c r="E124" s="459"/>
      <c r="F124" s="434"/>
      <c r="G124" s="460"/>
      <c r="H124" s="434"/>
      <c r="I124" s="434"/>
      <c r="J124" s="459"/>
      <c r="K124" s="434"/>
      <c r="L124" s="460"/>
      <c r="M124" s="434"/>
      <c r="N124" s="434"/>
      <c r="O124" s="459"/>
      <c r="P124" s="434"/>
      <c r="Q124" s="460"/>
      <c r="R124" s="434"/>
      <c r="S124" s="434"/>
      <c r="T124" s="459"/>
      <c r="U124" s="434"/>
      <c r="V124" s="460"/>
      <c r="W124" s="434"/>
      <c r="X124" s="434"/>
      <c r="Y124" s="459"/>
      <c r="Z124" s="434"/>
      <c r="AA124" s="460"/>
      <c r="AB124" s="461"/>
      <c r="AC124" s="460"/>
    </row>
    <row r="125" spans="2:29" x14ac:dyDescent="0.3">
      <c r="B125" s="16" t="s">
        <v>159</v>
      </c>
      <c r="C125" s="457">
        <f>3.48*'Arable Inputs'!$D$8</f>
        <v>3.9323999999999995</v>
      </c>
      <c r="D125" s="458">
        <f>2.25*'Arable Inputs'!$D$8</f>
        <v>2.5424999999999995</v>
      </c>
      <c r="E125" s="459">
        <v>2</v>
      </c>
      <c r="F125" s="464">
        <f>3500/350</f>
        <v>10</v>
      </c>
      <c r="G125" s="998">
        <f>IF(F125&gt;=1,CHOOSE(E125,$C125,$D125)*F125)</f>
        <v>25.424999999999997</v>
      </c>
      <c r="H125" s="809">
        <v>1.3</v>
      </c>
      <c r="I125" s="578">
        <f>H125*$C$4</f>
        <v>18.850000000000001</v>
      </c>
      <c r="J125" s="459"/>
      <c r="K125" s="605"/>
      <c r="L125" s="463"/>
      <c r="M125" s="813"/>
      <c r="N125" s="423"/>
      <c r="O125" s="459">
        <v>2</v>
      </c>
      <c r="P125" s="464">
        <f>2600/350</f>
        <v>7.4285714285714288</v>
      </c>
      <c r="Q125" s="998">
        <f>IF(P125&gt;=1,CHOOSE(O125,$C125,$D125)*P125)</f>
        <v>18.887142857142855</v>
      </c>
      <c r="R125" s="812">
        <f>1.3</f>
        <v>1.3</v>
      </c>
      <c r="S125" s="578">
        <f>R125*$C$4</f>
        <v>18.850000000000001</v>
      </c>
      <c r="T125" s="459"/>
      <c r="U125" s="434"/>
      <c r="V125" s="460"/>
      <c r="W125" s="434"/>
      <c r="X125" s="434"/>
      <c r="Y125" s="459"/>
      <c r="Z125" s="434"/>
      <c r="AA125" s="460"/>
      <c r="AB125" s="434"/>
      <c r="AC125" s="460"/>
    </row>
    <row r="126" spans="2:29" x14ac:dyDescent="0.3">
      <c r="B126" s="16" t="s">
        <v>160</v>
      </c>
      <c r="C126" s="457">
        <f>5.49*'Arable Inputs'!$D$8</f>
        <v>6.2036999999999995</v>
      </c>
      <c r="D126" s="458" t="s">
        <v>115</v>
      </c>
      <c r="E126" s="459"/>
      <c r="F126" s="434"/>
      <c r="G126" s="998"/>
      <c r="H126" s="434"/>
      <c r="I126" s="578"/>
      <c r="J126" s="459"/>
      <c r="K126" s="434"/>
      <c r="L126" s="460"/>
      <c r="M126" s="434"/>
      <c r="N126" s="434"/>
      <c r="O126" s="459"/>
      <c r="P126" s="434"/>
      <c r="Q126" s="998"/>
      <c r="R126" s="434"/>
      <c r="S126" s="578"/>
      <c r="T126" s="459"/>
      <c r="U126" s="434"/>
      <c r="V126" s="460"/>
      <c r="W126" s="434"/>
      <c r="X126" s="434"/>
      <c r="Y126" s="459"/>
      <c r="Z126" s="434"/>
      <c r="AA126" s="460"/>
      <c r="AB126" s="461"/>
      <c r="AC126" s="460"/>
    </row>
    <row r="127" spans="2:29" x14ac:dyDescent="0.3">
      <c r="B127" s="16" t="s">
        <v>161</v>
      </c>
      <c r="C127" s="457">
        <f>4.89*'Arable Inputs'!$D$8</f>
        <v>5.5256999999999987</v>
      </c>
      <c r="D127" s="458" t="s">
        <v>115</v>
      </c>
      <c r="E127" s="459"/>
      <c r="F127" s="434"/>
      <c r="G127" s="998"/>
      <c r="H127" s="434"/>
      <c r="I127" s="578"/>
      <c r="J127" s="459"/>
      <c r="K127" s="434"/>
      <c r="L127" s="460"/>
      <c r="M127" s="434"/>
      <c r="N127" s="434"/>
      <c r="O127" s="459"/>
      <c r="P127" s="434"/>
      <c r="Q127" s="998"/>
      <c r="R127" s="434"/>
      <c r="S127" s="578"/>
      <c r="T127" s="459"/>
      <c r="U127" s="434"/>
      <c r="V127" s="460"/>
      <c r="W127" s="434"/>
      <c r="X127" s="434"/>
      <c r="Y127" s="459"/>
      <c r="Z127" s="434"/>
      <c r="AA127" s="460"/>
      <c r="AB127" s="461"/>
      <c r="AC127" s="460"/>
    </row>
    <row r="128" spans="2:29" x14ac:dyDescent="0.3">
      <c r="B128" s="16" t="s">
        <v>162</v>
      </c>
      <c r="C128" s="457">
        <f>2.53*'Arable Inputs'!$D$8</f>
        <v>2.8588999999999993</v>
      </c>
      <c r="D128" s="458" t="s">
        <v>115</v>
      </c>
      <c r="E128" s="459"/>
      <c r="F128" s="434"/>
      <c r="G128" s="998"/>
      <c r="H128" s="434"/>
      <c r="I128" s="578"/>
      <c r="J128" s="459"/>
      <c r="K128" s="434"/>
      <c r="L128" s="460"/>
      <c r="M128" s="434"/>
      <c r="N128" s="434"/>
      <c r="O128" s="459"/>
      <c r="P128" s="434"/>
      <c r="Q128" s="998"/>
      <c r="R128" s="434"/>
      <c r="S128" s="578"/>
      <c r="T128" s="459"/>
      <c r="U128" s="434"/>
      <c r="V128" s="460"/>
      <c r="W128" s="434"/>
      <c r="X128" s="434"/>
      <c r="Y128" s="459"/>
      <c r="Z128" s="434"/>
      <c r="AA128" s="460"/>
      <c r="AB128" s="461"/>
      <c r="AC128" s="460"/>
    </row>
    <row r="129" spans="2:29" x14ac:dyDescent="0.3">
      <c r="B129" s="16" t="s">
        <v>163</v>
      </c>
      <c r="C129" s="457">
        <f>7*'Arable Inputs'!$D$8</f>
        <v>7.9099999999999993</v>
      </c>
      <c r="D129" s="458" t="s">
        <v>115</v>
      </c>
      <c r="E129" s="459"/>
      <c r="F129" s="434"/>
      <c r="G129" s="998"/>
      <c r="H129" s="434"/>
      <c r="I129" s="578"/>
      <c r="J129" s="459"/>
      <c r="K129" s="434"/>
      <c r="L129" s="460"/>
      <c r="M129" s="434"/>
      <c r="N129" s="434"/>
      <c r="O129" s="459"/>
      <c r="P129" s="434"/>
      <c r="Q129" s="998"/>
      <c r="R129" s="434"/>
      <c r="S129" s="578"/>
      <c r="T129" s="459"/>
      <c r="U129" s="434"/>
      <c r="V129" s="460"/>
      <c r="W129" s="434"/>
      <c r="X129" s="434"/>
      <c r="Y129" s="459"/>
      <c r="Z129" s="434"/>
      <c r="AA129" s="460"/>
      <c r="AB129" s="461"/>
      <c r="AC129" s="460"/>
    </row>
    <row r="130" spans="2:29" x14ac:dyDescent="0.3">
      <c r="B130" s="16" t="s">
        <v>164</v>
      </c>
      <c r="C130" s="457">
        <f>5.66*'Arable Inputs'!$D$8</f>
        <v>6.3957999999999995</v>
      </c>
      <c r="D130" s="458" t="s">
        <v>115</v>
      </c>
      <c r="E130" s="459"/>
      <c r="F130" s="434"/>
      <c r="G130" s="998"/>
      <c r="H130" s="434"/>
      <c r="I130" s="578"/>
      <c r="J130" s="459"/>
      <c r="K130" s="434"/>
      <c r="L130" s="460"/>
      <c r="M130" s="434"/>
      <c r="N130" s="434"/>
      <c r="O130" s="459"/>
      <c r="P130" s="434"/>
      <c r="Q130" s="998"/>
      <c r="R130" s="434"/>
      <c r="S130" s="578"/>
      <c r="T130" s="459"/>
      <c r="U130" s="434"/>
      <c r="V130" s="460"/>
      <c r="W130" s="434"/>
      <c r="X130" s="434"/>
      <c r="Y130" s="459"/>
      <c r="Z130" s="434"/>
      <c r="AA130" s="460"/>
      <c r="AB130" s="461"/>
      <c r="AC130" s="460"/>
    </row>
    <row r="131" spans="2:29" x14ac:dyDescent="0.3">
      <c r="B131" s="16" t="s">
        <v>165</v>
      </c>
      <c r="C131" s="457">
        <f>2.89*'Arable Inputs'!$D$8</f>
        <v>3.2656999999999998</v>
      </c>
      <c r="D131" s="458" t="s">
        <v>115</v>
      </c>
      <c r="E131" s="459"/>
      <c r="F131" s="434"/>
      <c r="G131" s="998"/>
      <c r="H131" s="434"/>
      <c r="I131" s="578"/>
      <c r="J131" s="459"/>
      <c r="K131" s="434"/>
      <c r="L131" s="460"/>
      <c r="M131" s="434"/>
      <c r="N131" s="434"/>
      <c r="O131" s="459"/>
      <c r="P131" s="434"/>
      <c r="Q131" s="998"/>
      <c r="R131" s="434"/>
      <c r="S131" s="578"/>
      <c r="T131" s="459"/>
      <c r="U131" s="434"/>
      <c r="V131" s="460"/>
      <c r="W131" s="434"/>
      <c r="X131" s="434"/>
      <c r="Y131" s="459"/>
      <c r="Z131" s="434"/>
      <c r="AA131" s="460"/>
      <c r="AB131" s="461"/>
      <c r="AC131" s="460"/>
    </row>
    <row r="132" spans="2:29" x14ac:dyDescent="0.3">
      <c r="B132" s="16" t="s">
        <v>166</v>
      </c>
      <c r="C132" s="457">
        <f>60*'Arable Inputs'!$D$8</f>
        <v>67.8</v>
      </c>
      <c r="D132" s="458" t="s">
        <v>115</v>
      </c>
      <c r="E132" s="459"/>
      <c r="F132" s="434"/>
      <c r="G132" s="998"/>
      <c r="H132" s="434"/>
      <c r="I132" s="578"/>
      <c r="J132" s="459"/>
      <c r="K132" s="434"/>
      <c r="L132" s="460"/>
      <c r="M132" s="434"/>
      <c r="N132" s="434"/>
      <c r="O132" s="459"/>
      <c r="P132" s="434"/>
      <c r="Q132" s="998"/>
      <c r="R132" s="434"/>
      <c r="S132" s="578"/>
      <c r="T132" s="459"/>
      <c r="U132" s="434"/>
      <c r="V132" s="460"/>
      <c r="W132" s="434"/>
      <c r="X132" s="434"/>
      <c r="Y132" s="459"/>
      <c r="Z132" s="434"/>
      <c r="AA132" s="460"/>
      <c r="AB132" s="461"/>
      <c r="AC132" s="460"/>
    </row>
    <row r="133" spans="2:29" x14ac:dyDescent="0.3">
      <c r="B133" s="16" t="s">
        <v>202</v>
      </c>
      <c r="C133" s="501">
        <f>42.05*'Arable Inputs'!$D$8</f>
        <v>47.516499999999994</v>
      </c>
      <c r="D133" s="502">
        <f>35.63*'Arable Inputs'!$D$8</f>
        <v>40.261899999999997</v>
      </c>
      <c r="E133" s="459">
        <v>2</v>
      </c>
      <c r="F133" s="462">
        <v>1</v>
      </c>
      <c r="G133" s="998">
        <f>IF(F133&gt;=1,CHOOSE(E133,$C133,$D133)*F133)</f>
        <v>40.261899999999997</v>
      </c>
      <c r="H133" s="809">
        <v>3.5</v>
      </c>
      <c r="I133" s="578">
        <f>H133*$C$4</f>
        <v>50.75</v>
      </c>
      <c r="J133" s="459"/>
      <c r="K133" s="434"/>
      <c r="L133" s="463"/>
      <c r="M133" s="813"/>
      <c r="N133" s="423"/>
      <c r="O133" s="459">
        <v>2</v>
      </c>
      <c r="P133" s="462">
        <v>1</v>
      </c>
      <c r="Q133" s="998">
        <f>IF(P133&gt;=1,CHOOSE(O133,$C133,$D133)*P133)</f>
        <v>40.261899999999997</v>
      </c>
      <c r="R133" s="809">
        <v>3.5</v>
      </c>
      <c r="S133" s="578">
        <f>R133*$C$4</f>
        <v>50.75</v>
      </c>
      <c r="T133" s="459"/>
      <c r="U133" s="434"/>
      <c r="V133" s="460"/>
      <c r="W133" s="434"/>
      <c r="X133" s="434"/>
      <c r="Y133" s="459"/>
      <c r="Z133" s="434"/>
      <c r="AA133" s="460"/>
      <c r="AB133" s="461"/>
      <c r="AC133" s="460"/>
    </row>
    <row r="134" spans="2:29" x14ac:dyDescent="0.3">
      <c r="B134" s="178" t="s">
        <v>167</v>
      </c>
      <c r="C134" s="468"/>
      <c r="D134" s="468"/>
      <c r="E134" s="469"/>
      <c r="F134" s="429" t="s">
        <v>9</v>
      </c>
      <c r="G134" s="826">
        <f>SUM(G119:G133)</f>
        <v>65.686899999999994</v>
      </c>
      <c r="H134" s="431">
        <f>SUM(H119:H133)</f>
        <v>4.8</v>
      </c>
      <c r="I134" s="839">
        <f>SUM(I119:I133)</f>
        <v>69.599999999999994</v>
      </c>
      <c r="J134" s="472"/>
      <c r="K134" s="429"/>
      <c r="L134" s="470"/>
      <c r="M134" s="431"/>
      <c r="N134" s="471"/>
      <c r="O134" s="472"/>
      <c r="P134" s="429"/>
      <c r="Q134" s="826">
        <f>SUM(Q119:Q133)</f>
        <v>59.149042857142852</v>
      </c>
      <c r="R134" s="480">
        <f>SUM(R119:R133)</f>
        <v>4.8</v>
      </c>
      <c r="S134" s="839">
        <f>SUM(S119:S133)</f>
        <v>69.599999999999994</v>
      </c>
      <c r="T134" s="472"/>
      <c r="U134" s="429"/>
      <c r="V134" s="470"/>
      <c r="W134" s="429"/>
      <c r="X134" s="429"/>
      <c r="Y134" s="472"/>
      <c r="Z134" s="429"/>
      <c r="AA134" s="470"/>
      <c r="AB134" s="429"/>
      <c r="AC134" s="470"/>
    </row>
    <row r="135" spans="2:29" s="39" customFormat="1" ht="15" customHeight="1" x14ac:dyDescent="0.3">
      <c r="B135" s="178"/>
      <c r="C135" s="468"/>
      <c r="D135" s="468"/>
      <c r="E135" s="468"/>
      <c r="F135" s="429"/>
      <c r="G135" s="429"/>
      <c r="H135" s="429"/>
      <c r="I135" s="429"/>
      <c r="J135" s="429"/>
      <c r="K135" s="429"/>
      <c r="L135" s="429"/>
      <c r="M135" s="429"/>
      <c r="N135" s="429"/>
      <c r="O135" s="429"/>
      <c r="P135" s="429"/>
      <c r="Q135" s="429"/>
      <c r="R135" s="429"/>
      <c r="S135" s="429"/>
      <c r="T135" s="429"/>
      <c r="U135" s="429"/>
      <c r="V135" s="429"/>
      <c r="W135" s="429"/>
      <c r="X135" s="429"/>
      <c r="Y135" s="429"/>
      <c r="Z135" s="429"/>
      <c r="AA135" s="429"/>
      <c r="AB135" s="429"/>
      <c r="AC135" s="470"/>
    </row>
    <row r="136" spans="2:29" s="39" customFormat="1" x14ac:dyDescent="0.3">
      <c r="B136" s="431" t="s">
        <v>62</v>
      </c>
      <c r="C136" s="468"/>
      <c r="D136" s="468"/>
      <c r="E136" s="468"/>
      <c r="F136" s="430"/>
      <c r="G136" s="430"/>
      <c r="H136" s="430"/>
      <c r="I136" s="430"/>
      <c r="J136" s="430"/>
      <c r="K136" s="430"/>
      <c r="L136" s="430"/>
      <c r="M136" s="430"/>
      <c r="N136" s="430"/>
      <c r="O136" s="430"/>
      <c r="P136" s="430"/>
      <c r="Q136" s="430"/>
      <c r="R136" s="430"/>
      <c r="S136" s="430"/>
      <c r="T136" s="430"/>
      <c r="U136" s="430"/>
      <c r="V136" s="430"/>
      <c r="W136" s="430"/>
      <c r="X136" s="430"/>
      <c r="Y136" s="430"/>
      <c r="Z136" s="430"/>
      <c r="AA136" s="430"/>
      <c r="AB136" s="430"/>
      <c r="AC136" s="432"/>
    </row>
    <row r="137" spans="2:29" x14ac:dyDescent="0.3">
      <c r="B137" s="16" t="s">
        <v>67</v>
      </c>
      <c r="C137" s="457">
        <f>(AVERAGE(1.5,2.5))*'Arable Inputs'!$D$8</f>
        <v>2.2599999999999998</v>
      </c>
      <c r="D137" s="458">
        <f>(AVERAGE(10/4,8,10))*'Arable Inputs'!$D$8</f>
        <v>7.7216666666666658</v>
      </c>
      <c r="E137" s="483"/>
      <c r="F137" s="434"/>
      <c r="G137" s="460"/>
      <c r="H137" s="434"/>
      <c r="I137" s="434"/>
      <c r="J137" s="459"/>
      <c r="K137" s="434"/>
      <c r="L137" s="460"/>
      <c r="M137" s="434"/>
      <c r="N137" s="434"/>
      <c r="O137" s="459"/>
      <c r="P137" s="434"/>
      <c r="Q137" s="460"/>
      <c r="R137" s="434"/>
      <c r="S137" s="434"/>
      <c r="T137" s="459"/>
      <c r="U137" s="434"/>
      <c r="V137" s="460"/>
      <c r="W137" s="434"/>
      <c r="X137" s="434"/>
      <c r="Y137" s="459"/>
      <c r="Z137" s="434"/>
      <c r="AA137" s="460"/>
      <c r="AB137" s="461"/>
      <c r="AC137" s="460"/>
    </row>
    <row r="138" spans="2:29" x14ac:dyDescent="0.3">
      <c r="B138" s="16" t="s">
        <v>68</v>
      </c>
      <c r="C138" s="457">
        <f>(AVERAGE(2,2.5))*'Arable Inputs'!$D$8</f>
        <v>2.5424999999999995</v>
      </c>
      <c r="D138" s="458">
        <f>(AVERAGE(2,4))*'Arable Inputs'!$D$8</f>
        <v>3.3899999999999997</v>
      </c>
      <c r="E138" s="483"/>
      <c r="F138" s="434"/>
      <c r="G138" s="460"/>
      <c r="H138" s="434"/>
      <c r="I138" s="434"/>
      <c r="J138" s="459"/>
      <c r="K138" s="434"/>
      <c r="L138" s="460"/>
      <c r="M138" s="434"/>
      <c r="N138" s="434"/>
      <c r="O138" s="459"/>
      <c r="P138" s="434"/>
      <c r="Q138" s="460"/>
      <c r="R138" s="434"/>
      <c r="S138" s="434"/>
      <c r="T138" s="459"/>
      <c r="U138" s="434"/>
      <c r="V138" s="460"/>
      <c r="W138" s="434"/>
      <c r="X138" s="434"/>
      <c r="Y138" s="459"/>
      <c r="Z138" s="434"/>
      <c r="AA138" s="460"/>
      <c r="AB138" s="461"/>
      <c r="AC138" s="460"/>
    </row>
    <row r="139" spans="2:29" x14ac:dyDescent="0.3">
      <c r="B139" s="16" t="s">
        <v>69</v>
      </c>
      <c r="C139" s="457">
        <f>(AVERAGE(2,2.5))*'Arable Inputs'!$D$8</f>
        <v>2.5424999999999995</v>
      </c>
      <c r="D139" s="458">
        <f>(AVERAGE(2,4))*'Arable Inputs'!$D$8</f>
        <v>3.3899999999999997</v>
      </c>
      <c r="E139" s="483"/>
      <c r="F139" s="434"/>
      <c r="G139" s="460"/>
      <c r="H139" s="434"/>
      <c r="I139" s="434"/>
      <c r="J139" s="459"/>
      <c r="K139" s="434"/>
      <c r="L139" s="460"/>
      <c r="M139" s="434"/>
      <c r="N139" s="434"/>
      <c r="O139" s="459"/>
      <c r="P139" s="434"/>
      <c r="Q139" s="460"/>
      <c r="R139" s="434"/>
      <c r="S139" s="434"/>
      <c r="T139" s="459"/>
      <c r="U139" s="434"/>
      <c r="V139" s="460"/>
      <c r="W139" s="434"/>
      <c r="X139" s="434"/>
      <c r="Y139" s="459"/>
      <c r="Z139" s="434"/>
      <c r="AA139" s="460"/>
      <c r="AB139" s="461"/>
      <c r="AC139" s="460"/>
    </row>
    <row r="140" spans="2:29" x14ac:dyDescent="0.3">
      <c r="B140" s="16" t="s">
        <v>239</v>
      </c>
      <c r="C140" s="457">
        <f>(AVERAGE(10,15))*'Arable Inputs'!$D$8</f>
        <v>14.124999999999998</v>
      </c>
      <c r="D140" s="458">
        <f>(AVERAGE(2,4))*'Arable Inputs'!$D$8</f>
        <v>3.3899999999999997</v>
      </c>
      <c r="E140" s="483"/>
      <c r="F140" s="427"/>
      <c r="G140" s="434"/>
      <c r="H140" s="77"/>
      <c r="I140" s="434"/>
      <c r="J140" s="459"/>
      <c r="K140" s="427"/>
      <c r="L140" s="434"/>
      <c r="M140" s="77"/>
      <c r="N140" s="434"/>
      <c r="O140" s="459">
        <v>2</v>
      </c>
      <c r="P140" s="510">
        <f>'Arable Inputs'!F19</f>
        <v>2.6</v>
      </c>
      <c r="Q140" s="998">
        <f>IF(P140&gt;=1,CHOOSE(O140,$C140,$D140)*P140)</f>
        <v>8.8140000000000001</v>
      </c>
      <c r="R140" s="811">
        <v>1.4</v>
      </c>
      <c r="S140" s="578">
        <f>R140*$C$4</f>
        <v>20.299999999999997</v>
      </c>
      <c r="T140" s="459"/>
      <c r="U140" s="427"/>
      <c r="V140" s="434"/>
      <c r="W140" s="77"/>
      <c r="X140" s="434"/>
      <c r="Y140" s="459"/>
      <c r="Z140" s="427"/>
      <c r="AA140" s="434"/>
      <c r="AB140" s="77"/>
      <c r="AC140" s="460"/>
    </row>
    <row r="141" spans="2:29" x14ac:dyDescent="0.3">
      <c r="B141" s="431" t="s">
        <v>200</v>
      </c>
      <c r="C141" s="468"/>
      <c r="D141" s="468"/>
      <c r="E141" s="469"/>
      <c r="F141" s="429" t="s">
        <v>9</v>
      </c>
      <c r="G141" s="470"/>
      <c r="H141" s="429"/>
      <c r="I141" s="429"/>
      <c r="J141" s="472"/>
      <c r="K141" s="429"/>
      <c r="L141" s="470"/>
      <c r="M141" s="429"/>
      <c r="N141" s="429"/>
      <c r="O141" s="472"/>
      <c r="P141" s="429"/>
      <c r="Q141" s="826">
        <f>SUM(Q137:Q140)</f>
        <v>8.8140000000000001</v>
      </c>
      <c r="R141" s="480">
        <f>SUM(R137:R140)</f>
        <v>1.4</v>
      </c>
      <c r="S141" s="839">
        <f>SUM(S137:S140)</f>
        <v>20.299999999999997</v>
      </c>
      <c r="T141" s="472"/>
      <c r="U141" s="429"/>
      <c r="V141" s="470"/>
      <c r="W141" s="429"/>
      <c r="X141" s="429"/>
      <c r="Y141" s="472"/>
      <c r="Z141" s="429"/>
      <c r="AA141" s="470"/>
      <c r="AB141" s="429"/>
      <c r="AC141" s="470"/>
    </row>
    <row r="142" spans="2:29" s="39" customFormat="1" x14ac:dyDescent="0.3">
      <c r="B142" s="178"/>
      <c r="C142" s="468"/>
      <c r="D142" s="468"/>
      <c r="E142" s="468"/>
      <c r="F142" s="429"/>
      <c r="G142" s="429"/>
      <c r="H142" s="429"/>
      <c r="I142" s="429"/>
      <c r="J142" s="429"/>
      <c r="K142" s="429"/>
      <c r="L142" s="429"/>
      <c r="M142" s="429"/>
      <c r="N142" s="429"/>
      <c r="O142" s="429"/>
      <c r="P142" s="429"/>
      <c r="Q142" s="839"/>
      <c r="R142" s="429"/>
      <c r="S142" s="429"/>
      <c r="T142" s="429"/>
      <c r="U142" s="429"/>
      <c r="V142" s="429"/>
      <c r="W142" s="429"/>
      <c r="X142" s="429"/>
      <c r="Y142" s="429"/>
      <c r="Z142" s="429"/>
      <c r="AA142" s="429"/>
      <c r="AB142" s="429"/>
      <c r="AC142" s="470"/>
    </row>
    <row r="143" spans="2:29" x14ac:dyDescent="0.3">
      <c r="B143" s="178"/>
      <c r="C143" s="468"/>
      <c r="D143" s="468"/>
      <c r="E143" s="468"/>
      <c r="F143" s="429"/>
      <c r="G143" s="429"/>
      <c r="H143" s="429"/>
      <c r="I143" s="429"/>
      <c r="J143" s="429"/>
      <c r="K143" s="429"/>
      <c r="L143" s="429"/>
      <c r="M143" s="429"/>
      <c r="N143" s="429"/>
      <c r="O143" s="429"/>
      <c r="P143" s="429"/>
      <c r="Q143" s="429"/>
      <c r="R143" s="429"/>
      <c r="S143" s="429"/>
      <c r="T143" s="429"/>
      <c r="U143" s="429"/>
      <c r="V143" s="429"/>
      <c r="W143" s="429"/>
      <c r="X143" s="429"/>
      <c r="Y143" s="429"/>
      <c r="Z143" s="429"/>
      <c r="AA143" s="429"/>
      <c r="AB143" s="429"/>
      <c r="AC143" s="470"/>
    </row>
    <row r="144" spans="2:29" x14ac:dyDescent="0.3">
      <c r="B144" s="431" t="s">
        <v>183</v>
      </c>
      <c r="C144" s="468"/>
      <c r="D144" s="468"/>
      <c r="E144" s="468"/>
      <c r="F144" s="430"/>
      <c r="G144" s="430"/>
      <c r="H144" s="430"/>
      <c r="I144" s="430"/>
      <c r="J144" s="430"/>
      <c r="K144" s="430"/>
      <c r="L144" s="430"/>
      <c r="M144" s="430"/>
      <c r="N144" s="430"/>
      <c r="O144" s="430"/>
      <c r="P144" s="430"/>
      <c r="Q144" s="430"/>
      <c r="R144" s="430"/>
      <c r="S144" s="430"/>
      <c r="T144" s="430"/>
      <c r="U144" s="430"/>
      <c r="V144" s="430"/>
      <c r="W144" s="430"/>
      <c r="X144" s="430"/>
      <c r="Y144" s="430"/>
      <c r="Z144" s="430"/>
      <c r="AA144" s="430"/>
      <c r="AB144" s="430"/>
      <c r="AC144" s="432"/>
    </row>
    <row r="145" spans="2:29" x14ac:dyDescent="0.3">
      <c r="B145" s="16" t="s">
        <v>185</v>
      </c>
      <c r="C145" s="457">
        <f>39.7*'Arable Inputs'!$D$8</f>
        <v>44.860999999999997</v>
      </c>
      <c r="D145" s="458">
        <f>44.51*'Arable Inputs'!$D$8</f>
        <v>50.296299999999995</v>
      </c>
      <c r="E145" s="483"/>
      <c r="F145" s="475"/>
      <c r="G145" s="476"/>
      <c r="H145" s="434"/>
      <c r="I145" s="434"/>
      <c r="J145" s="459"/>
      <c r="K145" s="475"/>
      <c r="L145" s="476"/>
      <c r="M145" s="434"/>
      <c r="N145" s="434"/>
      <c r="O145" s="459"/>
      <c r="P145" s="475"/>
      <c r="Q145" s="476"/>
      <c r="R145" s="434"/>
      <c r="S145" s="434"/>
      <c r="T145" s="459"/>
      <c r="U145" s="475"/>
      <c r="V145" s="476"/>
      <c r="W145" s="434"/>
      <c r="X145" s="434"/>
      <c r="Y145" s="459"/>
      <c r="Z145" s="475"/>
      <c r="AA145" s="476"/>
      <c r="AB145" s="461"/>
      <c r="AC145" s="460"/>
    </row>
    <row r="146" spans="2:29" x14ac:dyDescent="0.3">
      <c r="B146" s="16" t="s">
        <v>186</v>
      </c>
      <c r="C146" s="457">
        <f>49.56*'Arable Inputs'!$D$8</f>
        <v>56.002800000000001</v>
      </c>
      <c r="D146" s="458">
        <f>53.59*'Arable Inputs'!$D$8</f>
        <v>60.556699999999999</v>
      </c>
      <c r="E146" s="483"/>
      <c r="F146" s="434"/>
      <c r="G146" s="460"/>
      <c r="H146" s="434"/>
      <c r="I146" s="434"/>
      <c r="J146" s="459"/>
      <c r="K146" s="434"/>
      <c r="L146" s="460"/>
      <c r="M146" s="434"/>
      <c r="N146" s="434"/>
      <c r="O146" s="459"/>
      <c r="P146" s="434"/>
      <c r="Q146" s="460"/>
      <c r="R146" s="434"/>
      <c r="S146" s="434"/>
      <c r="T146" s="459"/>
      <c r="U146" s="434"/>
      <c r="V146" s="460"/>
      <c r="W146" s="434"/>
      <c r="X146" s="434"/>
      <c r="Y146" s="459"/>
      <c r="Z146" s="434"/>
      <c r="AA146" s="460"/>
      <c r="AB146" s="461"/>
      <c r="AC146" s="460"/>
    </row>
    <row r="147" spans="2:29" x14ac:dyDescent="0.3">
      <c r="B147" s="16" t="s">
        <v>187</v>
      </c>
      <c r="C147" s="457">
        <f>16.25*'Arable Inputs'!$D$8</f>
        <v>18.362499999999997</v>
      </c>
      <c r="D147" s="458" t="s">
        <v>115</v>
      </c>
      <c r="E147" s="483"/>
      <c r="F147" s="434"/>
      <c r="G147" s="460"/>
      <c r="H147" s="434"/>
      <c r="I147" s="434"/>
      <c r="J147" s="459"/>
      <c r="K147" s="434"/>
      <c r="L147" s="460"/>
      <c r="M147" s="434"/>
      <c r="N147" s="434"/>
      <c r="O147" s="459"/>
      <c r="P147" s="434"/>
      <c r="Q147" s="460"/>
      <c r="R147" s="434"/>
      <c r="S147" s="434"/>
      <c r="T147" s="459"/>
      <c r="U147" s="434"/>
      <c r="V147" s="460"/>
      <c r="W147" s="434"/>
      <c r="X147" s="434"/>
      <c r="Y147" s="459"/>
      <c r="Z147" s="434"/>
      <c r="AA147" s="460"/>
      <c r="AB147" s="461"/>
      <c r="AC147" s="460"/>
    </row>
    <row r="148" spans="2:29" x14ac:dyDescent="0.3">
      <c r="B148" s="16" t="s">
        <v>188</v>
      </c>
      <c r="C148" s="457">
        <f>7.18*'Arable Inputs'!$D$8</f>
        <v>8.1133999999999986</v>
      </c>
      <c r="D148" s="458" t="s">
        <v>115</v>
      </c>
      <c r="E148" s="483"/>
      <c r="F148" s="434"/>
      <c r="G148" s="460"/>
      <c r="H148" s="434"/>
      <c r="I148" s="434"/>
      <c r="J148" s="459"/>
      <c r="K148" s="434"/>
      <c r="L148" s="460"/>
      <c r="M148" s="434"/>
      <c r="N148" s="434"/>
      <c r="O148" s="459"/>
      <c r="P148" s="434"/>
      <c r="Q148" s="460"/>
      <c r="R148" s="434"/>
      <c r="S148" s="434"/>
      <c r="T148" s="459"/>
      <c r="U148" s="434"/>
      <c r="V148" s="460"/>
      <c r="W148" s="434"/>
      <c r="X148" s="434"/>
      <c r="Y148" s="459"/>
      <c r="Z148" s="434"/>
      <c r="AA148" s="460"/>
      <c r="AB148" s="461"/>
      <c r="AC148" s="460"/>
    </row>
    <row r="149" spans="2:29" x14ac:dyDescent="0.3">
      <c r="B149" s="16" t="s">
        <v>189</v>
      </c>
      <c r="C149" s="457">
        <f>8.74*'Arable Inputs'!$D$8</f>
        <v>9.876199999999999</v>
      </c>
      <c r="D149" s="458" t="s">
        <v>115</v>
      </c>
      <c r="E149" s="483"/>
      <c r="F149" s="434"/>
      <c r="G149" s="460"/>
      <c r="H149" s="434"/>
      <c r="I149" s="434"/>
      <c r="J149" s="459"/>
      <c r="K149" s="434"/>
      <c r="L149" s="460"/>
      <c r="M149" s="434"/>
      <c r="N149" s="434"/>
      <c r="O149" s="459"/>
      <c r="P149" s="434"/>
      <c r="Q149" s="460"/>
      <c r="R149" s="434"/>
      <c r="S149" s="434"/>
      <c r="T149" s="459"/>
      <c r="U149" s="434"/>
      <c r="V149" s="460"/>
      <c r="W149" s="434"/>
      <c r="X149" s="434"/>
      <c r="Y149" s="459"/>
      <c r="Z149" s="434"/>
      <c r="AA149" s="460"/>
      <c r="AB149" s="461"/>
      <c r="AC149" s="460"/>
    </row>
    <row r="150" spans="2:29" x14ac:dyDescent="0.3">
      <c r="B150" s="16" t="s">
        <v>190</v>
      </c>
      <c r="C150" s="457">
        <f>16.25*'Arable Inputs'!$D$8</f>
        <v>18.362499999999997</v>
      </c>
      <c r="D150" s="458" t="s">
        <v>115</v>
      </c>
      <c r="E150" s="483"/>
      <c r="F150" s="434"/>
      <c r="G150" s="460"/>
      <c r="H150" s="434"/>
      <c r="I150" s="434"/>
      <c r="J150" s="459"/>
      <c r="K150" s="434"/>
      <c r="L150" s="460"/>
      <c r="M150" s="434"/>
      <c r="N150" s="434"/>
      <c r="O150" s="459"/>
      <c r="P150" s="434"/>
      <c r="Q150" s="460"/>
      <c r="R150" s="434"/>
      <c r="S150" s="434"/>
      <c r="T150" s="459"/>
      <c r="U150" s="434"/>
      <c r="V150" s="460"/>
      <c r="W150" s="434"/>
      <c r="X150" s="434"/>
      <c r="Y150" s="459"/>
      <c r="Z150" s="434"/>
      <c r="AA150" s="460"/>
      <c r="AB150" s="461"/>
      <c r="AC150" s="460"/>
    </row>
    <row r="151" spans="2:29" x14ac:dyDescent="0.3">
      <c r="B151" s="16" t="s">
        <v>184</v>
      </c>
      <c r="C151" s="457" t="s">
        <v>115</v>
      </c>
      <c r="D151" s="458">
        <f>16.1*'Arable Inputs'!$D$8</f>
        <v>18.193000000000001</v>
      </c>
      <c r="E151" s="483"/>
      <c r="F151" s="434"/>
      <c r="G151" s="460"/>
      <c r="H151" s="434"/>
      <c r="I151" s="434"/>
      <c r="J151" s="459"/>
      <c r="K151" s="434"/>
      <c r="L151" s="460"/>
      <c r="M151" s="434"/>
      <c r="N151" s="434"/>
      <c r="O151" s="459"/>
      <c r="P151" s="434"/>
      <c r="Q151" s="460"/>
      <c r="R151" s="434"/>
      <c r="S151" s="434"/>
      <c r="T151" s="459"/>
      <c r="U151" s="434"/>
      <c r="V151" s="460"/>
      <c r="W151" s="434"/>
      <c r="X151" s="434"/>
      <c r="Y151" s="459"/>
      <c r="Z151" s="434"/>
      <c r="AA151" s="460"/>
      <c r="AB151" s="461"/>
      <c r="AC151" s="460"/>
    </row>
    <row r="152" spans="2:29" x14ac:dyDescent="0.3">
      <c r="B152" s="16" t="s">
        <v>191</v>
      </c>
      <c r="C152" s="457">
        <f>40.25*'Arable Inputs'!$D$8</f>
        <v>45.482499999999995</v>
      </c>
      <c r="D152" s="458" t="s">
        <v>115</v>
      </c>
      <c r="E152" s="483"/>
      <c r="F152" s="434"/>
      <c r="G152" s="460"/>
      <c r="H152" s="434"/>
      <c r="I152" s="434"/>
      <c r="J152" s="459"/>
      <c r="K152" s="434"/>
      <c r="L152" s="460"/>
      <c r="M152" s="434"/>
      <c r="N152" s="434"/>
      <c r="O152" s="459"/>
      <c r="P152" s="434"/>
      <c r="Q152" s="460"/>
      <c r="R152" s="434"/>
      <c r="S152" s="434"/>
      <c r="T152" s="459"/>
      <c r="U152" s="434"/>
      <c r="V152" s="460"/>
      <c r="W152" s="434"/>
      <c r="X152" s="434"/>
      <c r="Y152" s="459"/>
      <c r="Z152" s="434"/>
      <c r="AA152" s="460"/>
      <c r="AB152" s="461"/>
      <c r="AC152" s="460"/>
    </row>
    <row r="153" spans="2:29" x14ac:dyDescent="0.3">
      <c r="B153" s="16" t="s">
        <v>192</v>
      </c>
      <c r="C153" s="457">
        <f>36.74*'Arable Inputs'!$D$8</f>
        <v>41.516199999999998</v>
      </c>
      <c r="D153" s="458" t="s">
        <v>115</v>
      </c>
      <c r="E153" s="483"/>
      <c r="F153" s="434"/>
      <c r="G153" s="460"/>
      <c r="H153" s="434"/>
      <c r="I153" s="434"/>
      <c r="J153" s="459"/>
      <c r="K153" s="434"/>
      <c r="L153" s="460"/>
      <c r="M153" s="434"/>
      <c r="N153" s="434"/>
      <c r="O153" s="459"/>
      <c r="P153" s="434"/>
      <c r="Q153" s="460"/>
      <c r="R153" s="434"/>
      <c r="S153" s="434"/>
      <c r="T153" s="459"/>
      <c r="U153" s="434"/>
      <c r="V153" s="460"/>
      <c r="W153" s="434"/>
      <c r="X153" s="434"/>
      <c r="Y153" s="459"/>
      <c r="Z153" s="434"/>
      <c r="AA153" s="460"/>
      <c r="AB153" s="461"/>
      <c r="AC153" s="460"/>
    </row>
    <row r="154" spans="2:29" x14ac:dyDescent="0.3">
      <c r="B154" s="16" t="s">
        <v>193</v>
      </c>
      <c r="C154" s="457">
        <f>42.05*'Arable Inputs'!$D$8</f>
        <v>47.516499999999994</v>
      </c>
      <c r="D154" s="458">
        <f>35.63*'Arable Inputs'!$D$8</f>
        <v>40.261899999999997</v>
      </c>
      <c r="E154" s="483"/>
      <c r="F154" s="434"/>
      <c r="G154" s="460"/>
      <c r="H154" s="434"/>
      <c r="I154" s="434"/>
      <c r="J154" s="459"/>
      <c r="K154" s="434"/>
      <c r="L154" s="460"/>
      <c r="M154" s="434"/>
      <c r="N154" s="434"/>
      <c r="O154" s="459"/>
      <c r="P154" s="434"/>
      <c r="Q154" s="460"/>
      <c r="R154" s="434"/>
      <c r="S154" s="434"/>
      <c r="T154" s="459"/>
      <c r="U154" s="434"/>
      <c r="V154" s="460"/>
      <c r="W154" s="434"/>
      <c r="X154" s="434"/>
      <c r="Y154" s="459"/>
      <c r="Z154" s="434"/>
      <c r="AA154" s="460"/>
      <c r="AB154" s="461"/>
      <c r="AC154" s="460"/>
    </row>
    <row r="155" spans="2:29" x14ac:dyDescent="0.3">
      <c r="B155" s="16" t="s">
        <v>194</v>
      </c>
      <c r="C155" s="457">
        <f>37.29*'Arable Inputs'!$D$8</f>
        <v>42.137699999999995</v>
      </c>
      <c r="D155" s="458" t="s">
        <v>115</v>
      </c>
      <c r="E155" s="483"/>
      <c r="F155" s="434"/>
      <c r="G155" s="460"/>
      <c r="H155" s="434"/>
      <c r="I155" s="434"/>
      <c r="J155" s="459"/>
      <c r="K155" s="434"/>
      <c r="L155" s="460"/>
      <c r="M155" s="434"/>
      <c r="N155" s="434"/>
      <c r="O155" s="459"/>
      <c r="P155" s="434"/>
      <c r="Q155" s="460"/>
      <c r="R155" s="434"/>
      <c r="S155" s="434"/>
      <c r="T155" s="459"/>
      <c r="U155" s="434"/>
      <c r="V155" s="460"/>
      <c r="W155" s="434"/>
      <c r="X155" s="434"/>
      <c r="Y155" s="459"/>
      <c r="Z155" s="434"/>
      <c r="AA155" s="460"/>
      <c r="AB155" s="461"/>
      <c r="AC155" s="460"/>
    </row>
    <row r="156" spans="2:29" x14ac:dyDescent="0.3">
      <c r="B156" s="16" t="s">
        <v>195</v>
      </c>
      <c r="C156" s="457">
        <f>39.1*'Arable Inputs'!$D$8</f>
        <v>44.183</v>
      </c>
      <c r="D156" s="458" t="s">
        <v>115</v>
      </c>
      <c r="E156" s="483"/>
      <c r="F156" s="434"/>
      <c r="G156" s="460"/>
      <c r="H156" s="434"/>
      <c r="I156" s="434"/>
      <c r="J156" s="459"/>
      <c r="K156" s="434"/>
      <c r="L156" s="460"/>
      <c r="M156" s="434"/>
      <c r="N156" s="434"/>
      <c r="O156" s="459"/>
      <c r="P156" s="434"/>
      <c r="Q156" s="460"/>
      <c r="R156" s="434"/>
      <c r="S156" s="434"/>
      <c r="T156" s="459"/>
      <c r="U156" s="434"/>
      <c r="V156" s="460"/>
      <c r="W156" s="434"/>
      <c r="X156" s="434"/>
      <c r="Y156" s="459"/>
      <c r="Z156" s="434"/>
      <c r="AA156" s="460"/>
      <c r="AB156" s="461"/>
      <c r="AC156" s="460"/>
    </row>
    <row r="157" spans="2:29" x14ac:dyDescent="0.3">
      <c r="B157" s="16" t="s">
        <v>196</v>
      </c>
      <c r="C157" s="457">
        <f>44.63*'Arable Inputs'!$D$8</f>
        <v>50.431899999999999</v>
      </c>
      <c r="D157" s="458" t="s">
        <v>115</v>
      </c>
      <c r="E157" s="483"/>
      <c r="F157" s="434"/>
      <c r="G157" s="460"/>
      <c r="H157" s="434"/>
      <c r="I157" s="434"/>
      <c r="J157" s="459"/>
      <c r="K157" s="434"/>
      <c r="L157" s="460"/>
      <c r="M157" s="434"/>
      <c r="N157" s="434"/>
      <c r="O157" s="459"/>
      <c r="P157" s="434"/>
      <c r="Q157" s="460"/>
      <c r="R157" s="434"/>
      <c r="S157" s="434"/>
      <c r="T157" s="459"/>
      <c r="U157" s="434"/>
      <c r="V157" s="460"/>
      <c r="W157" s="434"/>
      <c r="X157" s="434"/>
      <c r="Y157" s="459"/>
      <c r="Z157" s="434"/>
      <c r="AA157" s="460"/>
      <c r="AB157" s="461"/>
      <c r="AC157" s="460"/>
    </row>
    <row r="158" spans="2:29" x14ac:dyDescent="0.3">
      <c r="B158" s="16" t="s">
        <v>197</v>
      </c>
      <c r="C158" s="457">
        <f>69*'Arable Inputs'!$D$8</f>
        <v>77.97</v>
      </c>
      <c r="D158" s="458" t="s">
        <v>115</v>
      </c>
      <c r="E158" s="483"/>
      <c r="F158" s="434"/>
      <c r="G158" s="460"/>
      <c r="H158" s="434"/>
      <c r="I158" s="434"/>
      <c r="J158" s="459"/>
      <c r="K158" s="434"/>
      <c r="L158" s="460"/>
      <c r="M158" s="434"/>
      <c r="N158" s="434"/>
      <c r="O158" s="459"/>
      <c r="P158" s="434"/>
      <c r="Q158" s="460"/>
      <c r="R158" s="434"/>
      <c r="S158" s="434"/>
      <c r="T158" s="459"/>
      <c r="U158" s="434"/>
      <c r="V158" s="460"/>
      <c r="W158" s="434"/>
      <c r="X158" s="434"/>
      <c r="Y158" s="459"/>
      <c r="Z158" s="434"/>
      <c r="AA158" s="460"/>
      <c r="AB158" s="461"/>
      <c r="AC158" s="460"/>
    </row>
    <row r="159" spans="2:29" x14ac:dyDescent="0.3">
      <c r="B159" s="16" t="s">
        <v>198</v>
      </c>
      <c r="C159" s="457">
        <f>38.54*'Arable Inputs'!$D$8</f>
        <v>43.550199999999997</v>
      </c>
      <c r="D159" s="458">
        <f>37.13*'Arable Inputs'!$D$8</f>
        <v>41.956899999999997</v>
      </c>
      <c r="E159" s="483"/>
      <c r="F159" s="427"/>
      <c r="G159" s="460"/>
      <c r="H159" s="427"/>
      <c r="I159" s="434"/>
      <c r="J159" s="459"/>
      <c r="K159" s="427"/>
      <c r="L159" s="460"/>
      <c r="M159" s="427"/>
      <c r="N159" s="434"/>
      <c r="O159" s="459"/>
      <c r="P159" s="427"/>
      <c r="Q159" s="460"/>
      <c r="R159" s="427"/>
      <c r="S159" s="434"/>
      <c r="T159" s="459"/>
      <c r="U159" s="427"/>
      <c r="V159" s="460"/>
      <c r="W159" s="427"/>
      <c r="X159" s="434"/>
      <c r="Y159" s="459"/>
      <c r="Z159" s="427"/>
      <c r="AA159" s="460"/>
      <c r="AB159" s="427"/>
      <c r="AC159" s="460"/>
    </row>
    <row r="160" spans="2:29" x14ac:dyDescent="0.3">
      <c r="B160" s="431" t="s">
        <v>199</v>
      </c>
      <c r="C160" s="468"/>
      <c r="D160" s="468"/>
      <c r="E160" s="469"/>
      <c r="F160" s="429" t="s">
        <v>9</v>
      </c>
      <c r="G160" s="470"/>
      <c r="H160" s="429"/>
      <c r="I160" s="429"/>
      <c r="J160" s="472"/>
      <c r="K160" s="429"/>
      <c r="L160" s="470"/>
      <c r="M160" s="429"/>
      <c r="N160" s="429"/>
      <c r="O160" s="472"/>
      <c r="P160" s="429"/>
      <c r="Q160" s="470"/>
      <c r="R160" s="429"/>
      <c r="S160" s="429"/>
      <c r="T160" s="472"/>
      <c r="U160" s="429"/>
      <c r="V160" s="470"/>
      <c r="W160" s="429"/>
      <c r="X160" s="429"/>
      <c r="Y160" s="472"/>
      <c r="Z160" s="429"/>
      <c r="AA160" s="470"/>
      <c r="AB160" s="429"/>
      <c r="AC160" s="470"/>
    </row>
    <row r="161" spans="2:29" x14ac:dyDescent="0.3">
      <c r="B161" s="366"/>
      <c r="C161" s="366"/>
      <c r="D161" s="366"/>
      <c r="E161" s="366"/>
      <c r="F161" s="366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  <c r="AA161" s="366"/>
      <c r="AB161" s="366"/>
      <c r="AC161" s="366"/>
    </row>
    <row r="162" spans="2:29" x14ac:dyDescent="0.3">
      <c r="B162" s="366"/>
      <c r="C162" s="366"/>
      <c r="D162" s="366"/>
      <c r="E162" s="366"/>
      <c r="F162" s="366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  <c r="AB162" s="366"/>
      <c r="AC162" s="366"/>
    </row>
    <row r="163" spans="2:29" x14ac:dyDescent="0.3">
      <c r="B163" s="366"/>
      <c r="C163" s="366"/>
      <c r="D163" s="366"/>
      <c r="E163" s="366"/>
      <c r="F163" s="366"/>
      <c r="G163" s="366"/>
      <c r="H163" s="366"/>
      <c r="I163" s="493"/>
      <c r="J163" s="493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  <c r="AA163" s="366"/>
      <c r="AB163" s="366"/>
      <c r="AC163" s="366"/>
    </row>
    <row r="164" spans="2:29" x14ac:dyDescent="0.3">
      <c r="B164" s="366"/>
      <c r="C164" s="366"/>
      <c r="D164" s="366"/>
      <c r="E164" s="366"/>
      <c r="F164" s="366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  <c r="AA164" s="366"/>
      <c r="AB164" s="366"/>
      <c r="AC164" s="366"/>
    </row>
    <row r="165" spans="2:29" x14ac:dyDescent="0.3">
      <c r="B165" s="366"/>
      <c r="C165" s="366"/>
      <c r="D165" s="366"/>
      <c r="E165" s="366"/>
      <c r="F165" s="366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  <c r="AA165" s="366"/>
      <c r="AB165" s="366"/>
      <c r="AC165" s="366"/>
    </row>
    <row r="166" spans="2:29" x14ac:dyDescent="0.3">
      <c r="B166" s="366"/>
      <c r="C166" s="366"/>
      <c r="D166" s="366"/>
      <c r="E166" s="366"/>
      <c r="F166" s="366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  <c r="AA166" s="366"/>
      <c r="AB166" s="366"/>
      <c r="AC166" s="366"/>
    </row>
    <row r="167" spans="2:29" x14ac:dyDescent="0.3">
      <c r="B167" s="366"/>
      <c r="C167" s="366"/>
      <c r="D167" s="366"/>
      <c r="E167" s="366"/>
      <c r="F167" s="366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  <c r="AA167" s="366"/>
      <c r="AB167" s="366"/>
      <c r="AC167" s="366"/>
    </row>
    <row r="168" spans="2:29" x14ac:dyDescent="0.3">
      <c r="B168" s="511" t="s">
        <v>27</v>
      </c>
      <c r="C168" s="366"/>
      <c r="D168" s="366"/>
      <c r="E168" s="366"/>
      <c r="F168" s="366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  <c r="AA168" s="366"/>
      <c r="AB168" s="366"/>
      <c r="AC168" s="366"/>
    </row>
    <row r="169" spans="2:29" x14ac:dyDescent="0.3">
      <c r="B169" s="74"/>
      <c r="C169" s="19"/>
      <c r="D169" s="20"/>
      <c r="E169" s="20"/>
      <c r="F169" s="512"/>
      <c r="G169" s="512"/>
      <c r="H169" s="512"/>
      <c r="I169" s="512"/>
      <c r="J169" s="512"/>
      <c r="K169" s="512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  <c r="AA169" s="366"/>
      <c r="AB169" s="366"/>
      <c r="AC169" s="366"/>
    </row>
    <row r="170" spans="2:29" x14ac:dyDescent="0.3">
      <c r="B170" s="426"/>
      <c r="C170" s="425"/>
      <c r="D170" s="425"/>
      <c r="E170" s="425"/>
      <c r="F170" s="513" t="s">
        <v>4</v>
      </c>
      <c r="G170" s="513" t="s">
        <v>559</v>
      </c>
      <c r="H170" s="513" t="s">
        <v>5</v>
      </c>
      <c r="I170" s="513" t="s">
        <v>560</v>
      </c>
      <c r="J170" s="514"/>
      <c r="K170" s="514" t="s">
        <v>255</v>
      </c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  <c r="AA170" s="366"/>
      <c r="AB170" s="366"/>
      <c r="AC170" s="366"/>
    </row>
    <row r="171" spans="2:29" x14ac:dyDescent="0.3">
      <c r="B171" s="76" t="s">
        <v>19</v>
      </c>
      <c r="C171" s="81" t="s">
        <v>29</v>
      </c>
      <c r="D171" s="83" t="s">
        <v>567</v>
      </c>
      <c r="E171" s="79"/>
      <c r="F171" s="806">
        <f>G35</f>
        <v>134.28919999999999</v>
      </c>
      <c r="G171" s="806">
        <f>L35</f>
        <v>124.24349999999998</v>
      </c>
      <c r="H171" s="806">
        <f>Q35</f>
        <v>52.217299999999994</v>
      </c>
      <c r="I171" s="806">
        <f>V35</f>
        <v>134.28919999999999</v>
      </c>
      <c r="J171" s="806"/>
      <c r="K171" s="806">
        <f>AA35</f>
        <v>134.28919999999999</v>
      </c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  <c r="AA171" s="366"/>
      <c r="AB171" s="366"/>
      <c r="AC171" s="366"/>
    </row>
    <row r="172" spans="2:29" x14ac:dyDescent="0.3">
      <c r="B172" s="9"/>
      <c r="C172" s="32" t="s">
        <v>30</v>
      </c>
      <c r="D172" s="79" t="s">
        <v>567</v>
      </c>
      <c r="E172" s="79"/>
      <c r="F172" s="806">
        <f>G48</f>
        <v>79.89913599999997</v>
      </c>
      <c r="G172" s="806">
        <f>L48</f>
        <v>19.974783999999993</v>
      </c>
      <c r="H172" s="806">
        <f>Q48</f>
        <v>19.974783999999993</v>
      </c>
      <c r="I172" s="806">
        <f>V48</f>
        <v>39.949567999999985</v>
      </c>
      <c r="J172" s="806"/>
      <c r="K172" s="806">
        <f>AA48</f>
        <v>79.89913599999997</v>
      </c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  <c r="AA172" s="366"/>
      <c r="AB172" s="366"/>
      <c r="AC172" s="366"/>
    </row>
    <row r="173" spans="2:29" x14ac:dyDescent="0.3">
      <c r="B173" s="9"/>
      <c r="C173" s="32" t="s">
        <v>129</v>
      </c>
      <c r="D173" s="79" t="s">
        <v>567</v>
      </c>
      <c r="E173" s="79"/>
      <c r="F173" s="515">
        <f>G53</f>
        <v>0</v>
      </c>
      <c r="G173" s="515">
        <f>L53</f>
        <v>0</v>
      </c>
      <c r="H173" s="515">
        <f>Q53</f>
        <v>0</v>
      </c>
      <c r="I173" s="515">
        <f>V53</f>
        <v>0</v>
      </c>
      <c r="J173" s="515"/>
      <c r="K173" s="515">
        <f>AA53</f>
        <v>0</v>
      </c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  <c r="AA173" s="366"/>
      <c r="AB173" s="366"/>
      <c r="AC173" s="366"/>
    </row>
    <row r="174" spans="2:29" x14ac:dyDescent="0.3">
      <c r="B174" s="10"/>
      <c r="C174" s="32" t="s">
        <v>31</v>
      </c>
      <c r="D174" s="79" t="s">
        <v>567</v>
      </c>
      <c r="E174" s="79"/>
      <c r="F174" s="806">
        <f>G71</f>
        <v>30.555199999999996</v>
      </c>
      <c r="G174" s="806">
        <f>L71</f>
        <v>30.555199999999996</v>
      </c>
      <c r="H174" s="806">
        <f>Q71</f>
        <v>64.952399999999997</v>
      </c>
      <c r="I174" s="806">
        <f>V71</f>
        <v>30.555199999999996</v>
      </c>
      <c r="J174" s="806"/>
      <c r="K174" s="806">
        <f>AA71</f>
        <v>50.849999999999994</v>
      </c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  <c r="AB174" s="366"/>
      <c r="AC174" s="366"/>
    </row>
    <row r="175" spans="2:29" x14ac:dyDescent="0.3">
      <c r="B175" s="10"/>
      <c r="C175" s="33" t="s">
        <v>32</v>
      </c>
      <c r="D175" s="79" t="s">
        <v>567</v>
      </c>
      <c r="E175" s="79"/>
      <c r="F175" s="806">
        <f>G81</f>
        <v>56.511299999999991</v>
      </c>
      <c r="G175" s="806">
        <f>L81</f>
        <v>11.3904</v>
      </c>
      <c r="H175" s="806">
        <f>Q81</f>
        <v>22.780799999999999</v>
      </c>
      <c r="I175" s="806">
        <f>V81</f>
        <v>22.780799999999999</v>
      </c>
      <c r="J175" s="806"/>
      <c r="K175" s="806">
        <f>AA81</f>
        <v>22.780799999999999</v>
      </c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  <c r="AA175" s="366"/>
      <c r="AB175" s="366"/>
      <c r="AC175" s="366"/>
    </row>
    <row r="176" spans="2:29" x14ac:dyDescent="0.3">
      <c r="B176" s="10"/>
      <c r="C176" s="33" t="s">
        <v>177</v>
      </c>
      <c r="D176" s="79" t="s">
        <v>567</v>
      </c>
      <c r="E176" s="79"/>
      <c r="F176" s="806">
        <f>G105</f>
        <v>262.86059999999998</v>
      </c>
      <c r="G176" s="806">
        <f>L105</f>
        <v>262.86059999999998</v>
      </c>
      <c r="H176" s="806">
        <f>Q105</f>
        <v>142.07489999999999</v>
      </c>
      <c r="I176" s="806">
        <f>V105</f>
        <v>394.5055999999999</v>
      </c>
      <c r="J176" s="806"/>
      <c r="K176" s="806">
        <f>AA105</f>
        <v>197.74999999999997</v>
      </c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  <c r="AA176" s="366"/>
      <c r="AB176" s="366"/>
      <c r="AC176" s="366"/>
    </row>
    <row r="177" spans="2:29" ht="30" x14ac:dyDescent="0.3">
      <c r="B177" s="10"/>
      <c r="C177" s="33" t="s">
        <v>204</v>
      </c>
      <c r="D177" s="79" t="s">
        <v>567</v>
      </c>
      <c r="E177" s="79"/>
      <c r="F177" s="515">
        <f>G116</f>
        <v>0</v>
      </c>
      <c r="G177" s="515">
        <f>L116</f>
        <v>0</v>
      </c>
      <c r="H177" s="515">
        <f>Q116</f>
        <v>0</v>
      </c>
      <c r="I177" s="515">
        <f>V116</f>
        <v>0</v>
      </c>
      <c r="J177" s="515"/>
      <c r="K177" s="515">
        <f>AA116</f>
        <v>0</v>
      </c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  <c r="AA177" s="366"/>
      <c r="AB177" s="366"/>
      <c r="AC177" s="366"/>
    </row>
    <row r="178" spans="2:29" x14ac:dyDescent="0.3">
      <c r="B178" s="10"/>
      <c r="C178" s="32" t="s">
        <v>152</v>
      </c>
      <c r="D178" s="79" t="s">
        <v>567</v>
      </c>
      <c r="E178" s="79"/>
      <c r="F178" s="806">
        <f>G134</f>
        <v>65.686899999999994</v>
      </c>
      <c r="G178" s="806">
        <f>L134</f>
        <v>0</v>
      </c>
      <c r="H178" s="806">
        <f>Q134</f>
        <v>59.149042857142852</v>
      </c>
      <c r="I178" s="806">
        <f>V134</f>
        <v>0</v>
      </c>
      <c r="J178" s="806"/>
      <c r="K178" s="806">
        <f>AA134</f>
        <v>0</v>
      </c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  <c r="AA178" s="366"/>
      <c r="AB178" s="366"/>
      <c r="AC178" s="366"/>
    </row>
    <row r="179" spans="2:29" x14ac:dyDescent="0.3">
      <c r="B179" s="10"/>
      <c r="C179" s="32" t="s">
        <v>96</v>
      </c>
      <c r="D179" s="79" t="s">
        <v>567</v>
      </c>
      <c r="E179" s="79"/>
      <c r="F179" s="515">
        <f>G141</f>
        <v>0</v>
      </c>
      <c r="G179" s="515">
        <f>L141</f>
        <v>0</v>
      </c>
      <c r="H179" s="806">
        <f>Q141</f>
        <v>8.8140000000000001</v>
      </c>
      <c r="I179" s="515">
        <f>V141</f>
        <v>0</v>
      </c>
      <c r="J179" s="515"/>
      <c r="K179" s="515">
        <f>AA141</f>
        <v>0</v>
      </c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  <c r="AA179" s="366"/>
      <c r="AB179" s="366"/>
      <c r="AC179" s="366"/>
    </row>
    <row r="180" spans="2:29" ht="20" x14ac:dyDescent="0.3">
      <c r="B180" s="22"/>
      <c r="C180" s="82" t="s">
        <v>205</v>
      </c>
      <c r="D180" s="80" t="s">
        <v>567</v>
      </c>
      <c r="E180" s="79"/>
      <c r="F180" s="515">
        <f>G160</f>
        <v>0</v>
      </c>
      <c r="G180" s="515">
        <f>L160</f>
        <v>0</v>
      </c>
      <c r="H180" s="515">
        <f>Q160</f>
        <v>0</v>
      </c>
      <c r="I180" s="515">
        <f>V160</f>
        <v>0</v>
      </c>
      <c r="J180" s="515"/>
      <c r="K180" s="515">
        <f>AA160</f>
        <v>0</v>
      </c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  <c r="AB180" s="366"/>
      <c r="AC180" s="366"/>
    </row>
    <row r="181" spans="2:29" s="78" customFormat="1" ht="15.5" x14ac:dyDescent="0.35">
      <c r="B181" s="77" t="s">
        <v>473</v>
      </c>
      <c r="C181" s="87"/>
      <c r="D181" s="89" t="s">
        <v>567</v>
      </c>
      <c r="E181" s="23"/>
      <c r="F181" s="84">
        <f>SUM(F171:F180)</f>
        <v>629.80233599999997</v>
      </c>
      <c r="G181" s="84">
        <f>SUM(G171:G180)</f>
        <v>449.02448399999992</v>
      </c>
      <c r="H181" s="84">
        <f>SUM(H171:H180)</f>
        <v>369.96322685714284</v>
      </c>
      <c r="I181" s="84">
        <f>SUM(I171:I180)</f>
        <v>622.08036799999991</v>
      </c>
      <c r="J181" s="84"/>
      <c r="K181" s="84">
        <f>SUM(K171:K180)</f>
        <v>485.56913599999996</v>
      </c>
      <c r="L181" s="516"/>
      <c r="M181" s="516"/>
      <c r="N181" s="516"/>
      <c r="O181" s="516"/>
      <c r="P181" s="516"/>
      <c r="Q181" s="516"/>
      <c r="R181" s="516"/>
      <c r="S181" s="516"/>
      <c r="T181" s="516"/>
      <c r="U181" s="516"/>
      <c r="V181" s="516"/>
      <c r="W181" s="516"/>
      <c r="X181" s="516"/>
      <c r="Y181" s="516"/>
      <c r="Z181" s="516"/>
      <c r="AA181" s="516"/>
      <c r="AB181" s="516"/>
      <c r="AC181" s="516"/>
    </row>
    <row r="182" spans="2:29" s="78" customFormat="1" ht="15.5" x14ac:dyDescent="0.35">
      <c r="B182" s="516"/>
      <c r="C182" s="516"/>
      <c r="D182" s="516"/>
      <c r="E182" s="516"/>
      <c r="F182" s="516"/>
      <c r="G182" s="516"/>
      <c r="H182" s="516"/>
      <c r="I182" s="516"/>
      <c r="J182" s="516"/>
      <c r="K182" s="516"/>
      <c r="L182" s="516"/>
      <c r="M182" s="516"/>
      <c r="N182" s="516"/>
      <c r="O182" s="516"/>
      <c r="P182" s="516"/>
      <c r="Q182" s="516"/>
      <c r="R182" s="516"/>
      <c r="S182" s="516"/>
      <c r="T182" s="516"/>
      <c r="U182" s="516"/>
      <c r="V182" s="516"/>
      <c r="W182" s="516"/>
      <c r="X182" s="516"/>
      <c r="Y182" s="516"/>
      <c r="Z182" s="516"/>
      <c r="AA182" s="516"/>
      <c r="AB182" s="516"/>
      <c r="AC182" s="516"/>
    </row>
    <row r="183" spans="2:29" x14ac:dyDescent="0.3">
      <c r="B183" s="517" t="s">
        <v>206</v>
      </c>
      <c r="C183" s="518"/>
      <c r="D183" s="83" t="s">
        <v>567</v>
      </c>
      <c r="E183" s="89"/>
      <c r="F183" s="519">
        <f>SUM(F171:F176)</f>
        <v>564.11543599999993</v>
      </c>
      <c r="G183" s="519">
        <f>SUM(G171:G176)</f>
        <v>449.02448399999992</v>
      </c>
      <c r="H183" s="519">
        <f>SUM(H171:H176)+H179</f>
        <v>310.81418400000001</v>
      </c>
      <c r="I183" s="519">
        <f>SUM(I171:I176)</f>
        <v>622.08036799999991</v>
      </c>
      <c r="J183" s="520"/>
      <c r="K183" s="520">
        <f>SUM(K171:K176)</f>
        <v>485.56913599999996</v>
      </c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  <c r="AA183" s="366"/>
      <c r="AB183" s="366"/>
      <c r="AC183" s="366"/>
    </row>
    <row r="184" spans="2:29" x14ac:dyDescent="0.3">
      <c r="B184" s="517" t="s">
        <v>207</v>
      </c>
      <c r="C184" s="518"/>
      <c r="D184" s="89" t="s">
        <v>567</v>
      </c>
      <c r="E184" s="89"/>
      <c r="F184" s="519">
        <f>F178</f>
        <v>65.686899999999994</v>
      </c>
      <c r="G184" s="519">
        <f>G178</f>
        <v>0</v>
      </c>
      <c r="H184" s="519">
        <f>H178</f>
        <v>59.149042857142852</v>
      </c>
      <c r="I184" s="519">
        <f>I178</f>
        <v>0</v>
      </c>
      <c r="J184" s="520"/>
      <c r="K184" s="520">
        <f>K178</f>
        <v>0</v>
      </c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  <c r="AA184" s="366"/>
      <c r="AB184" s="366"/>
      <c r="AC184" s="366"/>
    </row>
    <row r="185" spans="2:29" x14ac:dyDescent="0.3">
      <c r="B185" s="366"/>
      <c r="C185" s="366"/>
      <c r="D185" s="366"/>
      <c r="E185" s="366"/>
      <c r="F185" s="366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  <c r="AA185" s="366"/>
      <c r="AB185" s="366"/>
      <c r="AC185" s="366"/>
    </row>
    <row r="186" spans="2:29" x14ac:dyDescent="0.3">
      <c r="B186" s="517" t="s">
        <v>210</v>
      </c>
      <c r="C186" s="518"/>
      <c r="D186" s="38" t="s">
        <v>212</v>
      </c>
      <c r="E186" s="38"/>
      <c r="F186" s="807">
        <f>H35+H48+H71+H81+H105+H134</f>
        <v>16.8</v>
      </c>
      <c r="G186" s="807">
        <f>M35+M48+M71+M81+M105+M134</f>
        <v>6.8</v>
      </c>
      <c r="H186" s="807">
        <f>R35+R48+R71+R81+R105+R134+R141</f>
        <v>18.3</v>
      </c>
      <c r="I186" s="807">
        <f>W35+W48+W71+W81+W105</f>
        <v>10.799999999999999</v>
      </c>
      <c r="J186" s="807"/>
      <c r="K186" s="807">
        <f>AB35+AB48+AB71+AB105+AB81</f>
        <v>14.2</v>
      </c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  <c r="AA186" s="366"/>
      <c r="AB186" s="366"/>
      <c r="AC186" s="366"/>
    </row>
    <row r="187" spans="2:29" x14ac:dyDescent="0.3">
      <c r="B187" s="517" t="s">
        <v>211</v>
      </c>
      <c r="C187" s="518"/>
      <c r="D187" s="38" t="s">
        <v>212</v>
      </c>
      <c r="E187" s="38"/>
      <c r="F187" s="521">
        <f>H134</f>
        <v>4.8</v>
      </c>
      <c r="G187" s="521">
        <f>M134</f>
        <v>0</v>
      </c>
      <c r="H187" s="807">
        <f>R134</f>
        <v>4.8</v>
      </c>
      <c r="I187" s="521">
        <f>W134</f>
        <v>0</v>
      </c>
      <c r="J187" s="521"/>
      <c r="K187" s="521">
        <f>AB134</f>
        <v>0</v>
      </c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  <c r="AA187" s="366"/>
      <c r="AB187" s="366"/>
      <c r="AC187" s="366"/>
    </row>
    <row r="188" spans="2:29" x14ac:dyDescent="0.3">
      <c r="B188" s="366"/>
      <c r="C188" s="366"/>
      <c r="D188" s="366"/>
      <c r="E188" s="366"/>
      <c r="F188" s="366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  <c r="AA188" s="366"/>
      <c r="AB188" s="366"/>
      <c r="AC188" s="366"/>
    </row>
    <row r="191" spans="2:29" x14ac:dyDescent="0.3">
      <c r="B191" s="85"/>
      <c r="C191" s="26" t="s">
        <v>208</v>
      </c>
    </row>
    <row r="192" spans="2:29" x14ac:dyDescent="0.3">
      <c r="B192" s="68"/>
      <c r="C192" s="102" t="s">
        <v>228</v>
      </c>
    </row>
    <row r="193" spans="2:3" x14ac:dyDescent="0.3">
      <c r="B193" s="522"/>
      <c r="C193" s="24" t="s">
        <v>357</v>
      </c>
    </row>
  </sheetData>
  <sheetProtection selectLockedCells="1" selectUnlockedCells="1"/>
  <mergeCells count="40">
    <mergeCell ref="AB8:AC8"/>
    <mergeCell ref="AB9:AC9"/>
    <mergeCell ref="AB10:AC10"/>
    <mergeCell ref="AB11:AC11"/>
    <mergeCell ref="W8:X8"/>
    <mergeCell ref="W9:X9"/>
    <mergeCell ref="W10:X10"/>
    <mergeCell ref="W11:X11"/>
    <mergeCell ref="Z8:AA8"/>
    <mergeCell ref="Z9:AA9"/>
    <mergeCell ref="Z10:AA10"/>
    <mergeCell ref="Z11:AA11"/>
    <mergeCell ref="R8:S8"/>
    <mergeCell ref="R9:S9"/>
    <mergeCell ref="R10:S10"/>
    <mergeCell ref="R11:S11"/>
    <mergeCell ref="U8:V8"/>
    <mergeCell ref="U9:V9"/>
    <mergeCell ref="U10:V10"/>
    <mergeCell ref="U11:V11"/>
    <mergeCell ref="M8:N8"/>
    <mergeCell ref="M9:N9"/>
    <mergeCell ref="M10:N10"/>
    <mergeCell ref="M11:N11"/>
    <mergeCell ref="P8:Q8"/>
    <mergeCell ref="P9:Q9"/>
    <mergeCell ref="P10:Q10"/>
    <mergeCell ref="P11:Q11"/>
    <mergeCell ref="K11:L11"/>
    <mergeCell ref="H8:I8"/>
    <mergeCell ref="F8:G8"/>
    <mergeCell ref="H9:I9"/>
    <mergeCell ref="F9:G9"/>
    <mergeCell ref="F11:G11"/>
    <mergeCell ref="H11:I11"/>
    <mergeCell ref="H10:I10"/>
    <mergeCell ref="F10:G10"/>
    <mergeCell ref="K8:L8"/>
    <mergeCell ref="K9:L9"/>
    <mergeCell ref="K10:L10"/>
  </mergeCells>
  <pageMargins left="0.7" right="0.7" top="0.75" bottom="0.75" header="0.3" footer="0.3"/>
  <pageSetup paperSize="9" orientation="portrait" r:id="rId1"/>
  <ignoredErrors>
    <ignoredError sqref="G187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BM123"/>
  <sheetViews>
    <sheetView tabSelected="1" topLeftCell="A30" workbookViewId="0">
      <selection activeCell="E47" sqref="E47"/>
    </sheetView>
  </sheetViews>
  <sheetFormatPr defaultColWidth="9" defaultRowHeight="14" x14ac:dyDescent="0.3"/>
  <cols>
    <col min="1" max="1" width="10.58203125" bestFit="1" customWidth="1"/>
    <col min="2" max="2" width="38.75" customWidth="1"/>
    <col min="3" max="3" width="17.58203125" bestFit="1" customWidth="1"/>
    <col min="5" max="9" width="10.58203125" customWidth="1"/>
    <col min="12" max="12" width="17.58203125" customWidth="1"/>
  </cols>
  <sheetData>
    <row r="4" spans="1:65" x14ac:dyDescent="0.3">
      <c r="A4" s="1"/>
    </row>
    <row r="5" spans="1:65" x14ac:dyDescent="0.3">
      <c r="B5" s="2"/>
    </row>
    <row r="6" spans="1:65" x14ac:dyDescent="0.3">
      <c r="B6" s="366"/>
      <c r="C6" s="366"/>
      <c r="D6" s="366"/>
      <c r="E6" s="366"/>
      <c r="F6" s="366"/>
      <c r="G6" s="366"/>
      <c r="H6" s="366"/>
      <c r="I6" s="366"/>
    </row>
    <row r="7" spans="1:65" x14ac:dyDescent="0.3">
      <c r="C7" s="366"/>
      <c r="D7" s="366"/>
      <c r="E7" s="366"/>
      <c r="F7" s="366"/>
      <c r="G7" s="366"/>
      <c r="H7" s="366"/>
      <c r="I7" s="366"/>
    </row>
    <row r="8" spans="1:65" ht="14.5" thickBot="1" x14ac:dyDescent="0.35">
      <c r="B8" s="366"/>
      <c r="C8" s="366"/>
      <c r="D8" s="366"/>
      <c r="E8" s="366"/>
      <c r="F8" s="366"/>
      <c r="G8" s="366"/>
      <c r="H8" s="366"/>
      <c r="I8" s="366"/>
    </row>
    <row r="9" spans="1:65" ht="14.5" thickBot="1" x14ac:dyDescent="0.35">
      <c r="A9" s="2"/>
      <c r="B9" s="420" t="s">
        <v>568</v>
      </c>
      <c r="C9" s="366"/>
      <c r="D9" s="366"/>
      <c r="E9" s="523"/>
      <c r="F9" s="523"/>
      <c r="G9" s="523"/>
      <c r="H9" s="523"/>
      <c r="I9" s="523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</row>
    <row r="10" spans="1:65" x14ac:dyDescent="0.3">
      <c r="A10" s="2"/>
      <c r="B10" s="523"/>
      <c r="C10" s="523"/>
      <c r="D10" s="523"/>
      <c r="E10" s="523"/>
      <c r="F10" s="523"/>
      <c r="G10" s="523"/>
      <c r="H10" s="523"/>
      <c r="I10" s="52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I10" s="2"/>
      <c r="AJ10" s="25"/>
      <c r="AK10" s="25"/>
      <c r="AL10" s="25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</row>
    <row r="11" spans="1:65" x14ac:dyDescent="0.3">
      <c r="A11" s="2"/>
      <c r="B11" s="367"/>
      <c r="C11" s="367"/>
      <c r="D11" s="367"/>
      <c r="E11" s="367"/>
      <c r="F11" s="367"/>
      <c r="G11" s="367"/>
      <c r="H11" s="367"/>
      <c r="I11" s="367"/>
      <c r="K11" s="2"/>
      <c r="AI11" s="2"/>
    </row>
    <row r="12" spans="1:65" x14ac:dyDescent="0.3">
      <c r="A12" s="2"/>
      <c r="B12" s="367"/>
      <c r="C12" s="367"/>
      <c r="D12" s="367"/>
      <c r="E12" s="524" t="s">
        <v>4</v>
      </c>
      <c r="F12" s="525" t="s">
        <v>559</v>
      </c>
      <c r="G12" s="526" t="s">
        <v>5</v>
      </c>
      <c r="H12" s="526" t="s">
        <v>560</v>
      </c>
      <c r="I12" s="525" t="s">
        <v>255</v>
      </c>
      <c r="K12" s="2"/>
      <c r="AI12" s="2"/>
    </row>
    <row r="13" spans="1:65" ht="14.25" customHeight="1" x14ac:dyDescent="0.3">
      <c r="A13" s="2"/>
      <c r="B13" s="6" t="s">
        <v>1</v>
      </c>
      <c r="C13" s="112" t="s">
        <v>2</v>
      </c>
      <c r="D13" s="113" t="s">
        <v>89</v>
      </c>
      <c r="E13" s="527">
        <f>'Arable Inputs'!D$18</f>
        <v>5.5</v>
      </c>
      <c r="F13" s="527">
        <f>'Arable Inputs'!E$18</f>
        <v>3.1</v>
      </c>
      <c r="G13" s="527">
        <f>'Arable Inputs'!F$18</f>
        <v>2.6</v>
      </c>
      <c r="H13" s="527">
        <f>'Arable Inputs'!G$18</f>
        <v>2.1</v>
      </c>
      <c r="I13" s="528">
        <f>'Arable Inputs'!H$18</f>
        <v>9.4</v>
      </c>
      <c r="AI13" s="2"/>
    </row>
    <row r="14" spans="1:65" ht="14.25" customHeight="1" x14ac:dyDescent="0.3">
      <c r="A14" s="2"/>
      <c r="B14" s="7"/>
      <c r="C14" s="17" t="s">
        <v>3</v>
      </c>
      <c r="D14" s="114" t="s">
        <v>89</v>
      </c>
      <c r="E14" s="529">
        <f>'Arable Inputs'!D$19</f>
        <v>3.9</v>
      </c>
      <c r="F14" s="529">
        <f>'Arable Inputs'!E$19</f>
        <v>0</v>
      </c>
      <c r="G14" s="529">
        <f>'Arable Inputs'!F$19</f>
        <v>2.6</v>
      </c>
      <c r="H14" s="579"/>
      <c r="I14" s="579"/>
      <c r="K14" s="2"/>
      <c r="AI14" s="2"/>
    </row>
    <row r="15" spans="1:65" ht="14.25" customHeight="1" x14ac:dyDescent="0.3">
      <c r="A15" s="573"/>
      <c r="B15" s="574"/>
      <c r="C15" s="575"/>
      <c r="D15" s="575"/>
      <c r="E15" s="576"/>
      <c r="F15" s="576"/>
      <c r="G15" s="576"/>
      <c r="H15" s="577"/>
      <c r="I15" s="577"/>
      <c r="J15" s="63"/>
      <c r="K15" s="2"/>
      <c r="AI15" s="2"/>
    </row>
    <row r="16" spans="1:65" ht="14.25" customHeight="1" x14ac:dyDescent="0.3">
      <c r="A16" s="2"/>
      <c r="B16" s="8" t="s">
        <v>6</v>
      </c>
      <c r="C16" s="32" t="s">
        <v>2</v>
      </c>
      <c r="D16" s="83" t="s">
        <v>569</v>
      </c>
      <c r="E16" s="530">
        <f>'Arable Inputs'!D$25</f>
        <v>210</v>
      </c>
      <c r="F16" s="530">
        <f>'Arable Inputs'!E$25</f>
        <v>310.75</v>
      </c>
      <c r="G16" s="530">
        <f>'Arable Inputs'!F$25</f>
        <v>196.99</v>
      </c>
      <c r="H16" s="530">
        <f>'Arable Inputs'!G$25</f>
        <v>235.55</v>
      </c>
      <c r="I16" s="531">
        <f>'Arable Inputs'!H$25</f>
        <v>94.285714285714292</v>
      </c>
      <c r="J16" s="24"/>
      <c r="K16" s="2"/>
      <c r="AI16" s="2"/>
    </row>
    <row r="17" spans="1:35" ht="14.25" customHeight="1" x14ac:dyDescent="0.3">
      <c r="A17" s="2"/>
      <c r="B17" s="10"/>
      <c r="C17" s="33" t="s">
        <v>7</v>
      </c>
      <c r="D17" s="79" t="s">
        <v>569</v>
      </c>
      <c r="E17" s="530">
        <f>'Arable Inputs'!D$26</f>
        <v>73.449999999999989</v>
      </c>
      <c r="F17" s="530">
        <f>'Arable Inputs'!E$26</f>
        <v>0</v>
      </c>
      <c r="G17" s="530">
        <f>'Arable Inputs'!F$26</f>
        <v>42.374999999999993</v>
      </c>
      <c r="H17" s="543"/>
      <c r="I17" s="543"/>
      <c r="K17" s="2"/>
      <c r="AI17" s="2"/>
    </row>
    <row r="18" spans="1:35" ht="14.25" customHeight="1" x14ac:dyDescent="0.3">
      <c r="A18" s="2"/>
      <c r="B18" s="10"/>
      <c r="C18" s="32" t="s">
        <v>672</v>
      </c>
      <c r="D18" s="79" t="s">
        <v>567</v>
      </c>
      <c r="E18" s="530">
        <f>'Arable Inputs'!$D$10</f>
        <v>330</v>
      </c>
      <c r="F18" s="530">
        <f>'Arable Inputs'!$D$10</f>
        <v>330</v>
      </c>
      <c r="G18" s="530">
        <f>'Arable Inputs'!$D$10</f>
        <v>330</v>
      </c>
      <c r="H18" s="530">
        <f>'Arable Inputs'!$D$10</f>
        <v>330</v>
      </c>
      <c r="I18" s="542">
        <f>'Arable Inputs'!$D$10</f>
        <v>330</v>
      </c>
      <c r="K18" s="90"/>
      <c r="AI18" s="2"/>
    </row>
    <row r="19" spans="1:35" ht="14.25" customHeight="1" x14ac:dyDescent="0.3">
      <c r="A19" s="2"/>
      <c r="B19" s="11" t="s">
        <v>8</v>
      </c>
      <c r="C19" s="306" t="s">
        <v>2</v>
      </c>
      <c r="D19" s="117" t="s">
        <v>569</v>
      </c>
      <c r="E19" s="533">
        <f>(E18+(E16*E13))/E13</f>
        <v>270</v>
      </c>
      <c r="F19" s="533">
        <f>(F18+(F16*F13))/F13</f>
        <v>417.20161290322579</v>
      </c>
      <c r="G19" s="534">
        <f>(G18+(G16*G13))/G13</f>
        <v>323.91307692307697</v>
      </c>
      <c r="H19" s="534">
        <f>(H18+(H16*H13))/H13</f>
        <v>392.69285714285712</v>
      </c>
      <c r="I19" s="534">
        <f>(I18+(I16*I13))/I13</f>
        <v>129.39209726443767</v>
      </c>
      <c r="K19" s="90"/>
      <c r="AI19" s="2"/>
    </row>
    <row r="20" spans="1:35" ht="14.25" customHeight="1" x14ac:dyDescent="0.3">
      <c r="A20" s="2"/>
      <c r="B20" s="12"/>
      <c r="C20" s="123" t="s">
        <v>3</v>
      </c>
      <c r="D20" s="118" t="s">
        <v>569</v>
      </c>
      <c r="E20" s="535">
        <f>IF(E14=0,0,(E17*E14)/E14)</f>
        <v>73.449999999999989</v>
      </c>
      <c r="F20" s="535">
        <f>IF(F14=0,0,(F17*F14)/F14)</f>
        <v>0</v>
      </c>
      <c r="G20" s="536">
        <f>IF(G14=0,0,(G17*G14)/G14)</f>
        <v>42.374999999999993</v>
      </c>
      <c r="H20" s="536"/>
      <c r="I20" s="536"/>
      <c r="K20" s="2"/>
      <c r="AI20" s="2"/>
    </row>
    <row r="21" spans="1:35" ht="14.25" customHeight="1" x14ac:dyDescent="0.3">
      <c r="A21" s="2"/>
      <c r="B21" s="13"/>
      <c r="C21" s="306" t="s">
        <v>2</v>
      </c>
      <c r="D21" s="117" t="s">
        <v>567</v>
      </c>
      <c r="E21" s="537">
        <f>(E13*E16)+E18</f>
        <v>1485</v>
      </c>
      <c r="F21" s="538">
        <f>(F13*F16)+F18</f>
        <v>1293.325</v>
      </c>
      <c r="G21" s="538">
        <f>(G13*G16)+G18</f>
        <v>842.17400000000009</v>
      </c>
      <c r="H21" s="538">
        <f>(H13*H16)+H18</f>
        <v>824.65499999999997</v>
      </c>
      <c r="I21" s="538">
        <f>(I13*I16)+I18</f>
        <v>1216.2857142857142</v>
      </c>
      <c r="K21" s="2"/>
      <c r="AI21" s="2"/>
    </row>
    <row r="22" spans="1:35" ht="14.25" customHeight="1" x14ac:dyDescent="0.3">
      <c r="A22" s="2"/>
      <c r="B22" s="13"/>
      <c r="C22" s="123" t="s">
        <v>3</v>
      </c>
      <c r="D22" s="118" t="s">
        <v>567</v>
      </c>
      <c r="E22" s="539">
        <f>E14*E17</f>
        <v>286.45499999999993</v>
      </c>
      <c r="F22" s="540"/>
      <c r="G22" s="540">
        <f>G14*G17</f>
        <v>110.17499999999998</v>
      </c>
      <c r="H22" s="540"/>
      <c r="I22" s="540"/>
      <c r="K22" s="90"/>
      <c r="AI22" s="2"/>
    </row>
    <row r="23" spans="1:35" ht="14.25" customHeight="1" x14ac:dyDescent="0.3">
      <c r="A23" s="2"/>
      <c r="B23" s="14"/>
      <c r="C23" s="541" t="s">
        <v>9</v>
      </c>
      <c r="D23" s="118" t="s">
        <v>567</v>
      </c>
      <c r="E23" s="539">
        <f>E21+E22</f>
        <v>1771.4549999999999</v>
      </c>
      <c r="F23" s="540">
        <f>F21</f>
        <v>1293.325</v>
      </c>
      <c r="G23" s="540">
        <f>G21+G22</f>
        <v>952.34900000000005</v>
      </c>
      <c r="H23" s="540">
        <f>H21</f>
        <v>824.65499999999997</v>
      </c>
      <c r="I23" s="540">
        <f>I21</f>
        <v>1216.2857142857142</v>
      </c>
      <c r="K23" s="2"/>
      <c r="AI23" s="2"/>
    </row>
    <row r="24" spans="1:35" ht="14.25" customHeight="1" x14ac:dyDescent="0.3">
      <c r="A24" s="2"/>
      <c r="B24" s="367"/>
      <c r="C24" s="367"/>
      <c r="D24" s="367"/>
      <c r="E24" s="367"/>
      <c r="F24" s="367"/>
      <c r="G24" s="367"/>
      <c r="H24" s="367"/>
      <c r="I24" s="367"/>
      <c r="K24" s="2"/>
      <c r="AI24" s="2"/>
    </row>
    <row r="25" spans="1:35" ht="14.25" customHeight="1" x14ac:dyDescent="0.3">
      <c r="A25" s="2"/>
      <c r="B25" s="367"/>
      <c r="C25" s="367"/>
      <c r="D25" s="367"/>
      <c r="E25" s="367"/>
      <c r="F25" s="367"/>
      <c r="G25" s="367"/>
      <c r="H25" s="367"/>
      <c r="I25" s="367"/>
      <c r="K25" s="2"/>
      <c r="AI25" s="2"/>
    </row>
    <row r="26" spans="1:35" ht="14.25" customHeight="1" x14ac:dyDescent="0.3">
      <c r="A26" s="2"/>
      <c r="B26" s="15" t="s">
        <v>10</v>
      </c>
      <c r="C26" s="81" t="s">
        <v>453</v>
      </c>
      <c r="D26" s="89" t="s">
        <v>570</v>
      </c>
      <c r="E26" s="531">
        <f>'Arable Inputs'!D$41</f>
        <v>132</v>
      </c>
      <c r="F26" s="531">
        <f>'Arable Inputs'!E$41</f>
        <v>29</v>
      </c>
      <c r="G26" s="531">
        <f>'Arable Inputs'!F$41</f>
        <v>1.52</v>
      </c>
      <c r="H26" s="531">
        <f>'Arable Inputs'!G$41</f>
        <v>2.9099999999999997</v>
      </c>
      <c r="I26" s="531">
        <f>'Arable Inputs'!H$41</f>
        <v>187.86249999999998</v>
      </c>
      <c r="K26" s="2"/>
      <c r="AI26" s="2"/>
    </row>
    <row r="27" spans="1:35" ht="14.25" customHeight="1" x14ac:dyDescent="0.3">
      <c r="A27" s="2"/>
      <c r="B27" s="10"/>
      <c r="C27" s="126" t="s">
        <v>11</v>
      </c>
      <c r="D27" s="80" t="s">
        <v>567</v>
      </c>
      <c r="E27" s="84">
        <f>E26</f>
        <v>132</v>
      </c>
      <c r="F27" s="84">
        <f>F26</f>
        <v>29</v>
      </c>
      <c r="G27" s="84">
        <f>G26</f>
        <v>1.52</v>
      </c>
      <c r="H27" s="84">
        <f>H26</f>
        <v>2.9099999999999997</v>
      </c>
      <c r="I27" s="84">
        <f>I26</f>
        <v>187.86249999999998</v>
      </c>
      <c r="J27" s="3"/>
      <c r="K27" s="2"/>
      <c r="AI27" s="2"/>
    </row>
    <row r="28" spans="1:35" ht="14.25" customHeight="1" x14ac:dyDescent="0.3">
      <c r="A28" s="2"/>
      <c r="B28" s="10"/>
      <c r="C28" s="892" t="s">
        <v>12</v>
      </c>
      <c r="D28" s="79" t="s">
        <v>571</v>
      </c>
      <c r="E28" s="543">
        <f>'Arable Inputs'!$D$34</f>
        <v>0.73675999999999997</v>
      </c>
      <c r="F28" s="543">
        <f>'Arable Inputs'!$D$34</f>
        <v>0.73675999999999997</v>
      </c>
      <c r="G28" s="543">
        <f>'Arable Inputs'!$D$34</f>
        <v>0.73675999999999997</v>
      </c>
      <c r="H28" s="543">
        <f>'Arable Inputs'!$D$34</f>
        <v>0.73675999999999997</v>
      </c>
      <c r="I28" s="543">
        <f>'Arable Inputs'!$D$34</f>
        <v>0.73675999999999997</v>
      </c>
      <c r="J28" s="40"/>
      <c r="K28" s="2"/>
      <c r="AI28" s="2"/>
    </row>
    <row r="29" spans="1:35" ht="14.25" customHeight="1" x14ac:dyDescent="0.3">
      <c r="A29" s="2"/>
      <c r="B29" s="10"/>
      <c r="C29" s="125" t="s">
        <v>13</v>
      </c>
      <c r="D29" s="80" t="s">
        <v>90</v>
      </c>
      <c r="E29" s="542">
        <f>'Arable Inputs'!D$58</f>
        <v>108</v>
      </c>
      <c r="F29" s="542">
        <f>'Arable Inputs'!E$58</f>
        <v>0</v>
      </c>
      <c r="G29" s="542">
        <f>'Arable Inputs'!F$58</f>
        <v>114</v>
      </c>
      <c r="H29" s="542">
        <f>'Arable Inputs'!G$58</f>
        <v>92</v>
      </c>
      <c r="I29" s="542">
        <f>'Arable Inputs'!H$58</f>
        <v>150</v>
      </c>
      <c r="J29" s="891"/>
      <c r="K29" s="2"/>
      <c r="AI29" s="2"/>
    </row>
    <row r="30" spans="1:35" ht="14.25" customHeight="1" x14ac:dyDescent="0.3">
      <c r="A30" s="2"/>
      <c r="B30" s="10"/>
      <c r="C30" s="126" t="s">
        <v>11</v>
      </c>
      <c r="D30" s="80" t="s">
        <v>567</v>
      </c>
      <c r="E30" s="84">
        <f>E28*E29</f>
        <v>79.57007999999999</v>
      </c>
      <c r="F30" s="84">
        <f>F28*F29</f>
        <v>0</v>
      </c>
      <c r="G30" s="84">
        <f>G28*G29</f>
        <v>83.990639999999999</v>
      </c>
      <c r="H30" s="84">
        <f>H28*H29</f>
        <v>67.78192</v>
      </c>
      <c r="I30" s="853">
        <f>I28*I29</f>
        <v>110.514</v>
      </c>
      <c r="J30" s="891"/>
      <c r="K30" s="2"/>
      <c r="AI30" s="2"/>
    </row>
    <row r="31" spans="1:35" ht="14.25" customHeight="1" x14ac:dyDescent="0.3">
      <c r="A31" s="2"/>
      <c r="B31" s="10"/>
      <c r="C31" s="892" t="s">
        <v>14</v>
      </c>
      <c r="D31" s="79" t="s">
        <v>571</v>
      </c>
      <c r="E31" s="543">
        <f>'Arable Inputs'!$D$35</f>
        <v>0.72432999999999992</v>
      </c>
      <c r="F31" s="543">
        <f>'Arable Inputs'!$D$35</f>
        <v>0.72432999999999992</v>
      </c>
      <c r="G31" s="543">
        <f>'Arable Inputs'!$D$35</f>
        <v>0.72432999999999992</v>
      </c>
      <c r="H31" s="543">
        <f>'Arable Inputs'!$D$35</f>
        <v>0.72432999999999992</v>
      </c>
      <c r="I31" s="543">
        <f>'Arable Inputs'!$D$35</f>
        <v>0.72432999999999992</v>
      </c>
      <c r="J31" s="891"/>
      <c r="K31" s="2"/>
      <c r="AI31" s="2"/>
    </row>
    <row r="32" spans="1:35" ht="14.25" customHeight="1" x14ac:dyDescent="0.3">
      <c r="A32" s="2"/>
      <c r="B32" s="10"/>
      <c r="C32" s="125" t="s">
        <v>15</v>
      </c>
      <c r="D32" s="80" t="s">
        <v>90</v>
      </c>
      <c r="E32" s="542">
        <f>'Arable Inputs'!D$59</f>
        <v>210.52631578947367</v>
      </c>
      <c r="F32" s="542">
        <f>'Arable Inputs'!E$59</f>
        <v>210.52631578947367</v>
      </c>
      <c r="G32" s="542">
        <f>'Arable Inputs'!F$59</f>
        <v>109.83981693363845</v>
      </c>
      <c r="H32" s="542">
        <f>'Arable Inputs'!G$59</f>
        <v>157.89473684210526</v>
      </c>
      <c r="I32" s="542">
        <f>'Arable Inputs'!H$59</f>
        <v>115</v>
      </c>
      <c r="J32" s="891"/>
      <c r="K32" s="2"/>
      <c r="AI32" s="2"/>
    </row>
    <row r="33" spans="1:35" ht="14.25" customHeight="1" x14ac:dyDescent="0.3">
      <c r="A33" s="2"/>
      <c r="B33" s="10"/>
      <c r="C33" s="126" t="s">
        <v>11</v>
      </c>
      <c r="D33" s="80" t="s">
        <v>567</v>
      </c>
      <c r="E33" s="84">
        <f>E31*E32</f>
        <v>152.49052631578945</v>
      </c>
      <c r="F33" s="84">
        <f>F31*F32</f>
        <v>152.49052631578945</v>
      </c>
      <c r="G33" s="84">
        <f>G31*G32</f>
        <v>79.560274599542325</v>
      </c>
      <c r="H33" s="84">
        <f>H31*H32</f>
        <v>114.36789473684209</v>
      </c>
      <c r="I33" s="853">
        <f>I31*I32</f>
        <v>83.297949999999986</v>
      </c>
      <c r="J33" s="891"/>
      <c r="K33" s="2"/>
      <c r="AI33" s="2"/>
    </row>
    <row r="34" spans="1:35" ht="14.25" customHeight="1" x14ac:dyDescent="0.3">
      <c r="A34" s="2"/>
      <c r="B34" s="10"/>
      <c r="C34" s="892" t="s">
        <v>16</v>
      </c>
      <c r="D34" s="79" t="s">
        <v>571</v>
      </c>
      <c r="E34" s="543">
        <f>'Arable Inputs'!$D$36</f>
        <v>0.50849999999999995</v>
      </c>
      <c r="F34" s="543">
        <f>'Arable Inputs'!$D$36</f>
        <v>0.50849999999999995</v>
      </c>
      <c r="G34" s="543">
        <f>'Arable Inputs'!$D$36</f>
        <v>0.50849999999999995</v>
      </c>
      <c r="H34" s="543">
        <f>'Arable Inputs'!$D$36</f>
        <v>0.50849999999999995</v>
      </c>
      <c r="I34" s="543">
        <f>'Arable Inputs'!$D$36</f>
        <v>0.50849999999999995</v>
      </c>
      <c r="J34" s="891"/>
      <c r="K34" s="2"/>
      <c r="AI34" s="2"/>
    </row>
    <row r="35" spans="1:35" ht="14.25" customHeight="1" x14ac:dyDescent="0.3">
      <c r="A35" s="2"/>
      <c r="B35" s="10"/>
      <c r="C35" s="125" t="s">
        <v>17</v>
      </c>
      <c r="D35" s="80" t="s">
        <v>90</v>
      </c>
      <c r="E35" s="542">
        <f>'Arable Inputs'!D$60</f>
        <v>75</v>
      </c>
      <c r="F35" s="542">
        <f>'Arable Inputs'!E$60</f>
        <v>175</v>
      </c>
      <c r="G35" s="542">
        <f>'Arable Inputs'!F$60</f>
        <v>75</v>
      </c>
      <c r="H35" s="542">
        <f>'Arable Inputs'!G$60</f>
        <v>75</v>
      </c>
      <c r="I35" s="542">
        <f>'Arable Inputs'!H$60</f>
        <v>175</v>
      </c>
      <c r="J35" s="891"/>
      <c r="K35" s="2"/>
      <c r="AI35" s="2"/>
    </row>
    <row r="36" spans="1:35" ht="14.25" customHeight="1" x14ac:dyDescent="0.3">
      <c r="A36" s="2"/>
      <c r="B36" s="10"/>
      <c r="C36" s="126" t="s">
        <v>11</v>
      </c>
      <c r="D36" s="80" t="s">
        <v>567</v>
      </c>
      <c r="E36" s="84">
        <f>E34*E35</f>
        <v>38.137499999999996</v>
      </c>
      <c r="F36" s="84">
        <f>F34*F35</f>
        <v>88.987499999999997</v>
      </c>
      <c r="G36" s="84">
        <f>G34*G35</f>
        <v>38.137499999999996</v>
      </c>
      <c r="H36" s="84">
        <f>H34*H35</f>
        <v>38.137499999999996</v>
      </c>
      <c r="I36" s="853">
        <f>I34*I35</f>
        <v>88.987499999999997</v>
      </c>
      <c r="J36" s="891"/>
      <c r="K36" s="2"/>
      <c r="AI36" s="2"/>
    </row>
    <row r="37" spans="1:35" ht="14.25" customHeight="1" x14ac:dyDescent="0.3">
      <c r="A37" s="2"/>
      <c r="B37" s="10"/>
      <c r="C37" s="126" t="s">
        <v>513</v>
      </c>
      <c r="D37" s="80" t="s">
        <v>567</v>
      </c>
      <c r="E37" s="154">
        <f>E30+E33+E36</f>
        <v>270.19810631578946</v>
      </c>
      <c r="F37" s="154">
        <f>F30+F33+F36</f>
        <v>241.47802631578946</v>
      </c>
      <c r="G37" s="154">
        <f>G30+G33+G36</f>
        <v>201.68841459954231</v>
      </c>
      <c r="H37" s="154">
        <f>H30+H33+H36</f>
        <v>220.28731473684206</v>
      </c>
      <c r="I37" s="154">
        <f>I30+I33+I36</f>
        <v>282.79944999999998</v>
      </c>
      <c r="K37" s="2"/>
      <c r="AI37" s="2"/>
    </row>
    <row r="38" spans="1:35" ht="14.25" customHeight="1" x14ac:dyDescent="0.3">
      <c r="A38" s="2"/>
      <c r="B38" s="10"/>
      <c r="C38" s="32" t="s">
        <v>452</v>
      </c>
      <c r="D38" s="89" t="s">
        <v>572</v>
      </c>
      <c r="E38" s="543">
        <f>'Arable Inputs'!D$47</f>
        <v>189.3</v>
      </c>
      <c r="F38" s="543">
        <f>'Arable Inputs'!E$47</f>
        <v>29.85</v>
      </c>
      <c r="G38" s="543">
        <f>'Arable Inputs'!F$47</f>
        <v>104</v>
      </c>
      <c r="H38" s="543">
        <f>'Arable Inputs'!G$47</f>
        <v>31.88</v>
      </c>
      <c r="I38" s="543">
        <f>'Arable Inputs'!H$47</f>
        <v>96.05</v>
      </c>
      <c r="K38" s="2"/>
      <c r="AI38" s="2"/>
    </row>
    <row r="39" spans="1:35" ht="14.25" customHeight="1" x14ac:dyDescent="0.3">
      <c r="A39" s="2"/>
      <c r="B39" s="10"/>
      <c r="C39" s="126" t="s">
        <v>11</v>
      </c>
      <c r="D39" s="80" t="s">
        <v>567</v>
      </c>
      <c r="E39" s="84">
        <f>E38</f>
        <v>189.3</v>
      </c>
      <c r="F39" s="84">
        <f>F38</f>
        <v>29.85</v>
      </c>
      <c r="G39" s="84">
        <f>G38</f>
        <v>104</v>
      </c>
      <c r="H39" s="84">
        <f>H38</f>
        <v>31.88</v>
      </c>
      <c r="I39" s="84">
        <f>I38</f>
        <v>96.05</v>
      </c>
      <c r="K39" s="2"/>
      <c r="AI39" s="2"/>
    </row>
    <row r="40" spans="1:35" ht="14.25" customHeight="1" x14ac:dyDescent="0.3">
      <c r="A40" s="2"/>
      <c r="B40" s="10"/>
      <c r="C40" s="32" t="s">
        <v>0</v>
      </c>
      <c r="D40" s="79" t="s">
        <v>569</v>
      </c>
      <c r="E40" s="543">
        <f>'Arable Inputs'!D$50</f>
        <v>3.9549999999999996</v>
      </c>
      <c r="F40" s="543">
        <f>'Arable Inputs'!E$50</f>
        <v>0</v>
      </c>
      <c r="G40" s="543">
        <f>'Arable Inputs'!F$50</f>
        <v>3.9549999999999996</v>
      </c>
      <c r="H40" s="532"/>
      <c r="I40" s="463"/>
      <c r="K40" s="2"/>
      <c r="AI40" s="2"/>
    </row>
    <row r="41" spans="1:35" ht="14.25" customHeight="1" x14ac:dyDescent="0.3">
      <c r="A41" s="2"/>
      <c r="B41" s="16"/>
      <c r="C41" s="33" t="s">
        <v>18</v>
      </c>
      <c r="D41" s="127" t="s">
        <v>89</v>
      </c>
      <c r="E41" s="536">
        <f>$E$14</f>
        <v>3.9</v>
      </c>
      <c r="F41" s="536">
        <f>$F$14</f>
        <v>0</v>
      </c>
      <c r="G41" s="536">
        <f>$G$14</f>
        <v>2.6</v>
      </c>
      <c r="H41" s="536"/>
      <c r="I41" s="536"/>
      <c r="K41" s="2"/>
      <c r="AI41" s="2"/>
    </row>
    <row r="42" spans="1:35" ht="14.25" customHeight="1" x14ac:dyDescent="0.3">
      <c r="A42" s="2"/>
      <c r="B42" s="16"/>
      <c r="C42" s="28" t="s">
        <v>11</v>
      </c>
      <c r="D42" s="89" t="s">
        <v>567</v>
      </c>
      <c r="E42" s="534">
        <f>E40*E41</f>
        <v>15.424499999999998</v>
      </c>
      <c r="F42" s="534">
        <f>F40*F41</f>
        <v>0</v>
      </c>
      <c r="G42" s="534">
        <f>G40*G41</f>
        <v>10.282999999999999</v>
      </c>
      <c r="H42" s="534"/>
      <c r="I42" s="545"/>
      <c r="K42" s="2"/>
      <c r="AI42" s="2"/>
    </row>
    <row r="43" spans="1:35" ht="14.25" customHeight="1" x14ac:dyDescent="0.3">
      <c r="A43" s="2"/>
      <c r="B43" s="178" t="s">
        <v>233</v>
      </c>
      <c r="C43" s="81" t="s">
        <v>2</v>
      </c>
      <c r="D43" s="83" t="s">
        <v>569</v>
      </c>
      <c r="E43" s="307">
        <f>E45/E13</f>
        <v>110.34956478468899</v>
      </c>
      <c r="F43" s="307">
        <f>F45/F13</f>
        <v>96.88000848896435</v>
      </c>
      <c r="G43" s="307">
        <f>G45/G13</f>
        <v>122.11208253828551</v>
      </c>
      <c r="H43" s="307">
        <f>H45/H13</f>
        <v>121.46538796992478</v>
      </c>
      <c r="I43" s="546">
        <f>I45/I13</f>
        <v>60.288505319148925</v>
      </c>
      <c r="K43" s="2"/>
      <c r="AI43" s="2"/>
    </row>
    <row r="44" spans="1:35" ht="14.25" customHeight="1" x14ac:dyDescent="0.3">
      <c r="A44" s="2"/>
      <c r="B44" s="16"/>
      <c r="C44" s="32" t="s">
        <v>3</v>
      </c>
      <c r="D44" s="80" t="s">
        <v>569</v>
      </c>
      <c r="E44" s="308">
        <f>IF(E14=0,0,E46/E14)</f>
        <v>3.9549999999999996</v>
      </c>
      <c r="F44" s="308">
        <f>IF(F14=0,0,F46/F14)</f>
        <v>0</v>
      </c>
      <c r="G44" s="308">
        <f>IF(G14=0,0,G46/G14)</f>
        <v>3.9549999999999996</v>
      </c>
      <c r="H44" s="308"/>
      <c r="I44" s="547"/>
      <c r="K44" s="2"/>
      <c r="AI44" s="2"/>
    </row>
    <row r="45" spans="1:35" ht="14.25" customHeight="1" x14ac:dyDescent="0.3">
      <c r="A45" s="2"/>
      <c r="B45" s="7"/>
      <c r="C45" s="175" t="s">
        <v>2</v>
      </c>
      <c r="D45" s="18" t="s">
        <v>567</v>
      </c>
      <c r="E45" s="109">
        <f>E27+E37+E39+E42</f>
        <v>606.92260631578949</v>
      </c>
      <c r="F45" s="109">
        <f>F27+F37+F39+F42</f>
        <v>300.32802631578949</v>
      </c>
      <c r="G45" s="109">
        <f>G27+G37+G39+G42</f>
        <v>317.49141459954234</v>
      </c>
      <c r="H45" s="109">
        <f>H27+H37+H39</f>
        <v>255.07731473684206</v>
      </c>
      <c r="I45" s="548">
        <f>I27+I37+I39</f>
        <v>566.71194999999989</v>
      </c>
      <c r="K45" s="2"/>
      <c r="AI45" s="2"/>
    </row>
    <row r="46" spans="1:35" ht="14.25" customHeight="1" x14ac:dyDescent="0.3">
      <c r="A46" s="2"/>
      <c r="B46" s="10"/>
      <c r="C46" s="95" t="s">
        <v>3</v>
      </c>
      <c r="D46" s="80" t="s">
        <v>567</v>
      </c>
      <c r="E46" s="110">
        <f>E42</f>
        <v>15.424499999999998</v>
      </c>
      <c r="F46" s="110">
        <f>F42</f>
        <v>0</v>
      </c>
      <c r="G46" s="110">
        <f>G42</f>
        <v>10.282999999999999</v>
      </c>
      <c r="H46" s="110"/>
      <c r="I46" s="549"/>
      <c r="K46" s="2"/>
      <c r="AI46" s="2"/>
    </row>
    <row r="47" spans="1:35" ht="14.25" customHeight="1" x14ac:dyDescent="0.3">
      <c r="A47" s="2"/>
      <c r="B47" s="77"/>
      <c r="C47" s="305" t="s">
        <v>9</v>
      </c>
      <c r="D47" s="89" t="s">
        <v>567</v>
      </c>
      <c r="E47" s="111">
        <f>E45+E46</f>
        <v>622.34710631578946</v>
      </c>
      <c r="F47" s="111">
        <f>F45+F46</f>
        <v>300.32802631578949</v>
      </c>
      <c r="G47" s="111">
        <f>G45+G46</f>
        <v>327.77441459954235</v>
      </c>
      <c r="H47" s="111">
        <f>H45+H46</f>
        <v>255.07731473684206</v>
      </c>
      <c r="I47" s="550">
        <f>I45+I46</f>
        <v>566.71194999999989</v>
      </c>
      <c r="K47" s="2"/>
      <c r="AI47" s="2"/>
    </row>
    <row r="48" spans="1:35" ht="14.25" customHeight="1" x14ac:dyDescent="0.3">
      <c r="A48" s="2"/>
      <c r="B48" s="367"/>
      <c r="C48" s="367"/>
      <c r="D48" s="367"/>
      <c r="E48" s="367"/>
      <c r="F48" s="367"/>
      <c r="G48" s="367"/>
      <c r="H48" s="367"/>
      <c r="I48" s="367"/>
      <c r="K48" s="2"/>
      <c r="AI48" s="2"/>
    </row>
    <row r="49" spans="1:35" ht="14.25" customHeight="1" x14ac:dyDescent="0.3">
      <c r="A49" s="2"/>
      <c r="B49" s="367"/>
      <c r="C49" s="367"/>
      <c r="D49" s="367"/>
      <c r="E49" s="367"/>
      <c r="F49" s="367"/>
      <c r="G49" s="367"/>
      <c r="H49" s="367"/>
      <c r="I49" s="367"/>
      <c r="K49" s="2"/>
      <c r="AI49" s="2"/>
    </row>
    <row r="50" spans="1:35" ht="14.25" customHeight="1" x14ac:dyDescent="0.3">
      <c r="A50" s="2"/>
      <c r="B50" s="15" t="s">
        <v>229</v>
      </c>
      <c r="C50" s="81" t="s">
        <v>29</v>
      </c>
      <c r="D50" s="83" t="s">
        <v>567</v>
      </c>
      <c r="E50" s="551">
        <f>'Arable fixed costs'!F171</f>
        <v>134.28919999999999</v>
      </c>
      <c r="F50" s="551">
        <f>'Arable fixed costs'!G171</f>
        <v>124.24349999999998</v>
      </c>
      <c r="G50" s="551">
        <f>'Arable fixed costs'!H171</f>
        <v>52.217299999999994</v>
      </c>
      <c r="H50" s="551">
        <f>'Arable fixed costs'!I171</f>
        <v>134.28919999999999</v>
      </c>
      <c r="I50" s="551">
        <f>'Arable fixed costs'!K171</f>
        <v>134.28919999999999</v>
      </c>
      <c r="K50" s="2"/>
      <c r="AI50" s="2"/>
    </row>
    <row r="51" spans="1:35" ht="14.25" customHeight="1" x14ac:dyDescent="0.3">
      <c r="A51" s="2"/>
      <c r="B51" s="9"/>
      <c r="C51" s="32" t="s">
        <v>30</v>
      </c>
      <c r="D51" s="79" t="s">
        <v>567</v>
      </c>
      <c r="E51" s="552">
        <f>'Arable fixed costs'!F172</f>
        <v>79.89913599999997</v>
      </c>
      <c r="F51" s="552">
        <f>'Arable fixed costs'!G172</f>
        <v>19.974783999999993</v>
      </c>
      <c r="G51" s="552">
        <f>'Arable fixed costs'!H172</f>
        <v>19.974783999999993</v>
      </c>
      <c r="H51" s="552">
        <f>'Arable fixed costs'!I172</f>
        <v>39.949567999999985</v>
      </c>
      <c r="I51" s="552">
        <f>'Arable fixed costs'!K172</f>
        <v>79.89913599999997</v>
      </c>
      <c r="K51" s="2"/>
      <c r="AI51" s="2"/>
    </row>
    <row r="52" spans="1:35" ht="14.25" customHeight="1" x14ac:dyDescent="0.3">
      <c r="A52" s="2"/>
      <c r="B52" s="9"/>
      <c r="C52" s="32" t="s">
        <v>129</v>
      </c>
      <c r="D52" s="79" t="s">
        <v>567</v>
      </c>
      <c r="E52" s="552">
        <f>'Arable fixed costs'!F173</f>
        <v>0</v>
      </c>
      <c r="F52" s="552">
        <f>'Arable fixed costs'!G173</f>
        <v>0</v>
      </c>
      <c r="G52" s="552">
        <f>'Arable fixed costs'!H173</f>
        <v>0</v>
      </c>
      <c r="H52" s="552">
        <f>'Arable fixed costs'!I173</f>
        <v>0</v>
      </c>
      <c r="I52" s="552">
        <f>'Arable fixed costs'!K173</f>
        <v>0</v>
      </c>
      <c r="K52" s="2"/>
      <c r="AI52" s="2"/>
    </row>
    <row r="53" spans="1:35" ht="14.25" customHeight="1" x14ac:dyDescent="0.3">
      <c r="A53" s="2"/>
      <c r="B53" s="10"/>
      <c r="C53" s="32" t="s">
        <v>31</v>
      </c>
      <c r="D53" s="79" t="s">
        <v>567</v>
      </c>
      <c r="E53" s="552">
        <f>'Arable fixed costs'!F174</f>
        <v>30.555199999999996</v>
      </c>
      <c r="F53" s="552">
        <f>'Arable fixed costs'!G174</f>
        <v>30.555199999999996</v>
      </c>
      <c r="G53" s="552">
        <f>'Arable fixed costs'!H174</f>
        <v>64.952399999999997</v>
      </c>
      <c r="H53" s="552">
        <f>'Arable fixed costs'!I174</f>
        <v>30.555199999999996</v>
      </c>
      <c r="I53" s="552">
        <f>'Arable fixed costs'!K174</f>
        <v>50.849999999999994</v>
      </c>
      <c r="K53" s="2"/>
      <c r="AI53" s="2"/>
    </row>
    <row r="54" spans="1:35" ht="14.25" customHeight="1" x14ac:dyDescent="0.3">
      <c r="A54" s="2"/>
      <c r="B54" s="10"/>
      <c r="C54" s="33" t="s">
        <v>32</v>
      </c>
      <c r="D54" s="79" t="s">
        <v>567</v>
      </c>
      <c r="E54" s="552">
        <f>'Arable fixed costs'!F175</f>
        <v>56.511299999999991</v>
      </c>
      <c r="F54" s="552">
        <f>'Arable fixed costs'!G175</f>
        <v>11.3904</v>
      </c>
      <c r="G54" s="552">
        <f>'Arable fixed costs'!H175</f>
        <v>22.780799999999999</v>
      </c>
      <c r="H54" s="552">
        <f>'Arable fixed costs'!I175</f>
        <v>22.780799999999999</v>
      </c>
      <c r="I54" s="552">
        <f>'Arable fixed costs'!K175</f>
        <v>22.780799999999999</v>
      </c>
      <c r="K54" s="2"/>
      <c r="AI54" s="2"/>
    </row>
    <row r="55" spans="1:35" ht="14.25" customHeight="1" x14ac:dyDescent="0.3">
      <c r="A55" s="2"/>
      <c r="B55" s="10"/>
      <c r="C55" s="33" t="s">
        <v>177</v>
      </c>
      <c r="D55" s="79" t="s">
        <v>567</v>
      </c>
      <c r="E55" s="552">
        <f>'Arable fixed costs'!F176</f>
        <v>262.86059999999998</v>
      </c>
      <c r="F55" s="552">
        <f>'Arable fixed costs'!G176</f>
        <v>262.86059999999998</v>
      </c>
      <c r="G55" s="552">
        <f>'Arable fixed costs'!H176</f>
        <v>142.07489999999999</v>
      </c>
      <c r="H55" s="552">
        <f>'Arable fixed costs'!I176</f>
        <v>394.5055999999999</v>
      </c>
      <c r="I55" s="552">
        <f>'Arable fixed costs'!K176</f>
        <v>197.74999999999997</v>
      </c>
      <c r="K55" s="2"/>
      <c r="AI55" s="2"/>
    </row>
    <row r="56" spans="1:35" ht="14.25" customHeight="1" x14ac:dyDescent="0.3">
      <c r="A56" s="2"/>
      <c r="B56" s="10"/>
      <c r="C56" s="33" t="s">
        <v>204</v>
      </c>
      <c r="D56" s="79" t="s">
        <v>567</v>
      </c>
      <c r="E56" s="552">
        <f>'Arable fixed costs'!F177</f>
        <v>0</v>
      </c>
      <c r="F56" s="552">
        <f>'Arable fixed costs'!G177</f>
        <v>0</v>
      </c>
      <c r="G56" s="552">
        <f>'Arable fixed costs'!H177</f>
        <v>0</v>
      </c>
      <c r="H56" s="552">
        <f>'Arable fixed costs'!I177</f>
        <v>0</v>
      </c>
      <c r="I56" s="552">
        <f>'Arable fixed costs'!K177</f>
        <v>0</v>
      </c>
      <c r="K56" s="2"/>
      <c r="AI56" s="2"/>
    </row>
    <row r="57" spans="1:35" ht="14.25" customHeight="1" x14ac:dyDescent="0.3">
      <c r="A57" s="2"/>
      <c r="B57" s="10"/>
      <c r="C57" s="32" t="s">
        <v>152</v>
      </c>
      <c r="D57" s="79" t="s">
        <v>567</v>
      </c>
      <c r="E57" s="552">
        <f>'Arable fixed costs'!F178</f>
        <v>65.686899999999994</v>
      </c>
      <c r="F57" s="552">
        <f>'Arable fixed costs'!G178</f>
        <v>0</v>
      </c>
      <c r="G57" s="552">
        <f>'Arable fixed costs'!H178</f>
        <v>59.149042857142852</v>
      </c>
      <c r="H57" s="552">
        <f>'Arable fixed costs'!I178</f>
        <v>0</v>
      </c>
      <c r="I57" s="552">
        <f>'Arable fixed costs'!K178</f>
        <v>0</v>
      </c>
      <c r="K57" s="2"/>
      <c r="AI57" s="2"/>
    </row>
    <row r="58" spans="1:35" ht="14.25" customHeight="1" x14ac:dyDescent="0.3">
      <c r="A58" s="2"/>
      <c r="B58" s="10"/>
      <c r="C58" s="32" t="s">
        <v>96</v>
      </c>
      <c r="D58" s="79" t="s">
        <v>567</v>
      </c>
      <c r="E58" s="552">
        <f>'Arable fixed costs'!F179</f>
        <v>0</v>
      </c>
      <c r="F58" s="552">
        <f>'Arable fixed costs'!G179</f>
        <v>0</v>
      </c>
      <c r="G58" s="552">
        <f>'Arable fixed costs'!H179</f>
        <v>8.8140000000000001</v>
      </c>
      <c r="H58" s="552">
        <f>'Arable fixed costs'!I179</f>
        <v>0</v>
      </c>
      <c r="I58" s="552">
        <f>'Arable fixed costs'!K179</f>
        <v>0</v>
      </c>
      <c r="K58" s="2"/>
      <c r="AI58" s="2"/>
    </row>
    <row r="59" spans="1:35" ht="14.25" customHeight="1" x14ac:dyDescent="0.3">
      <c r="A59" s="2"/>
      <c r="B59" s="10"/>
      <c r="C59" s="82" t="s">
        <v>205</v>
      </c>
      <c r="D59" s="80" t="s">
        <v>567</v>
      </c>
      <c r="E59" s="553">
        <f>'Arable fixed costs'!F180</f>
        <v>0</v>
      </c>
      <c r="F59" s="553">
        <f>'Arable fixed costs'!G180</f>
        <v>0</v>
      </c>
      <c r="G59" s="553">
        <f>'Arable fixed costs'!H180</f>
        <v>0</v>
      </c>
      <c r="H59" s="553">
        <f>'Arable fixed costs'!I180</f>
        <v>0</v>
      </c>
      <c r="I59" s="553">
        <f>'Arable fixed costs'!K180</f>
        <v>0</v>
      </c>
      <c r="K59" s="2"/>
      <c r="AI59" s="2"/>
    </row>
    <row r="60" spans="1:35" ht="14.25" customHeight="1" x14ac:dyDescent="0.3">
      <c r="A60" s="2"/>
      <c r="B60" s="419"/>
      <c r="C60" s="81" t="s">
        <v>20</v>
      </c>
      <c r="D60" s="18" t="s">
        <v>567</v>
      </c>
      <c r="E60" s="551">
        <f>'Arable fixed costs'!F183</f>
        <v>564.11543599999993</v>
      </c>
      <c r="F60" s="551">
        <f>'Arable fixed costs'!G183</f>
        <v>449.02448399999992</v>
      </c>
      <c r="G60" s="551">
        <f>'Arable fixed costs'!H183</f>
        <v>310.81418400000001</v>
      </c>
      <c r="H60" s="551">
        <f>'Arable fixed costs'!I183</f>
        <v>622.08036799999991</v>
      </c>
      <c r="I60" s="551">
        <f>'Arable fixed costs'!K183</f>
        <v>485.56913599999996</v>
      </c>
      <c r="K60" s="2"/>
      <c r="AI60" s="2"/>
    </row>
    <row r="61" spans="1:35" ht="14.25" customHeight="1" x14ac:dyDescent="0.3">
      <c r="A61" s="2"/>
      <c r="B61" s="370"/>
      <c r="C61" s="82" t="s">
        <v>21</v>
      </c>
      <c r="D61" s="80" t="s">
        <v>567</v>
      </c>
      <c r="E61" s="553">
        <f>'Arable fixed costs'!F184</f>
        <v>65.686899999999994</v>
      </c>
      <c r="F61" s="553">
        <f>'Arable fixed costs'!G184</f>
        <v>0</v>
      </c>
      <c r="G61" s="553">
        <f>'Arable fixed costs'!H184</f>
        <v>59.149042857142852</v>
      </c>
      <c r="H61" s="554"/>
      <c r="I61" s="554"/>
      <c r="K61" s="2"/>
      <c r="P61" s="21"/>
      <c r="Q61" s="21"/>
      <c r="R61" s="21"/>
      <c r="S61" s="101"/>
      <c r="AI61" s="2"/>
    </row>
    <row r="62" spans="1:35" ht="14.25" customHeight="1" x14ac:dyDescent="0.3">
      <c r="A62" s="2"/>
      <c r="B62" s="555"/>
      <c r="C62" s="120" t="s">
        <v>230</v>
      </c>
      <c r="D62" s="118" t="s">
        <v>567</v>
      </c>
      <c r="E62" s="556">
        <f>SUM(E60:E61)</f>
        <v>629.80233599999997</v>
      </c>
      <c r="F62" s="556">
        <f>SUM(F60:F61)</f>
        <v>449.02448399999992</v>
      </c>
      <c r="G62" s="556">
        <f>SUM(G60:G61)</f>
        <v>369.96322685714284</v>
      </c>
      <c r="H62" s="556">
        <f>SUM(H60:H61)</f>
        <v>622.08036799999991</v>
      </c>
      <c r="I62" s="556">
        <f>SUM(I60:I61)</f>
        <v>485.56913599999996</v>
      </c>
      <c r="K62" s="2"/>
      <c r="AI62" s="2"/>
    </row>
    <row r="63" spans="1:35" ht="14.25" customHeight="1" x14ac:dyDescent="0.3">
      <c r="A63" s="2"/>
      <c r="B63" s="15" t="s">
        <v>231</v>
      </c>
      <c r="C63" s="82" t="s">
        <v>22</v>
      </c>
      <c r="D63" s="23" t="s">
        <v>573</v>
      </c>
      <c r="E63" s="557">
        <f>'Arable Inputs'!$D$31</f>
        <v>14.5</v>
      </c>
      <c r="F63" s="557">
        <f>'Arable Inputs'!$D$31</f>
        <v>14.5</v>
      </c>
      <c r="G63" s="557">
        <f>'Arable Inputs'!$D$31</f>
        <v>14.5</v>
      </c>
      <c r="H63" s="557">
        <f>'Arable Inputs'!$D$31</f>
        <v>14.5</v>
      </c>
      <c r="I63" s="557">
        <f>'Arable Inputs'!$D$31</f>
        <v>14.5</v>
      </c>
      <c r="K63" s="2"/>
      <c r="AI63" s="2"/>
    </row>
    <row r="64" spans="1:35" ht="14.25" customHeight="1" x14ac:dyDescent="0.3">
      <c r="A64" s="2"/>
      <c r="B64" s="419"/>
      <c r="C64" s="33" t="s">
        <v>23</v>
      </c>
      <c r="D64" s="30" t="s">
        <v>24</v>
      </c>
      <c r="E64" s="552">
        <f>'Arable fixed costs'!F186</f>
        <v>16.8</v>
      </c>
      <c r="F64" s="552">
        <f>'Arable fixed costs'!G186</f>
        <v>6.8</v>
      </c>
      <c r="G64" s="552">
        <f>'Arable fixed costs'!H186</f>
        <v>18.3</v>
      </c>
      <c r="H64" s="552">
        <f>'Arable fixed costs'!I186</f>
        <v>10.799999999999999</v>
      </c>
      <c r="I64" s="552">
        <f>'Arable fixed costs'!K186</f>
        <v>14.2</v>
      </c>
      <c r="K64" s="2"/>
      <c r="AI64" s="2"/>
    </row>
    <row r="65" spans="1:65" ht="14.25" customHeight="1" x14ac:dyDescent="0.3">
      <c r="A65" s="2"/>
      <c r="B65" s="419"/>
      <c r="C65" s="33" t="s">
        <v>25</v>
      </c>
      <c r="D65" s="30" t="s">
        <v>24</v>
      </c>
      <c r="E65" s="552">
        <f>'Arable fixed costs'!F187</f>
        <v>4.8</v>
      </c>
      <c r="F65" s="552">
        <f>'Arable fixed costs'!G187</f>
        <v>0</v>
      </c>
      <c r="G65" s="552">
        <f>'Arable fixed costs'!H187</f>
        <v>4.8</v>
      </c>
      <c r="H65" s="515"/>
      <c r="I65" s="515"/>
      <c r="K65" s="2"/>
      <c r="AI65" s="2"/>
    </row>
    <row r="66" spans="1:65" ht="14.25" customHeight="1" x14ac:dyDescent="0.3">
      <c r="A66" s="2"/>
      <c r="B66" s="419"/>
      <c r="C66" s="81" t="s">
        <v>232</v>
      </c>
      <c r="D66" s="18" t="s">
        <v>567</v>
      </c>
      <c r="E66" s="558">
        <f>E64*E63</f>
        <v>243.60000000000002</v>
      </c>
      <c r="F66" s="558">
        <f>F64*F63</f>
        <v>98.6</v>
      </c>
      <c r="G66" s="558">
        <f>G64*G63</f>
        <v>265.35000000000002</v>
      </c>
      <c r="H66" s="558">
        <f>H64*H63</f>
        <v>156.6</v>
      </c>
      <c r="I66" s="558">
        <f>I64*I63</f>
        <v>205.89999999999998</v>
      </c>
      <c r="K66" s="2"/>
      <c r="AI66" s="2"/>
    </row>
    <row r="67" spans="1:65" ht="14.25" customHeight="1" x14ac:dyDescent="0.3">
      <c r="A67" s="2"/>
      <c r="B67" s="419"/>
      <c r="C67" s="32" t="s">
        <v>234</v>
      </c>
      <c r="D67" s="80" t="s">
        <v>567</v>
      </c>
      <c r="E67" s="559">
        <f>E65*E63</f>
        <v>69.599999999999994</v>
      </c>
      <c r="F67" s="559">
        <f>F65*F63</f>
        <v>0</v>
      </c>
      <c r="G67" s="559">
        <f>G65*G63</f>
        <v>69.599999999999994</v>
      </c>
      <c r="H67" s="559">
        <f>H65*H63</f>
        <v>0</v>
      </c>
      <c r="I67" s="559">
        <f>I65*I63</f>
        <v>0</v>
      </c>
      <c r="K67" s="2"/>
      <c r="AI67" s="2"/>
    </row>
    <row r="68" spans="1:65" x14ac:dyDescent="0.3">
      <c r="A68" s="2"/>
      <c r="B68" s="560"/>
      <c r="C68" s="121" t="s">
        <v>230</v>
      </c>
      <c r="D68" s="118" t="s">
        <v>567</v>
      </c>
      <c r="E68" s="561">
        <f>E66+E67</f>
        <v>313.20000000000005</v>
      </c>
      <c r="F68" s="561">
        <f>F66+F67</f>
        <v>98.6</v>
      </c>
      <c r="G68" s="561">
        <f>G66+G67</f>
        <v>334.95000000000005</v>
      </c>
      <c r="H68" s="561">
        <f>H66+H67</f>
        <v>156.6</v>
      </c>
      <c r="I68" s="561">
        <f>I66+I67</f>
        <v>205.89999999999998</v>
      </c>
      <c r="K68" s="2"/>
      <c r="AI68" s="2"/>
    </row>
    <row r="69" spans="1:65" x14ac:dyDescent="0.3">
      <c r="A69" s="2"/>
      <c r="B69" s="15" t="s">
        <v>235</v>
      </c>
      <c r="C69" s="33" t="s">
        <v>215</v>
      </c>
      <c r="D69" s="118" t="s">
        <v>567</v>
      </c>
      <c r="E69" s="562">
        <f>'Arable Inputs'!$D$11</f>
        <v>0</v>
      </c>
      <c r="F69" s="562">
        <f>'Arable Inputs'!$D$11</f>
        <v>0</v>
      </c>
      <c r="G69" s="562">
        <f>'Arable Inputs'!$D$11</f>
        <v>0</v>
      </c>
      <c r="H69" s="562">
        <f>'Arable Inputs'!$D$11</f>
        <v>0</v>
      </c>
      <c r="I69" s="562">
        <f>'Arable Inputs'!$D$11</f>
        <v>0</v>
      </c>
      <c r="K69" s="2"/>
      <c r="AI69" s="2"/>
    </row>
    <row r="70" spans="1:65" x14ac:dyDescent="0.3">
      <c r="A70" s="2"/>
      <c r="B70" s="419"/>
      <c r="C70" s="37" t="s">
        <v>216</v>
      </c>
      <c r="D70" s="118" t="s">
        <v>567</v>
      </c>
      <c r="E70" s="562">
        <f>'Arable Inputs'!$D$12</f>
        <v>0</v>
      </c>
      <c r="F70" s="562">
        <f>'Arable Inputs'!$D$12</f>
        <v>0</v>
      </c>
      <c r="G70" s="562">
        <f>'Arable Inputs'!$D$12</f>
        <v>0</v>
      </c>
      <c r="H70" s="562">
        <f>'Arable Inputs'!$D$12</f>
        <v>0</v>
      </c>
      <c r="I70" s="562">
        <f>'Arable Inputs'!$D$12</f>
        <v>0</v>
      </c>
      <c r="K70" s="2"/>
      <c r="AI70" s="2"/>
    </row>
    <row r="71" spans="1:65" x14ac:dyDescent="0.3">
      <c r="A71" s="2"/>
      <c r="B71" s="560"/>
      <c r="C71" s="121" t="s">
        <v>230</v>
      </c>
      <c r="D71" s="118" t="s">
        <v>567</v>
      </c>
      <c r="E71" s="563">
        <f>E69+E70</f>
        <v>0</v>
      </c>
      <c r="F71" s="563">
        <f>F69+F70</f>
        <v>0</v>
      </c>
      <c r="G71" s="563">
        <f>G69+G70</f>
        <v>0</v>
      </c>
      <c r="H71" s="563">
        <f>H69+H70</f>
        <v>0</v>
      </c>
      <c r="I71" s="563">
        <f>I69+I70</f>
        <v>0</v>
      </c>
      <c r="K71" s="2"/>
      <c r="AI71" s="2"/>
      <c r="AJ71" s="25"/>
      <c r="AK71" s="25"/>
      <c r="AL71" s="25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</row>
    <row r="72" spans="1:65" x14ac:dyDescent="0.3">
      <c r="A72" s="2"/>
      <c r="B72" s="15" t="s">
        <v>236</v>
      </c>
      <c r="C72" s="309" t="s">
        <v>2</v>
      </c>
      <c r="D72" s="4" t="s">
        <v>569</v>
      </c>
      <c r="E72" s="166">
        <f>E74/E13</f>
        <v>146.85735199999999</v>
      </c>
      <c r="F72" s="166">
        <f>F74/F13</f>
        <v>176.65305935483869</v>
      </c>
      <c r="G72" s="166">
        <f>G74/G13</f>
        <v>221.60160923076921</v>
      </c>
      <c r="H72" s="166">
        <f>H74/H13</f>
        <v>370.80017523809516</v>
      </c>
      <c r="I72" s="564">
        <f>I74/I13</f>
        <v>73.560546382978714</v>
      </c>
      <c r="K72" s="2"/>
      <c r="AJ72" s="39"/>
      <c r="AK72" s="39"/>
      <c r="AL72" s="39"/>
    </row>
    <row r="73" spans="1:65" x14ac:dyDescent="0.3">
      <c r="A73" s="2"/>
      <c r="B73" s="419"/>
      <c r="C73" s="116" t="s">
        <v>3</v>
      </c>
      <c r="D73" s="5" t="s">
        <v>569</v>
      </c>
      <c r="E73" s="153">
        <f>E75/E14</f>
        <v>34.688948717948719</v>
      </c>
      <c r="F73" s="153" t="e">
        <f>F75/F14</f>
        <v>#DIV/0!</v>
      </c>
      <c r="G73" s="153">
        <f>G75/G14</f>
        <v>49.518862637362638</v>
      </c>
      <c r="H73" s="153"/>
      <c r="I73" s="544"/>
      <c r="K73" s="2"/>
      <c r="AJ73" s="39"/>
      <c r="AK73" s="39"/>
      <c r="AL73" s="39"/>
    </row>
    <row r="74" spans="1:65" x14ac:dyDescent="0.3">
      <c r="A74" s="2"/>
      <c r="B74" s="419"/>
      <c r="C74" s="124" t="s">
        <v>2</v>
      </c>
      <c r="D74" s="117" t="s">
        <v>567</v>
      </c>
      <c r="E74" s="99">
        <f>E60+E66+IF(E14&gt;0,E71/2,E71)</f>
        <v>807.71543599999995</v>
      </c>
      <c r="F74" s="99">
        <f>F60+F66+IF(F14&gt;0,F71/2,F71)</f>
        <v>547.62448399999994</v>
      </c>
      <c r="G74" s="99">
        <f>G60+G66+IF(G14&gt;0,G71/2,G71)</f>
        <v>576.16418399999998</v>
      </c>
      <c r="H74" s="99">
        <f>H60+H66+IF(H14&gt;0,H71/2,H71)</f>
        <v>778.68036799999993</v>
      </c>
      <c r="I74" s="99">
        <f>I60+I66+IF(I14&gt;0,I71/2,I71)</f>
        <v>691.46913599999993</v>
      </c>
      <c r="K74" s="2"/>
      <c r="AJ74" s="39"/>
      <c r="AK74" s="39"/>
      <c r="AL74" s="39"/>
    </row>
    <row r="75" spans="1:65" x14ac:dyDescent="0.3">
      <c r="A75" s="2"/>
      <c r="B75" s="419"/>
      <c r="C75" s="123" t="s">
        <v>3</v>
      </c>
      <c r="D75" s="118" t="s">
        <v>567</v>
      </c>
      <c r="E75" s="100">
        <f>E61+E67+IF(E14&gt;0,E71/2,0)</f>
        <v>135.2869</v>
      </c>
      <c r="F75" s="100">
        <f>F61+F67+IF(F14&gt;0,F71/2,0)</f>
        <v>0</v>
      </c>
      <c r="G75" s="100">
        <f>G61+G67+IF(G14&gt;0,G71/2,0)</f>
        <v>128.74904285714285</v>
      </c>
      <c r="H75" s="100">
        <f>H61+H67+IF(H14&gt;0,H71/2,0)</f>
        <v>0</v>
      </c>
      <c r="I75" s="100">
        <f>I61+I67+IF(I14&gt;0,I71/2,0)</f>
        <v>0</v>
      </c>
      <c r="K75" s="2"/>
      <c r="AJ75" s="39"/>
      <c r="AK75" s="39"/>
      <c r="AL75" s="39"/>
    </row>
    <row r="76" spans="1:65" x14ac:dyDescent="0.3">
      <c r="A76" s="2"/>
      <c r="B76" s="560"/>
      <c r="C76" s="122" t="s">
        <v>9</v>
      </c>
      <c r="D76" s="118" t="s">
        <v>567</v>
      </c>
      <c r="E76" s="100">
        <f>E74+E75</f>
        <v>943.00233600000001</v>
      </c>
      <c r="F76" s="100">
        <f>F74+F75</f>
        <v>547.62448399999994</v>
      </c>
      <c r="G76" s="100">
        <f>G74+G75</f>
        <v>704.91322685714283</v>
      </c>
      <c r="H76" s="100">
        <f>H74+H75</f>
        <v>778.68036799999993</v>
      </c>
      <c r="I76" s="100">
        <f>I74+I75</f>
        <v>691.46913599999993</v>
      </c>
      <c r="K76" s="2"/>
      <c r="AJ76" s="39"/>
      <c r="AK76" s="39"/>
      <c r="AL76" s="39"/>
    </row>
    <row r="77" spans="1:65" x14ac:dyDescent="0.3">
      <c r="A77" s="2"/>
      <c r="B77" s="565"/>
      <c r="C77" s="367"/>
      <c r="D77" s="565"/>
      <c r="E77" s="119"/>
      <c r="F77" s="119"/>
      <c r="G77" s="119"/>
      <c r="H77" s="119"/>
      <c r="I77" s="119"/>
      <c r="K77" s="2"/>
      <c r="AJ77" s="39"/>
      <c r="AK77" s="39"/>
      <c r="AL77" s="39"/>
    </row>
    <row r="78" spans="1:65" x14ac:dyDescent="0.3">
      <c r="A78" s="2"/>
      <c r="B78" s="367"/>
      <c r="C78" s="367"/>
      <c r="D78" s="565"/>
      <c r="E78" s="367"/>
      <c r="F78" s="367"/>
      <c r="G78" s="367"/>
      <c r="H78" s="367"/>
      <c r="I78" s="367"/>
      <c r="K78" s="2"/>
    </row>
    <row r="79" spans="1:65" x14ac:dyDescent="0.3">
      <c r="A79" s="2"/>
      <c r="B79" s="15" t="s">
        <v>87</v>
      </c>
      <c r="C79" s="310" t="s">
        <v>2</v>
      </c>
      <c r="D79" s="4" t="s">
        <v>569</v>
      </c>
      <c r="E79" s="558">
        <f t="shared" ref="E79:I80" si="0">E72+E43</f>
        <v>257.20691678468899</v>
      </c>
      <c r="F79" s="558">
        <f t="shared" si="0"/>
        <v>273.53306784380305</v>
      </c>
      <c r="G79" s="558">
        <f t="shared" si="0"/>
        <v>343.71369176905472</v>
      </c>
      <c r="H79" s="558">
        <f t="shared" si="0"/>
        <v>492.26556320801996</v>
      </c>
      <c r="I79" s="558">
        <f t="shared" si="0"/>
        <v>133.84905170212764</v>
      </c>
      <c r="K79" s="2"/>
    </row>
    <row r="80" spans="1:65" x14ac:dyDescent="0.3">
      <c r="A80" s="2"/>
      <c r="B80" s="370"/>
      <c r="C80" s="116" t="s">
        <v>3</v>
      </c>
      <c r="D80" s="5" t="s">
        <v>569</v>
      </c>
      <c r="E80" s="566">
        <f t="shared" si="0"/>
        <v>38.643948717948717</v>
      </c>
      <c r="F80" s="566" t="e">
        <f t="shared" si="0"/>
        <v>#DIV/0!</v>
      </c>
      <c r="G80" s="566">
        <f t="shared" si="0"/>
        <v>53.473862637362636</v>
      </c>
      <c r="H80" s="566">
        <f t="shared" si="0"/>
        <v>0</v>
      </c>
      <c r="I80" s="566">
        <f t="shared" si="0"/>
        <v>0</v>
      </c>
      <c r="K80" s="2"/>
    </row>
    <row r="81" spans="1:33" x14ac:dyDescent="0.3">
      <c r="A81" s="2"/>
      <c r="B81" s="370"/>
      <c r="C81" s="124" t="s">
        <v>2</v>
      </c>
      <c r="D81" s="117" t="s">
        <v>567</v>
      </c>
      <c r="E81" s="567">
        <f t="shared" ref="E81:I83" si="1">E74+E45</f>
        <v>1414.6380423157893</v>
      </c>
      <c r="F81" s="567">
        <f t="shared" si="1"/>
        <v>847.95251031578937</v>
      </c>
      <c r="G81" s="567">
        <f t="shared" si="1"/>
        <v>893.65559859954237</v>
      </c>
      <c r="H81" s="567">
        <f t="shared" si="1"/>
        <v>1033.7576827368421</v>
      </c>
      <c r="I81" s="567">
        <f t="shared" si="1"/>
        <v>1258.1810859999998</v>
      </c>
      <c r="K81" s="90"/>
    </row>
    <row r="82" spans="1:33" x14ac:dyDescent="0.3">
      <c r="B82" s="370"/>
      <c r="C82" s="123" t="s">
        <v>3</v>
      </c>
      <c r="D82" s="118" t="s">
        <v>567</v>
      </c>
      <c r="E82" s="568">
        <f t="shared" si="1"/>
        <v>150.7114</v>
      </c>
      <c r="F82" s="568">
        <f t="shared" si="1"/>
        <v>0</v>
      </c>
      <c r="G82" s="568">
        <f t="shared" si="1"/>
        <v>139.03204285714284</v>
      </c>
      <c r="H82" s="568">
        <f t="shared" si="1"/>
        <v>0</v>
      </c>
      <c r="I82" s="568">
        <f t="shared" si="1"/>
        <v>0</v>
      </c>
      <c r="K82" s="2"/>
    </row>
    <row r="83" spans="1:33" x14ac:dyDescent="0.3">
      <c r="B83" s="555"/>
      <c r="C83" s="122" t="s">
        <v>9</v>
      </c>
      <c r="D83" s="118" t="s">
        <v>567</v>
      </c>
      <c r="E83" s="568">
        <f t="shared" si="1"/>
        <v>1565.3494423157895</v>
      </c>
      <c r="F83" s="568">
        <f t="shared" si="1"/>
        <v>847.95251031578937</v>
      </c>
      <c r="G83" s="568">
        <f t="shared" si="1"/>
        <v>1032.6876414566852</v>
      </c>
      <c r="H83" s="568">
        <f t="shared" si="1"/>
        <v>1033.7576827368421</v>
      </c>
      <c r="I83" s="568">
        <f t="shared" si="1"/>
        <v>1258.1810859999998</v>
      </c>
      <c r="K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x14ac:dyDescent="0.3">
      <c r="B84" s="367"/>
      <c r="C84" s="367"/>
      <c r="D84" s="367"/>
      <c r="E84" s="367"/>
      <c r="F84" s="367"/>
      <c r="G84" s="367"/>
      <c r="H84" s="367"/>
      <c r="I84" s="367"/>
      <c r="K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x14ac:dyDescent="0.3">
      <c r="B85" s="367"/>
      <c r="C85" s="367"/>
      <c r="D85" s="367"/>
      <c r="E85" s="367"/>
      <c r="F85" s="367"/>
      <c r="G85" s="367"/>
      <c r="H85" s="367"/>
      <c r="I85" s="367"/>
      <c r="K85" s="104"/>
    </row>
    <row r="86" spans="1:33" x14ac:dyDescent="0.3">
      <c r="B86" s="15" t="s">
        <v>26</v>
      </c>
      <c r="C86" s="310" t="s">
        <v>2</v>
      </c>
      <c r="D86" s="117" t="s">
        <v>569</v>
      </c>
      <c r="E86" s="164">
        <f>E19-(E43+E72)</f>
        <v>12.793083215311015</v>
      </c>
      <c r="F86" s="164">
        <f>F19-(F43+F72)</f>
        <v>143.66854505942274</v>
      </c>
      <c r="G86" s="164">
        <f>G19-(G43+G72)</f>
        <v>-19.800614845977748</v>
      </c>
      <c r="H86" s="164">
        <f>H19-(H43+H72)</f>
        <v>-99.572706065162834</v>
      </c>
      <c r="I86" s="162">
        <f>I19-(I43+I72)</f>
        <v>-4.4569544376899728</v>
      </c>
    </row>
    <row r="87" spans="1:33" x14ac:dyDescent="0.3">
      <c r="B87" s="419"/>
      <c r="C87" s="116" t="s">
        <v>3</v>
      </c>
      <c r="D87" s="118" t="s">
        <v>569</v>
      </c>
      <c r="E87" s="153">
        <f t="shared" ref="E87:G90" si="2">E20-(E44+E73)</f>
        <v>34.806051282051271</v>
      </c>
      <c r="F87" s="153" t="e">
        <f t="shared" si="2"/>
        <v>#DIV/0!</v>
      </c>
      <c r="G87" s="153">
        <f t="shared" si="2"/>
        <v>-11.098862637362643</v>
      </c>
      <c r="H87" s="153"/>
      <c r="I87" s="544"/>
    </row>
    <row r="88" spans="1:33" x14ac:dyDescent="0.3">
      <c r="B88" s="419"/>
      <c r="C88" s="124" t="s">
        <v>2</v>
      </c>
      <c r="D88" s="117" t="s">
        <v>567</v>
      </c>
      <c r="E88" s="99">
        <f t="shared" si="2"/>
        <v>70.361957684210665</v>
      </c>
      <c r="F88" s="99">
        <f t="shared" si="2"/>
        <v>445.37248968421068</v>
      </c>
      <c r="G88" s="99">
        <f t="shared" si="2"/>
        <v>-51.481598599542281</v>
      </c>
      <c r="H88" s="99">
        <f>H21-(H45+H74)</f>
        <v>-209.1026827368421</v>
      </c>
      <c r="I88" s="569">
        <f>I21-(I45+I74)</f>
        <v>-41.895371714285602</v>
      </c>
    </row>
    <row r="89" spans="1:33" x14ac:dyDescent="0.3">
      <c r="B89" s="419"/>
      <c r="C89" s="123" t="s">
        <v>3</v>
      </c>
      <c r="D89" s="118" t="s">
        <v>567</v>
      </c>
      <c r="E89" s="100">
        <f t="shared" si="2"/>
        <v>135.74359999999993</v>
      </c>
      <c r="F89" s="100">
        <f t="shared" si="2"/>
        <v>0</v>
      </c>
      <c r="G89" s="100">
        <f t="shared" si="2"/>
        <v>-28.857042857142858</v>
      </c>
      <c r="H89" s="100"/>
      <c r="I89" s="570"/>
    </row>
    <row r="90" spans="1:33" x14ac:dyDescent="0.3">
      <c r="B90" s="560"/>
      <c r="C90" s="122" t="s">
        <v>9</v>
      </c>
      <c r="D90" s="118" t="s">
        <v>567</v>
      </c>
      <c r="E90" s="100">
        <f t="shared" si="2"/>
        <v>206.10555768421045</v>
      </c>
      <c r="F90" s="100">
        <f t="shared" si="2"/>
        <v>445.37248968421068</v>
      </c>
      <c r="G90" s="100">
        <f t="shared" si="2"/>
        <v>-80.338641456685195</v>
      </c>
      <c r="H90" s="100">
        <f>H23-(H47+H76)</f>
        <v>-209.1026827368421</v>
      </c>
      <c r="I90" s="570">
        <f>I23-(I47+I76)</f>
        <v>-41.895371714285602</v>
      </c>
    </row>
    <row r="91" spans="1:33" x14ac:dyDescent="0.3">
      <c r="B91" s="367"/>
      <c r="C91" s="367"/>
      <c r="D91" s="367"/>
      <c r="E91" s="367"/>
      <c r="F91" s="367"/>
      <c r="G91" s="367"/>
      <c r="H91" s="367"/>
      <c r="I91" s="367"/>
    </row>
    <row r="92" spans="1:33" x14ac:dyDescent="0.3">
      <c r="B92" s="367"/>
      <c r="C92" s="367"/>
      <c r="D92" s="367"/>
      <c r="E92" s="367"/>
      <c r="F92" s="367"/>
      <c r="G92" s="367"/>
      <c r="H92" s="367"/>
      <c r="I92" s="367"/>
    </row>
    <row r="93" spans="1:33" x14ac:dyDescent="0.3">
      <c r="B93" s="367"/>
      <c r="C93" s="367"/>
      <c r="D93" s="367"/>
      <c r="E93" s="367"/>
      <c r="F93" s="367"/>
      <c r="G93" s="367"/>
      <c r="H93" s="367"/>
      <c r="I93" s="367"/>
    </row>
    <row r="94" spans="1:33" x14ac:dyDescent="0.3">
      <c r="B94" s="571"/>
      <c r="C94" s="367" t="s">
        <v>357</v>
      </c>
      <c r="D94" s="367"/>
      <c r="E94" s="367"/>
      <c r="F94" s="367"/>
      <c r="G94" s="367"/>
      <c r="H94" s="367"/>
      <c r="I94" s="367"/>
    </row>
    <row r="95" spans="1:33" x14ac:dyDescent="0.3">
      <c r="B95" s="572"/>
      <c r="C95" s="367" t="s">
        <v>227</v>
      </c>
      <c r="D95" s="367"/>
      <c r="E95" s="367"/>
      <c r="F95" s="367"/>
      <c r="G95" s="367"/>
      <c r="H95" s="367"/>
      <c r="I95" s="367"/>
    </row>
    <row r="96" spans="1:33" x14ac:dyDescent="0.3">
      <c r="B96" s="366"/>
      <c r="C96" s="366"/>
      <c r="D96" s="366"/>
      <c r="E96" s="366"/>
      <c r="F96" s="366"/>
      <c r="G96" s="366"/>
      <c r="H96" s="366"/>
      <c r="I96" s="366"/>
    </row>
    <row r="123" s="39" customFormat="1" x14ac:dyDescent="0.3"/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O110"/>
  <sheetViews>
    <sheetView topLeftCell="C10" zoomScale="110" zoomScaleNormal="110" workbookViewId="0">
      <selection activeCell="B10" sqref="B10"/>
    </sheetView>
  </sheetViews>
  <sheetFormatPr defaultColWidth="9" defaultRowHeight="14" x14ac:dyDescent="0.3"/>
  <cols>
    <col min="2" max="2" width="28.5" customWidth="1"/>
    <col min="3" max="3" width="9.83203125" customWidth="1"/>
    <col min="14" max="14" width="12.33203125" customWidth="1"/>
    <col min="15" max="15" width="10.08203125" customWidth="1"/>
  </cols>
  <sheetData>
    <row r="2" spans="2:15" ht="14.5" thickBot="1" x14ac:dyDescent="0.35"/>
    <row r="3" spans="2:15" ht="14.5" thickBot="1" x14ac:dyDescent="0.35">
      <c r="B3" s="302" t="s">
        <v>574</v>
      </c>
    </row>
    <row r="4" spans="2:15" x14ac:dyDescent="0.3">
      <c r="B4" s="63"/>
      <c r="C4" s="63"/>
      <c r="D4" s="63"/>
      <c r="E4" s="63"/>
      <c r="F4" s="63"/>
      <c r="G4" s="63"/>
      <c r="H4" s="63"/>
      <c r="I4" s="63"/>
      <c r="J4" s="63"/>
      <c r="K4" s="63"/>
    </row>
    <row r="5" spans="2:15" x14ac:dyDescent="0.3"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2:15" x14ac:dyDescent="0.3">
      <c r="B6" s="51" t="s">
        <v>213</v>
      </c>
      <c r="C6" s="44"/>
      <c r="D6" s="44"/>
      <c r="E6" s="44"/>
      <c r="F6" s="44"/>
      <c r="G6" s="44"/>
    </row>
    <row r="7" spans="2:15" x14ac:dyDescent="0.3">
      <c r="B7" s="24"/>
      <c r="C7" s="24"/>
      <c r="D7" s="24"/>
      <c r="E7" s="24"/>
      <c r="F7" s="24"/>
      <c r="G7" s="24"/>
    </row>
    <row r="8" spans="2:15" x14ac:dyDescent="0.3">
      <c r="B8" s="393" t="s">
        <v>394</v>
      </c>
      <c r="C8" s="404"/>
      <c r="D8" s="773">
        <f>'Arable Inputs'!D8</f>
        <v>1.1299999999999999</v>
      </c>
      <c r="E8" s="24"/>
      <c r="F8" s="24"/>
      <c r="G8" s="24"/>
    </row>
    <row r="9" spans="2:15" x14ac:dyDescent="0.3">
      <c r="B9" s="146" t="s">
        <v>284</v>
      </c>
      <c r="C9" s="147" t="s">
        <v>302</v>
      </c>
      <c r="D9" s="772">
        <f>'Arable Inputs'!D9</f>
        <v>0.03</v>
      </c>
      <c r="E9" s="24"/>
      <c r="F9" s="24"/>
      <c r="G9" s="24"/>
    </row>
    <row r="10" spans="2:15" x14ac:dyDescent="0.3">
      <c r="B10" s="146" t="s">
        <v>672</v>
      </c>
      <c r="C10" s="147" t="s">
        <v>567</v>
      </c>
      <c r="D10" s="581">
        <f>'Arable Inputs'!D10</f>
        <v>330</v>
      </c>
      <c r="E10" s="24"/>
      <c r="F10" s="24"/>
      <c r="G10" s="24"/>
    </row>
    <row r="11" spans="2:15" x14ac:dyDescent="0.3">
      <c r="B11" s="24"/>
      <c r="C11" s="24"/>
      <c r="D11" s="24"/>
      <c r="E11" s="24"/>
      <c r="F11" s="24"/>
      <c r="G11" s="24"/>
    </row>
    <row r="12" spans="2:15" x14ac:dyDescent="0.3">
      <c r="B12" s="24"/>
      <c r="C12" s="24"/>
      <c r="D12" s="24"/>
      <c r="E12" s="24"/>
      <c r="F12" s="24"/>
      <c r="G12" s="24"/>
    </row>
    <row r="13" spans="2:15" x14ac:dyDescent="0.3">
      <c r="B13" s="51" t="s">
        <v>240</v>
      </c>
      <c r="C13" s="44"/>
      <c r="D13" s="44"/>
      <c r="E13" s="44"/>
      <c r="F13" s="44"/>
      <c r="G13" s="44"/>
    </row>
    <row r="14" spans="2:15" x14ac:dyDescent="0.3">
      <c r="B14" s="24"/>
      <c r="C14" s="24"/>
      <c r="D14" s="24"/>
      <c r="E14" s="24"/>
      <c r="F14" s="24"/>
      <c r="G14" s="24"/>
    </row>
    <row r="15" spans="2:15" x14ac:dyDescent="0.3">
      <c r="B15" s="102"/>
      <c r="C15" s="102"/>
      <c r="D15" s="150" t="s">
        <v>91</v>
      </c>
      <c r="E15" s="150" t="s">
        <v>92</v>
      </c>
      <c r="F15" s="151" t="s">
        <v>241</v>
      </c>
      <c r="G15" s="151" t="s">
        <v>436</v>
      </c>
      <c r="O15" s="39"/>
    </row>
    <row r="16" spans="2:15" x14ac:dyDescent="0.3">
      <c r="B16" s="146" t="s">
        <v>285</v>
      </c>
      <c r="C16" s="48" t="s">
        <v>253</v>
      </c>
      <c r="D16" s="587">
        <v>10</v>
      </c>
      <c r="E16" s="587">
        <v>16</v>
      </c>
      <c r="F16" s="587">
        <v>16</v>
      </c>
      <c r="G16" s="587">
        <v>16</v>
      </c>
    </row>
    <row r="17" spans="2:11" x14ac:dyDescent="0.3">
      <c r="B17" s="146" t="s">
        <v>364</v>
      </c>
      <c r="C17" s="48" t="s">
        <v>253</v>
      </c>
      <c r="D17" s="897">
        <v>2</v>
      </c>
      <c r="E17" s="897">
        <v>1</v>
      </c>
      <c r="F17" s="897">
        <v>1</v>
      </c>
      <c r="G17" s="897">
        <v>2</v>
      </c>
    </row>
    <row r="18" spans="2:11" x14ac:dyDescent="0.3">
      <c r="B18" s="46" t="s">
        <v>365</v>
      </c>
      <c r="C18" s="65" t="s">
        <v>253</v>
      </c>
      <c r="D18" s="588">
        <v>2</v>
      </c>
      <c r="E18" s="588">
        <v>1</v>
      </c>
      <c r="F18" s="588">
        <v>1</v>
      </c>
      <c r="G18" s="588">
        <v>1</v>
      </c>
    </row>
    <row r="20" spans="2:11" x14ac:dyDescent="0.3">
      <c r="B20" s="24"/>
      <c r="C20" s="24"/>
      <c r="D20" s="24"/>
      <c r="E20" s="24"/>
      <c r="F20" s="24"/>
      <c r="G20" s="24"/>
    </row>
    <row r="21" spans="2:11" x14ac:dyDescent="0.3">
      <c r="B21" s="51" t="s">
        <v>242</v>
      </c>
      <c r="C21" s="44"/>
      <c r="D21" s="44"/>
      <c r="E21" s="44"/>
      <c r="F21" s="44"/>
      <c r="G21" s="44"/>
      <c r="H21" s="967" t="s">
        <v>554</v>
      </c>
    </row>
    <row r="22" spans="2:11" x14ac:dyDescent="0.3">
      <c r="B22" s="24"/>
      <c r="C22" s="24"/>
      <c r="D22" s="24"/>
      <c r="E22" s="24"/>
      <c r="F22" s="24"/>
      <c r="G22" s="24"/>
      <c r="H22" s="967"/>
    </row>
    <row r="23" spans="2:11" x14ac:dyDescent="0.3">
      <c r="B23" s="24"/>
      <c r="C23" s="24"/>
      <c r="D23" s="150" t="s">
        <v>91</v>
      </c>
      <c r="E23" s="150" t="s">
        <v>92</v>
      </c>
      <c r="F23" s="151" t="s">
        <v>93</v>
      </c>
      <c r="G23" s="151" t="s">
        <v>436</v>
      </c>
      <c r="H23" s="967"/>
    </row>
    <row r="24" spans="2:11" x14ac:dyDescent="0.3">
      <c r="B24" s="968" t="s">
        <v>555</v>
      </c>
      <c r="C24" s="44" t="s">
        <v>89</v>
      </c>
      <c r="D24" s="966">
        <v>26</v>
      </c>
      <c r="E24" s="966">
        <v>12.54</v>
      </c>
      <c r="F24" s="966">
        <v>10</v>
      </c>
      <c r="G24" s="966">
        <v>15</v>
      </c>
      <c r="H24" s="967"/>
      <c r="I24" s="876"/>
      <c r="J24" s="876"/>
      <c r="K24" s="984"/>
    </row>
    <row r="25" spans="2:11" ht="14.25" customHeight="1" x14ac:dyDescent="0.3">
      <c r="B25" s="24" t="s">
        <v>254</v>
      </c>
      <c r="C25" s="24"/>
      <c r="D25" s="24"/>
      <c r="E25" s="24"/>
      <c r="F25" s="24"/>
      <c r="G25" s="24"/>
      <c r="H25" s="967"/>
    </row>
    <row r="26" spans="2:11" x14ac:dyDescent="0.3">
      <c r="B26" s="24"/>
      <c r="C26" s="24"/>
      <c r="D26" s="24"/>
      <c r="E26" s="24"/>
      <c r="F26" s="24"/>
      <c r="G26" s="24"/>
      <c r="H26" s="967"/>
    </row>
    <row r="27" spans="2:11" x14ac:dyDescent="0.3">
      <c r="B27" s="51" t="s">
        <v>535</v>
      </c>
      <c r="C27" s="44"/>
      <c r="D27" s="44"/>
      <c r="E27" s="44"/>
      <c r="F27" s="44"/>
      <c r="G27" s="44"/>
      <c r="H27" s="967"/>
    </row>
    <row r="28" spans="2:11" x14ac:dyDescent="0.3">
      <c r="B28" s="24"/>
      <c r="C28" s="24"/>
      <c r="D28" s="24"/>
      <c r="E28" s="24"/>
      <c r="F28" s="24"/>
      <c r="G28" s="24"/>
      <c r="H28" s="967"/>
    </row>
    <row r="29" spans="2:11" x14ac:dyDescent="0.3">
      <c r="B29" s="24"/>
      <c r="C29" s="926" t="s">
        <v>537</v>
      </c>
      <c r="D29" s="150" t="s">
        <v>91</v>
      </c>
      <c r="E29" s="150" t="s">
        <v>92</v>
      </c>
      <c r="F29" s="151" t="s">
        <v>93</v>
      </c>
      <c r="G29" s="151" t="s">
        <v>436</v>
      </c>
      <c r="H29" s="967"/>
    </row>
    <row r="30" spans="2:11" x14ac:dyDescent="0.3">
      <c r="B30" s="146" t="s">
        <v>536</v>
      </c>
      <c r="C30" s="150">
        <v>1</v>
      </c>
      <c r="D30" s="923"/>
      <c r="E30" s="923">
        <v>4.784688995215311E-2</v>
      </c>
      <c r="F30" s="923">
        <v>0.1761785888496743</v>
      </c>
      <c r="G30" s="923">
        <v>0</v>
      </c>
      <c r="H30" s="967"/>
    </row>
    <row r="31" spans="2:11" x14ac:dyDescent="0.3">
      <c r="B31" s="24"/>
      <c r="C31" s="925">
        <v>2</v>
      </c>
      <c r="D31" s="924">
        <v>1</v>
      </c>
      <c r="E31" s="924">
        <v>0.31299840510366833</v>
      </c>
      <c r="F31" s="924">
        <v>0.71188775071016608</v>
      </c>
      <c r="G31" s="924">
        <v>0.60940695296523517</v>
      </c>
      <c r="H31" s="967"/>
    </row>
    <row r="32" spans="2:11" x14ac:dyDescent="0.3">
      <c r="B32" s="24"/>
      <c r="C32" s="150">
        <v>3</v>
      </c>
      <c r="D32" s="924"/>
      <c r="E32" s="924">
        <v>0.88516746411483238</v>
      </c>
      <c r="F32" s="924">
        <v>0.94057559323979223</v>
      </c>
      <c r="G32" s="924">
        <v>0.90184049079754602</v>
      </c>
      <c r="H32" s="967"/>
    </row>
    <row r="33" spans="2:8" x14ac:dyDescent="0.3">
      <c r="B33" s="24"/>
      <c r="C33" s="925">
        <v>4</v>
      </c>
      <c r="D33" s="924">
        <v>1</v>
      </c>
      <c r="E33" s="924">
        <v>1</v>
      </c>
      <c r="F33" s="924">
        <v>1</v>
      </c>
      <c r="G33" s="924">
        <v>0.96523517382413093</v>
      </c>
      <c r="H33" s="967"/>
    </row>
    <row r="34" spans="2:8" x14ac:dyDescent="0.3">
      <c r="B34" s="24"/>
      <c r="C34" s="150">
        <v>5</v>
      </c>
      <c r="D34" s="924"/>
      <c r="E34" s="924">
        <v>1</v>
      </c>
      <c r="F34" s="924">
        <v>1</v>
      </c>
      <c r="G34" s="924">
        <v>1</v>
      </c>
      <c r="H34" s="967"/>
    </row>
    <row r="35" spans="2:8" x14ac:dyDescent="0.3">
      <c r="B35" s="24"/>
      <c r="C35" s="925">
        <v>6</v>
      </c>
      <c r="D35" s="924">
        <v>1</v>
      </c>
      <c r="E35" s="924">
        <v>1</v>
      </c>
      <c r="F35" s="924">
        <v>1</v>
      </c>
      <c r="G35" s="924">
        <v>1</v>
      </c>
      <c r="H35" s="967"/>
    </row>
    <row r="36" spans="2:8" x14ac:dyDescent="0.3">
      <c r="B36" s="24"/>
      <c r="C36" s="150">
        <v>7</v>
      </c>
      <c r="D36" s="924"/>
      <c r="E36" s="924">
        <v>1</v>
      </c>
      <c r="F36" s="924">
        <v>1</v>
      </c>
      <c r="G36" s="924">
        <v>1</v>
      </c>
      <c r="H36" s="967"/>
    </row>
    <row r="37" spans="2:8" x14ac:dyDescent="0.3">
      <c r="B37" s="24"/>
      <c r="C37" s="925">
        <v>8</v>
      </c>
      <c r="D37" s="924">
        <v>1</v>
      </c>
      <c r="E37" s="924">
        <v>1</v>
      </c>
      <c r="F37" s="924">
        <v>1</v>
      </c>
      <c r="G37" s="924">
        <v>1</v>
      </c>
      <c r="H37" s="967"/>
    </row>
    <row r="38" spans="2:8" x14ac:dyDescent="0.3">
      <c r="B38" s="24"/>
      <c r="C38" s="150">
        <v>9</v>
      </c>
      <c r="D38" s="924"/>
      <c r="E38" s="924">
        <v>1</v>
      </c>
      <c r="F38" s="924">
        <v>1</v>
      </c>
      <c r="G38" s="924">
        <v>1</v>
      </c>
      <c r="H38" s="967"/>
    </row>
    <row r="39" spans="2:8" x14ac:dyDescent="0.3">
      <c r="B39" s="24"/>
      <c r="C39" s="925">
        <v>10</v>
      </c>
      <c r="D39" s="924">
        <v>1</v>
      </c>
      <c r="E39" s="924">
        <v>1</v>
      </c>
      <c r="F39" s="924">
        <v>1</v>
      </c>
      <c r="G39" s="924">
        <v>1</v>
      </c>
      <c r="H39" s="967"/>
    </row>
    <row r="40" spans="2:8" x14ac:dyDescent="0.3">
      <c r="B40" s="24"/>
      <c r="C40" s="150">
        <v>11</v>
      </c>
      <c r="D40" s="924"/>
      <c r="E40" s="924">
        <v>1</v>
      </c>
      <c r="F40" s="924">
        <v>1</v>
      </c>
      <c r="G40" s="924">
        <v>1</v>
      </c>
      <c r="H40" s="967"/>
    </row>
    <row r="41" spans="2:8" x14ac:dyDescent="0.3">
      <c r="B41" s="24"/>
      <c r="C41" s="925">
        <v>12</v>
      </c>
      <c r="D41" s="924">
        <v>1</v>
      </c>
      <c r="E41" s="924">
        <v>1</v>
      </c>
      <c r="F41" s="924">
        <v>1</v>
      </c>
      <c r="G41" s="924">
        <v>1</v>
      </c>
      <c r="H41" s="967"/>
    </row>
    <row r="42" spans="2:8" x14ac:dyDescent="0.3">
      <c r="B42" s="24"/>
      <c r="C42" s="150">
        <v>13</v>
      </c>
      <c r="D42" s="924"/>
      <c r="E42" s="924">
        <v>1</v>
      </c>
      <c r="F42" s="924">
        <v>1</v>
      </c>
      <c r="G42" s="924">
        <v>1</v>
      </c>
      <c r="H42" s="967"/>
    </row>
    <row r="43" spans="2:8" x14ac:dyDescent="0.3">
      <c r="B43" s="24"/>
      <c r="C43" s="925">
        <v>14</v>
      </c>
      <c r="D43" s="924">
        <v>1</v>
      </c>
      <c r="E43" s="924">
        <v>1</v>
      </c>
      <c r="F43" s="924">
        <v>1</v>
      </c>
      <c r="G43" s="924">
        <v>1</v>
      </c>
      <c r="H43" s="967"/>
    </row>
    <row r="44" spans="2:8" x14ac:dyDescent="0.3">
      <c r="B44" s="24"/>
      <c r="C44" s="150">
        <v>15</v>
      </c>
      <c r="D44" s="924"/>
      <c r="E44" s="924">
        <v>1</v>
      </c>
      <c r="F44" s="924">
        <v>1</v>
      </c>
      <c r="G44" s="924">
        <v>1</v>
      </c>
      <c r="H44" s="967"/>
    </row>
    <row r="45" spans="2:8" x14ac:dyDescent="0.3">
      <c r="B45" s="24"/>
      <c r="C45" s="925">
        <v>16</v>
      </c>
      <c r="D45" s="924">
        <v>1</v>
      </c>
      <c r="E45" s="924">
        <v>1</v>
      </c>
      <c r="F45" s="924">
        <v>1</v>
      </c>
      <c r="G45" s="924">
        <v>1</v>
      </c>
      <c r="H45" s="967"/>
    </row>
    <row r="46" spans="2:8" x14ac:dyDescent="0.3">
      <c r="B46" s="24" t="s">
        <v>538</v>
      </c>
      <c r="C46" s="24"/>
      <c r="D46" s="24"/>
      <c r="E46" s="24"/>
      <c r="F46" s="24"/>
      <c r="G46" s="24"/>
    </row>
    <row r="47" spans="2:8" x14ac:dyDescent="0.3">
      <c r="B47" s="24"/>
      <c r="C47" s="24"/>
      <c r="D47" s="24"/>
      <c r="E47" s="24"/>
      <c r="F47" s="24"/>
      <c r="G47" s="24"/>
    </row>
    <row r="48" spans="2:8" x14ac:dyDescent="0.3">
      <c r="B48" s="51" t="s">
        <v>243</v>
      </c>
      <c r="C48" s="44"/>
      <c r="D48" s="44"/>
      <c r="E48" s="44"/>
      <c r="F48" s="44"/>
      <c r="G48" s="44"/>
    </row>
    <row r="49" spans="2:12" x14ac:dyDescent="0.3">
      <c r="B49" s="24"/>
      <c r="C49" s="24"/>
      <c r="D49" s="24"/>
      <c r="E49" s="24"/>
      <c r="F49" s="24"/>
      <c r="G49" s="24"/>
    </row>
    <row r="50" spans="2:12" x14ac:dyDescent="0.3">
      <c r="B50" s="24"/>
      <c r="C50" s="24"/>
      <c r="D50" s="150" t="s">
        <v>91</v>
      </c>
      <c r="E50" s="150" t="s">
        <v>92</v>
      </c>
      <c r="F50" s="151" t="s">
        <v>93</v>
      </c>
      <c r="G50" s="151" t="s">
        <v>436</v>
      </c>
      <c r="I50" s="24"/>
      <c r="J50" s="24"/>
      <c r="K50" s="24"/>
      <c r="L50" s="24"/>
    </row>
    <row r="51" spans="2:12" x14ac:dyDescent="0.3">
      <c r="B51" s="146" t="s">
        <v>244</v>
      </c>
      <c r="C51" s="48" t="s">
        <v>575</v>
      </c>
      <c r="D51" s="585">
        <v>0.18</v>
      </c>
      <c r="E51" s="586"/>
      <c r="F51" s="586">
        <f>350/1000</f>
        <v>0.35</v>
      </c>
      <c r="G51" s="587">
        <v>500</v>
      </c>
      <c r="I51" s="24"/>
      <c r="J51" s="24"/>
      <c r="K51" s="24"/>
      <c r="L51" s="24"/>
    </row>
    <row r="52" spans="2:12" ht="14.25" customHeight="1" x14ac:dyDescent="0.3">
      <c r="B52" s="24"/>
      <c r="C52" s="24"/>
      <c r="D52" s="24"/>
      <c r="E52" s="24"/>
      <c r="F52" s="24"/>
      <c r="G52" s="24"/>
    </row>
    <row r="53" spans="2:12" x14ac:dyDescent="0.3">
      <c r="B53" s="24"/>
      <c r="C53" s="24"/>
      <c r="D53" s="24"/>
      <c r="E53" s="24"/>
      <c r="F53" s="24"/>
      <c r="G53" s="24"/>
    </row>
    <row r="54" spans="2:12" x14ac:dyDescent="0.3">
      <c r="B54" s="24"/>
      <c r="C54" s="24"/>
      <c r="D54" s="24"/>
      <c r="E54" s="24"/>
      <c r="F54" s="24"/>
      <c r="G54" s="24"/>
    </row>
    <row r="55" spans="2:12" x14ac:dyDescent="0.3">
      <c r="B55" s="51" t="s">
        <v>245</v>
      </c>
      <c r="C55" s="44"/>
      <c r="D55" s="44"/>
      <c r="E55" s="44"/>
      <c r="F55" s="44"/>
      <c r="G55" s="44"/>
    </row>
    <row r="56" spans="2:12" x14ac:dyDescent="0.3">
      <c r="B56" s="24"/>
      <c r="C56" s="24"/>
      <c r="D56" s="24"/>
      <c r="E56" s="24"/>
      <c r="F56" s="24"/>
      <c r="G56" s="24"/>
    </row>
    <row r="57" spans="2:12" x14ac:dyDescent="0.3">
      <c r="B57" s="102"/>
      <c r="C57" s="102"/>
      <c r="D57" s="150" t="s">
        <v>91</v>
      </c>
      <c r="E57" s="150" t="s">
        <v>92</v>
      </c>
      <c r="F57" s="151" t="s">
        <v>93</v>
      </c>
      <c r="G57" s="151" t="s">
        <v>436</v>
      </c>
    </row>
    <row r="58" spans="2:12" x14ac:dyDescent="0.3">
      <c r="B58" s="146" t="s">
        <v>246</v>
      </c>
      <c r="C58" s="48" t="s">
        <v>576</v>
      </c>
      <c r="D58" s="898">
        <f>17.5*(1/0.4)</f>
        <v>43.75</v>
      </c>
      <c r="E58" s="898">
        <f t="shared" ref="E58:G58" si="0">17.5*(1/0.4)</f>
        <v>43.75</v>
      </c>
      <c r="F58" s="898">
        <f t="shared" si="0"/>
        <v>43.75</v>
      </c>
      <c r="G58" s="815">
        <f t="shared" si="0"/>
        <v>43.75</v>
      </c>
    </row>
    <row r="59" spans="2:12" x14ac:dyDescent="0.3">
      <c r="B59" s="24" t="s">
        <v>256</v>
      </c>
      <c r="C59" s="24"/>
      <c r="D59" s="24"/>
      <c r="E59" s="24"/>
      <c r="F59" s="24"/>
      <c r="G59" s="24"/>
    </row>
    <row r="60" spans="2:12" x14ac:dyDescent="0.3">
      <c r="B60" s="24" t="s">
        <v>257</v>
      </c>
      <c r="C60" s="24"/>
      <c r="D60" s="24"/>
      <c r="E60" s="24"/>
      <c r="F60" s="24"/>
      <c r="G60" s="24"/>
    </row>
    <row r="61" spans="2:12" x14ac:dyDescent="0.3">
      <c r="B61" s="24"/>
      <c r="C61" s="24"/>
      <c r="D61" s="24"/>
      <c r="E61" s="24"/>
      <c r="F61" s="24"/>
      <c r="G61" s="24"/>
    </row>
    <row r="62" spans="2:12" x14ac:dyDescent="0.3">
      <c r="B62" s="51" t="s">
        <v>465</v>
      </c>
      <c r="C62" s="44"/>
      <c r="D62" s="44"/>
      <c r="E62" s="44"/>
      <c r="F62" s="44"/>
      <c r="G62" s="44"/>
    </row>
    <row r="63" spans="2:12" x14ac:dyDescent="0.3">
      <c r="B63" s="24"/>
      <c r="C63" s="24"/>
      <c r="D63" s="24"/>
      <c r="E63" s="24"/>
      <c r="F63" s="24"/>
      <c r="G63" s="24"/>
    </row>
    <row r="64" spans="2:12" x14ac:dyDescent="0.3">
      <c r="B64" s="24"/>
      <c r="C64" s="24"/>
      <c r="D64" s="150" t="s">
        <v>91</v>
      </c>
      <c r="E64" s="150" t="s">
        <v>92</v>
      </c>
      <c r="F64" s="151" t="s">
        <v>93</v>
      </c>
      <c r="G64" s="151" t="s">
        <v>436</v>
      </c>
    </row>
    <row r="65" spans="2:8" x14ac:dyDescent="0.3">
      <c r="B65" s="146" t="s">
        <v>455</v>
      </c>
      <c r="C65" s="48" t="s">
        <v>567</v>
      </c>
      <c r="D65" s="815">
        <f>D51*5600</f>
        <v>1008</v>
      </c>
      <c r="E65" s="897">
        <f>1190*$D$8</f>
        <v>1344.6999999999998</v>
      </c>
      <c r="F65" s="815">
        <f>F51*14000</f>
        <v>4900</v>
      </c>
      <c r="G65" s="815">
        <f>G51*4</f>
        <v>2000</v>
      </c>
    </row>
    <row r="66" spans="2:8" x14ac:dyDescent="0.3">
      <c r="B66" s="26"/>
      <c r="C66" s="26"/>
      <c r="D66" s="877"/>
      <c r="E66" s="877"/>
      <c r="F66" s="878"/>
      <c r="G66" s="879"/>
    </row>
    <row r="67" spans="2:8" x14ac:dyDescent="0.3">
      <c r="B67" s="26"/>
      <c r="C67" s="26"/>
      <c r="D67" s="877"/>
      <c r="E67" s="877"/>
      <c r="F67" s="878"/>
      <c r="G67" s="879"/>
    </row>
    <row r="68" spans="2:8" x14ac:dyDescent="0.3">
      <c r="B68" s="385" t="s">
        <v>226</v>
      </c>
      <c r="C68" s="384"/>
      <c r="D68" s="384"/>
      <c r="E68" s="384"/>
      <c r="F68" s="384"/>
      <c r="G68" s="384"/>
      <c r="H68" s="381"/>
    </row>
    <row r="69" spans="2:8" x14ac:dyDescent="0.3">
      <c r="B69" s="26"/>
      <c r="C69" s="26"/>
      <c r="D69" s="877"/>
      <c r="E69" s="877"/>
      <c r="F69" s="878"/>
      <c r="G69" s="879"/>
    </row>
    <row r="70" spans="2:8" x14ac:dyDescent="0.3">
      <c r="B70" s="381"/>
      <c r="C70" s="381"/>
      <c r="D70" s="380" t="s">
        <v>91</v>
      </c>
      <c r="E70" s="380" t="s">
        <v>92</v>
      </c>
      <c r="F70" s="880" t="s">
        <v>93</v>
      </c>
      <c r="G70" s="880" t="s">
        <v>436</v>
      </c>
    </row>
    <row r="71" spans="2:8" x14ac:dyDescent="0.3">
      <c r="B71" s="379" t="s">
        <v>505</v>
      </c>
      <c r="C71" s="402" t="s">
        <v>223</v>
      </c>
      <c r="D71" s="882">
        <v>90</v>
      </c>
      <c r="E71" s="882">
        <v>84</v>
      </c>
      <c r="F71" s="882">
        <v>100</v>
      </c>
      <c r="G71" s="882">
        <v>120</v>
      </c>
    </row>
    <row r="72" spans="2:8" x14ac:dyDescent="0.3">
      <c r="C72" s="399" t="s">
        <v>447</v>
      </c>
      <c r="D72" s="883">
        <v>55</v>
      </c>
      <c r="E72" s="883">
        <v>14</v>
      </c>
      <c r="F72" s="883">
        <v>92</v>
      </c>
      <c r="G72" s="883">
        <v>92</v>
      </c>
    </row>
    <row r="73" spans="2:8" ht="14.5" x14ac:dyDescent="0.35">
      <c r="C73" s="881" t="s">
        <v>448</v>
      </c>
      <c r="D73" s="884">
        <v>72</v>
      </c>
      <c r="E73" s="884">
        <v>120</v>
      </c>
      <c r="F73" s="884">
        <v>84</v>
      </c>
      <c r="G73" s="884">
        <v>90</v>
      </c>
    </row>
    <row r="74" spans="2:8" x14ac:dyDescent="0.3">
      <c r="B74" s="26"/>
      <c r="C74" s="26"/>
      <c r="D74" s="877"/>
      <c r="E74" s="877"/>
      <c r="F74" s="878"/>
      <c r="G74" s="879"/>
    </row>
    <row r="75" spans="2:8" s="39" customFormat="1" x14ac:dyDescent="0.3">
      <c r="B75"/>
      <c r="C75"/>
      <c r="D75"/>
      <c r="E75"/>
      <c r="F75"/>
      <c r="G75"/>
      <c r="H75"/>
    </row>
    <row r="76" spans="2:8" x14ac:dyDescent="0.3">
      <c r="B76" s="51" t="s">
        <v>247</v>
      </c>
      <c r="C76" s="44"/>
      <c r="D76" s="44"/>
      <c r="E76" s="44"/>
      <c r="F76" s="44"/>
      <c r="G76" s="44"/>
    </row>
    <row r="77" spans="2:8" x14ac:dyDescent="0.3">
      <c r="B77" s="24"/>
    </row>
    <row r="78" spans="2:8" x14ac:dyDescent="0.3">
      <c r="B78" s="24"/>
      <c r="C78" s="167"/>
      <c r="D78" s="150" t="s">
        <v>91</v>
      </c>
      <c r="E78" s="150" t="s">
        <v>92</v>
      </c>
      <c r="F78" s="151" t="s">
        <v>93</v>
      </c>
      <c r="G78" s="151" t="s">
        <v>436</v>
      </c>
    </row>
    <row r="79" spans="2:8" x14ac:dyDescent="0.3">
      <c r="B79" s="49" t="s">
        <v>248</v>
      </c>
      <c r="C79" s="148"/>
      <c r="D79" s="152"/>
      <c r="E79" s="152"/>
      <c r="F79" s="152"/>
      <c r="G79" s="174"/>
    </row>
    <row r="80" spans="2:8" x14ac:dyDescent="0.3">
      <c r="B80" s="62" t="s">
        <v>249</v>
      </c>
      <c r="C80" s="170" t="s">
        <v>567</v>
      </c>
      <c r="D80" s="819">
        <v>130</v>
      </c>
      <c r="E80" s="819">
        <f>180*$D$8</f>
        <v>203.39999999999998</v>
      </c>
      <c r="F80" s="819">
        <f>180*$D$8</f>
        <v>203.39999999999998</v>
      </c>
      <c r="G80" s="819">
        <f>180*$D$8</f>
        <v>203.39999999999998</v>
      </c>
    </row>
    <row r="81" spans="2:9" x14ac:dyDescent="0.3">
      <c r="B81" s="41" t="s">
        <v>508</v>
      </c>
      <c r="C81" s="171" t="s">
        <v>567</v>
      </c>
      <c r="D81" s="583">
        <f>'Energy margins'!J40</f>
        <v>142.75854999999999</v>
      </c>
      <c r="E81" s="583">
        <f>'Energy margins'!Q40</f>
        <v>133.04845999999998</v>
      </c>
      <c r="F81" s="583">
        <f>'Energy margins'!X40</f>
        <v>183.02835999999999</v>
      </c>
      <c r="G81" s="583">
        <f>'Energy margins'!AE40</f>
        <v>200.81455999999997</v>
      </c>
    </row>
    <row r="82" spans="2:9" x14ac:dyDescent="0.3">
      <c r="B82" s="41" t="s">
        <v>461</v>
      </c>
      <c r="C82" s="171" t="s">
        <v>567</v>
      </c>
      <c r="D82" s="583">
        <f>'Energy fixed costs'!G85</f>
        <v>19.974783999999993</v>
      </c>
      <c r="E82" s="583">
        <f>'Energy fixed costs'!L85</f>
        <v>19.974783999999993</v>
      </c>
      <c r="F82" s="583">
        <f>'Energy fixed costs'!Q85</f>
        <v>19.974783999999993</v>
      </c>
      <c r="G82" s="583">
        <f>'Energy fixed costs'!V85</f>
        <v>19.974783999999993</v>
      </c>
    </row>
    <row r="83" spans="2:9" x14ac:dyDescent="0.3">
      <c r="B83" s="41" t="s">
        <v>509</v>
      </c>
      <c r="C83" s="171" t="s">
        <v>567</v>
      </c>
      <c r="D83" s="583">
        <v>130</v>
      </c>
      <c r="E83" s="583">
        <f>120*$D$8</f>
        <v>135.6</v>
      </c>
      <c r="F83" s="583">
        <f>120*$D$8</f>
        <v>135.6</v>
      </c>
      <c r="G83" s="583">
        <f>120*$D$8</f>
        <v>135.6</v>
      </c>
    </row>
    <row r="84" spans="2:9" x14ac:dyDescent="0.3">
      <c r="B84" s="41" t="s">
        <v>521</v>
      </c>
      <c r="C84" s="171" t="s">
        <v>567</v>
      </c>
      <c r="D84" s="583">
        <f>40.3*$D$8</f>
        <v>45.538999999999994</v>
      </c>
      <c r="E84" s="583">
        <f>40.3*$D$8</f>
        <v>45.538999999999994</v>
      </c>
      <c r="F84" s="583">
        <f>'Energy fixed costs'!Q72*$D$8</f>
        <v>25.742303999999997</v>
      </c>
      <c r="G84" s="583">
        <f>'Energy fixed costs'!V72*$D$8</f>
        <v>25.742303999999997</v>
      </c>
    </row>
    <row r="85" spans="2:9" x14ac:dyDescent="0.3">
      <c r="B85" s="41" t="s">
        <v>82</v>
      </c>
      <c r="C85" s="171" t="s">
        <v>567</v>
      </c>
      <c r="D85" s="583">
        <v>400</v>
      </c>
      <c r="E85" s="583">
        <f>350*$D$8</f>
        <v>395.49999999999994</v>
      </c>
      <c r="F85" s="820">
        <f>'Energy fixed costs'!Q54</f>
        <v>142.70769999999999</v>
      </c>
      <c r="G85" s="583">
        <f>'Energy fixed costs'!V54</f>
        <v>50.849999999999994</v>
      </c>
    </row>
    <row r="86" spans="2:9" x14ac:dyDescent="0.3">
      <c r="B86" s="41" t="s">
        <v>250</v>
      </c>
      <c r="C86" s="171" t="s">
        <v>567</v>
      </c>
      <c r="D86" s="833" t="s">
        <v>115</v>
      </c>
      <c r="E86" s="833" t="s">
        <v>115</v>
      </c>
      <c r="F86" s="583">
        <f>'Energy fixed costs'!Q62</f>
        <v>136.44749999999999</v>
      </c>
      <c r="G86" s="583">
        <f>'Energy fixed costs'!V62</f>
        <v>136.44749999999999</v>
      </c>
    </row>
    <row r="87" spans="2:9" x14ac:dyDescent="0.3">
      <c r="B87" s="46" t="s">
        <v>458</v>
      </c>
      <c r="C87" s="172" t="s">
        <v>567</v>
      </c>
      <c r="D87" s="821">
        <f>50*$D$8</f>
        <v>56.499999999999993</v>
      </c>
      <c r="E87" s="821">
        <f>20*$D$8</f>
        <v>22.599999999999998</v>
      </c>
      <c r="F87" s="821">
        <f>20*$D$8</f>
        <v>22.599999999999998</v>
      </c>
      <c r="G87" s="821">
        <f>20*$D$8</f>
        <v>22.599999999999998</v>
      </c>
      <c r="I87" s="984"/>
    </row>
    <row r="88" spans="2:9" x14ac:dyDescent="0.3">
      <c r="B88" s="52" t="s">
        <v>251</v>
      </c>
      <c r="C88" s="172"/>
      <c r="D88" s="168"/>
      <c r="E88" s="168"/>
      <c r="F88" s="168"/>
      <c r="G88" s="169"/>
    </row>
    <row r="89" spans="2:9" x14ac:dyDescent="0.3">
      <c r="B89" s="62" t="s">
        <v>249</v>
      </c>
      <c r="C89" s="818" t="s">
        <v>567</v>
      </c>
      <c r="D89" s="829" t="s">
        <v>115</v>
      </c>
      <c r="E89" s="829" t="s">
        <v>115</v>
      </c>
      <c r="F89" s="829" t="s">
        <v>115</v>
      </c>
      <c r="G89" s="829" t="s">
        <v>115</v>
      </c>
    </row>
    <row r="90" spans="2:9" x14ac:dyDescent="0.3">
      <c r="B90" s="41" t="s">
        <v>30</v>
      </c>
      <c r="C90" s="171" t="s">
        <v>567</v>
      </c>
      <c r="D90" s="820">
        <f>'Energy margins'!J58/8</f>
        <v>142.75854999999999</v>
      </c>
      <c r="E90" s="820">
        <f>'Energy margins'!Q58/15</f>
        <v>133.04846000000001</v>
      </c>
      <c r="F90" s="820">
        <f>'Energy margins'!X58/15</f>
        <v>183.02835999999999</v>
      </c>
      <c r="G90" s="820">
        <f>'Energy margins'!AE58/15</f>
        <v>200.81455999999997</v>
      </c>
    </row>
    <row r="91" spans="2:9" x14ac:dyDescent="0.3">
      <c r="B91" s="41" t="s">
        <v>461</v>
      </c>
      <c r="C91" s="171" t="s">
        <v>567</v>
      </c>
      <c r="D91" s="583">
        <f>'Energy fixed costs'!G101</f>
        <v>19.974783999999993</v>
      </c>
      <c r="E91" s="583">
        <f>'Energy fixed costs'!L101</f>
        <v>19.974783999999993</v>
      </c>
      <c r="F91" s="583">
        <f>'Energy fixed costs'!Q101</f>
        <v>19.974783999999993</v>
      </c>
      <c r="G91" s="583">
        <f>'Energy fixed costs'!V101</f>
        <v>19.974783999999993</v>
      </c>
    </row>
    <row r="92" spans="2:9" x14ac:dyDescent="0.3">
      <c r="B92" s="41" t="s">
        <v>250</v>
      </c>
      <c r="C92" s="171" t="s">
        <v>567</v>
      </c>
      <c r="D92" s="830" t="s">
        <v>115</v>
      </c>
      <c r="E92" s="830" t="s">
        <v>115</v>
      </c>
      <c r="F92" s="583">
        <f>'Energy fixed costs'!Q105</f>
        <v>181.92999999999998</v>
      </c>
      <c r="G92" s="583">
        <f>'Energy fixed costs'!V105</f>
        <v>181.92999999999998</v>
      </c>
    </row>
    <row r="93" spans="2:9" x14ac:dyDescent="0.3">
      <c r="B93" s="41" t="s">
        <v>509</v>
      </c>
      <c r="C93" s="171" t="s">
        <v>567</v>
      </c>
      <c r="D93" s="1028">
        <f>D83/2</f>
        <v>65</v>
      </c>
      <c r="E93" s="830">
        <f>E83/2</f>
        <v>67.8</v>
      </c>
      <c r="F93" s="833" t="s">
        <v>115</v>
      </c>
      <c r="G93" s="833" t="s">
        <v>115</v>
      </c>
    </row>
    <row r="94" spans="2:9" x14ac:dyDescent="0.3">
      <c r="B94" s="41" t="s">
        <v>521</v>
      </c>
      <c r="C94" s="171" t="s">
        <v>567</v>
      </c>
      <c r="D94" s="583">
        <f>40.3*$D$8</f>
        <v>45.538999999999994</v>
      </c>
      <c r="E94" s="583">
        <f>40.3*$D$8</f>
        <v>45.538999999999994</v>
      </c>
      <c r="F94" s="584" t="s">
        <v>115</v>
      </c>
      <c r="G94" s="584" t="s">
        <v>115</v>
      </c>
    </row>
    <row r="95" spans="2:9" x14ac:dyDescent="0.3">
      <c r="B95" s="41" t="s">
        <v>177</v>
      </c>
      <c r="C95" s="171" t="s">
        <v>567</v>
      </c>
      <c r="D95" s="583">
        <v>475</v>
      </c>
      <c r="E95" s="584" t="s">
        <v>115</v>
      </c>
      <c r="F95" s="822">
        <f>100*$D$8</f>
        <v>112.99999999999999</v>
      </c>
      <c r="G95" s="820" t="s">
        <v>115</v>
      </c>
    </row>
    <row r="96" spans="2:9" x14ac:dyDescent="0.3">
      <c r="B96" s="41" t="s">
        <v>459</v>
      </c>
      <c r="C96" s="171" t="s">
        <v>567</v>
      </c>
      <c r="D96" s="584" t="s">
        <v>115</v>
      </c>
      <c r="E96" s="583">
        <f>270.5</f>
        <v>270.5</v>
      </c>
      <c r="F96" s="584" t="s">
        <v>115</v>
      </c>
      <c r="G96" s="584" t="s">
        <v>115</v>
      </c>
    </row>
    <row r="97" spans="2:7" x14ac:dyDescent="0.3">
      <c r="B97" s="41" t="s">
        <v>460</v>
      </c>
      <c r="C97" s="171" t="s">
        <v>567</v>
      </c>
      <c r="D97" s="584" t="s">
        <v>115</v>
      </c>
      <c r="E97" s="584" t="s">
        <v>115</v>
      </c>
      <c r="F97" s="584" t="s">
        <v>115</v>
      </c>
      <c r="G97" s="583">
        <f>175*$D$8</f>
        <v>197.74999999999997</v>
      </c>
    </row>
    <row r="98" spans="2:7" x14ac:dyDescent="0.3">
      <c r="B98" s="46" t="s">
        <v>252</v>
      </c>
      <c r="C98" s="172" t="s">
        <v>567</v>
      </c>
      <c r="D98" s="821">
        <v>500</v>
      </c>
      <c r="E98" s="821">
        <f>170*$D$8</f>
        <v>192.1</v>
      </c>
      <c r="F98" s="821">
        <f>170*$D$8</f>
        <v>192.1</v>
      </c>
      <c r="G98" s="821">
        <f>170*$D$8</f>
        <v>192.1</v>
      </c>
    </row>
    <row r="101" spans="2:7" x14ac:dyDescent="0.3">
      <c r="C101" s="24"/>
    </row>
    <row r="102" spans="2:7" x14ac:dyDescent="0.3">
      <c r="C102" s="24"/>
    </row>
    <row r="103" spans="2:7" x14ac:dyDescent="0.3">
      <c r="C103" s="24"/>
    </row>
    <row r="104" spans="2:7" x14ac:dyDescent="0.3">
      <c r="C104" s="24"/>
    </row>
    <row r="105" spans="2:7" x14ac:dyDescent="0.3">
      <c r="C105" s="24"/>
    </row>
    <row r="106" spans="2:7" x14ac:dyDescent="0.3">
      <c r="C106" s="24"/>
    </row>
    <row r="110" spans="2:7" x14ac:dyDescent="0.3">
      <c r="G110" s="10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X146"/>
  <sheetViews>
    <sheetView topLeftCell="B58" workbookViewId="0">
      <selection activeCell="W92" sqref="W92"/>
    </sheetView>
  </sheetViews>
  <sheetFormatPr defaultColWidth="9" defaultRowHeight="14" x14ac:dyDescent="0.3"/>
  <cols>
    <col min="2" max="2" width="45" customWidth="1"/>
    <col min="5" max="5" width="4.08203125" customWidth="1"/>
    <col min="10" max="10" width="4.08203125" customWidth="1"/>
    <col min="15" max="15" width="4.08203125" customWidth="1"/>
    <col min="20" max="20" width="4.08203125" customWidth="1"/>
  </cols>
  <sheetData>
    <row r="1" spans="2:24" ht="14.5" thickBot="1" x14ac:dyDescent="0.35"/>
    <row r="2" spans="2:24" ht="14.5" thickBot="1" x14ac:dyDescent="0.35">
      <c r="B2" s="302" t="s">
        <v>577</v>
      </c>
    </row>
    <row r="3" spans="2:24" x14ac:dyDescent="0.3">
      <c r="B3" s="128"/>
      <c r="F3" s="70"/>
      <c r="M3" s="70"/>
      <c r="N3" s="69"/>
    </row>
    <row r="4" spans="2:24" x14ac:dyDescent="0.3">
      <c r="B4" s="129" t="s">
        <v>37</v>
      </c>
      <c r="C4" s="130">
        <f>'Arable Inputs'!D31</f>
        <v>14.5</v>
      </c>
      <c r="F4" s="70"/>
      <c r="G4" s="69"/>
      <c r="I4" s="70"/>
      <c r="J4" s="70"/>
      <c r="K4" s="69"/>
      <c r="M4" s="70"/>
      <c r="N4" s="69"/>
    </row>
    <row r="6" spans="2:24" x14ac:dyDescent="0.3">
      <c r="B6" s="21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2:24" x14ac:dyDescent="0.3">
      <c r="B7" s="47"/>
      <c r="C7" s="47"/>
      <c r="D7" s="47"/>
      <c r="E7" s="139"/>
      <c r="F7" s="51" t="s">
        <v>91</v>
      </c>
      <c r="G7" s="44"/>
      <c r="H7" s="44"/>
      <c r="I7" s="44"/>
      <c r="J7" s="139"/>
      <c r="K7" s="42" t="s">
        <v>92</v>
      </c>
      <c r="L7" s="44"/>
      <c r="M7" s="44"/>
      <c r="N7" s="48"/>
      <c r="O7" s="44"/>
      <c r="P7" s="183" t="s">
        <v>93</v>
      </c>
      <c r="Q7" s="44"/>
      <c r="R7" s="44"/>
      <c r="S7" s="48"/>
      <c r="T7" s="44"/>
      <c r="U7" s="183" t="s">
        <v>436</v>
      </c>
      <c r="V7" s="44"/>
      <c r="W7" s="44"/>
      <c r="X7" s="48"/>
    </row>
    <row r="8" spans="2:24" ht="22.5" customHeight="1" x14ac:dyDescent="0.3">
      <c r="B8" s="103"/>
      <c r="C8" s="26"/>
      <c r="D8" s="26"/>
      <c r="E8" s="135"/>
      <c r="F8" s="1078" t="s">
        <v>35</v>
      </c>
      <c r="G8" s="1081"/>
      <c r="H8" s="1079">
        <f>H36</f>
        <v>4.9499999999999993</v>
      </c>
      <c r="I8" s="1082"/>
      <c r="J8" s="140"/>
      <c r="K8" s="1077" t="s">
        <v>35</v>
      </c>
      <c r="L8" s="1083"/>
      <c r="M8" s="1079">
        <f>M36</f>
        <v>4.9499999999999993</v>
      </c>
      <c r="N8" s="1080"/>
      <c r="O8" s="132"/>
      <c r="P8" s="1077" t="s">
        <v>35</v>
      </c>
      <c r="Q8" s="1078"/>
      <c r="R8" s="1079">
        <f>R36</f>
        <v>6</v>
      </c>
      <c r="S8" s="1080"/>
      <c r="T8" s="132"/>
      <c r="U8" s="1077" t="s">
        <v>35</v>
      </c>
      <c r="V8" s="1078"/>
      <c r="W8" s="1079">
        <f>W36</f>
        <v>6</v>
      </c>
      <c r="X8" s="1079"/>
    </row>
    <row r="9" spans="2:24" ht="22.5" customHeight="1" x14ac:dyDescent="0.3">
      <c r="B9" s="45"/>
      <c r="C9" s="26"/>
      <c r="D9" s="26"/>
      <c r="E9" s="135"/>
      <c r="F9" s="1072" t="s">
        <v>34</v>
      </c>
      <c r="G9" s="1075"/>
      <c r="H9" s="1073">
        <f>I36</f>
        <v>71.774999999999991</v>
      </c>
      <c r="I9" s="1076"/>
      <c r="J9" s="141"/>
      <c r="K9" s="1071" t="s">
        <v>34</v>
      </c>
      <c r="L9" s="1072"/>
      <c r="M9" s="1073">
        <f>N36</f>
        <v>71.774999999999991</v>
      </c>
      <c r="N9" s="1074"/>
      <c r="O9" s="133"/>
      <c r="P9" s="1071" t="s">
        <v>34</v>
      </c>
      <c r="Q9" s="1072"/>
      <c r="R9" s="1073">
        <f>S36</f>
        <v>87</v>
      </c>
      <c r="S9" s="1074"/>
      <c r="T9" s="133"/>
      <c r="U9" s="1071" t="s">
        <v>34</v>
      </c>
      <c r="V9" s="1072"/>
      <c r="W9" s="1073">
        <f>X36</f>
        <v>87</v>
      </c>
      <c r="X9" s="1073"/>
    </row>
    <row r="10" spans="2:24" ht="22.5" customHeight="1" x14ac:dyDescent="0.3">
      <c r="B10" s="45" t="s">
        <v>237</v>
      </c>
      <c r="C10" s="25"/>
      <c r="D10" s="26"/>
      <c r="E10" s="135"/>
      <c r="F10" s="1072" t="s">
        <v>33</v>
      </c>
      <c r="G10" s="1075"/>
      <c r="H10" s="1073">
        <f>G36</f>
        <v>130</v>
      </c>
      <c r="I10" s="1076"/>
      <c r="J10" s="141"/>
      <c r="K10" s="1071" t="s">
        <v>33</v>
      </c>
      <c r="L10" s="1072"/>
      <c r="M10" s="1073">
        <f>L36</f>
        <v>203.39999999999998</v>
      </c>
      <c r="N10" s="1074"/>
      <c r="O10" s="133"/>
      <c r="P10" s="1071" t="s">
        <v>33</v>
      </c>
      <c r="Q10" s="1072"/>
      <c r="R10" s="1073">
        <f>Q36</f>
        <v>203.39999999999998</v>
      </c>
      <c r="S10" s="1074"/>
      <c r="T10" s="133"/>
      <c r="U10" s="1071" t="s">
        <v>33</v>
      </c>
      <c r="V10" s="1072"/>
      <c r="W10" s="1073">
        <f>V36</f>
        <v>203.39999999999998</v>
      </c>
      <c r="X10" s="1073"/>
    </row>
    <row r="11" spans="2:24" ht="22.5" customHeight="1" x14ac:dyDescent="0.3">
      <c r="B11" s="41"/>
      <c r="C11" s="47"/>
      <c r="D11" s="47"/>
      <c r="E11" s="137"/>
      <c r="F11" s="1064" t="s">
        <v>36</v>
      </c>
      <c r="G11" s="1065"/>
      <c r="H11" s="1066">
        <f>H10-H9</f>
        <v>58.225000000000009</v>
      </c>
      <c r="I11" s="1067"/>
      <c r="J11" s="142"/>
      <c r="K11" s="1068" t="s">
        <v>36</v>
      </c>
      <c r="L11" s="1064"/>
      <c r="M11" s="1066">
        <f>M10-M9</f>
        <v>131.625</v>
      </c>
      <c r="N11" s="1069"/>
      <c r="O11" s="364"/>
      <c r="P11" s="1068" t="s">
        <v>36</v>
      </c>
      <c r="Q11" s="1064"/>
      <c r="R11" s="1066">
        <f>R10-R9</f>
        <v>116.39999999999998</v>
      </c>
      <c r="S11" s="1069"/>
      <c r="T11" s="364"/>
      <c r="U11" s="1068" t="s">
        <v>36</v>
      </c>
      <c r="V11" s="1070"/>
      <c r="W11" s="1066">
        <f>W10-W9</f>
        <v>116.39999999999998</v>
      </c>
      <c r="X11" s="1066"/>
    </row>
    <row r="12" spans="2:24" x14ac:dyDescent="0.3">
      <c r="B12" s="55"/>
      <c r="C12" s="58" t="s">
        <v>97</v>
      </c>
      <c r="D12" s="134" t="s">
        <v>98</v>
      </c>
      <c r="E12" s="144" t="s">
        <v>238</v>
      </c>
      <c r="F12" s="71" t="s">
        <v>39</v>
      </c>
      <c r="G12" s="72" t="s">
        <v>40</v>
      </c>
      <c r="H12" s="71" t="s">
        <v>41</v>
      </c>
      <c r="I12" s="71" t="s">
        <v>42</v>
      </c>
      <c r="J12" s="143" t="s">
        <v>238</v>
      </c>
      <c r="K12" s="73" t="s">
        <v>39</v>
      </c>
      <c r="L12" s="72" t="s">
        <v>42</v>
      </c>
      <c r="M12" s="71" t="s">
        <v>41</v>
      </c>
      <c r="N12" s="72" t="s">
        <v>42</v>
      </c>
      <c r="O12" s="143" t="s">
        <v>238</v>
      </c>
      <c r="P12" s="73" t="s">
        <v>39</v>
      </c>
      <c r="Q12" s="72" t="s">
        <v>42</v>
      </c>
      <c r="R12" s="71" t="s">
        <v>41</v>
      </c>
      <c r="S12" s="72" t="s">
        <v>42</v>
      </c>
      <c r="T12" s="143" t="s">
        <v>238</v>
      </c>
      <c r="U12" s="73" t="s">
        <v>39</v>
      </c>
      <c r="V12" s="72" t="s">
        <v>42</v>
      </c>
      <c r="W12" s="71" t="s">
        <v>41</v>
      </c>
      <c r="X12" s="72" t="s">
        <v>42</v>
      </c>
    </row>
    <row r="13" spans="2:24" x14ac:dyDescent="0.3">
      <c r="B13" s="850" t="s">
        <v>476</v>
      </c>
      <c r="C13" s="50"/>
      <c r="D13" s="56"/>
      <c r="E13" s="849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2"/>
    </row>
    <row r="14" spans="2:24" x14ac:dyDescent="0.3">
      <c r="B14" s="42" t="s">
        <v>38</v>
      </c>
      <c r="C14" s="50"/>
      <c r="D14" s="56"/>
      <c r="E14" s="56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57"/>
    </row>
    <row r="15" spans="2:24" x14ac:dyDescent="0.3">
      <c r="B15" s="41" t="s">
        <v>118</v>
      </c>
      <c r="C15" s="59">
        <f>61.38*'Energy Inputs'!D8</f>
        <v>69.359399999999994</v>
      </c>
      <c r="D15" s="61">
        <f>52.06*'Energy Inputs'!D8</f>
        <v>58.827799999999996</v>
      </c>
      <c r="E15" s="138"/>
      <c r="F15" s="26"/>
      <c r="G15" s="54"/>
      <c r="H15" s="26"/>
      <c r="I15" s="26"/>
      <c r="J15" s="138"/>
      <c r="K15" s="26"/>
      <c r="L15" s="54"/>
      <c r="M15" s="26"/>
      <c r="N15" s="26"/>
      <c r="O15" s="138"/>
      <c r="P15" s="26"/>
      <c r="Q15" s="54"/>
      <c r="R15" s="26"/>
      <c r="S15" s="26"/>
      <c r="T15" s="138"/>
      <c r="U15" s="26"/>
      <c r="V15" s="54"/>
      <c r="W15" s="53"/>
      <c r="X15" s="54"/>
    </row>
    <row r="16" spans="2:24" x14ac:dyDescent="0.3">
      <c r="B16" s="41" t="s">
        <v>119</v>
      </c>
      <c r="C16" s="59">
        <f>63.88*'Energy Inputs'!D8</f>
        <v>72.184399999999997</v>
      </c>
      <c r="D16" s="61">
        <f>57.54*'Energy Inputs'!D8</f>
        <v>65.020199999999988</v>
      </c>
      <c r="E16" s="138">
        <v>2</v>
      </c>
      <c r="F16" s="26">
        <v>1</v>
      </c>
      <c r="G16" s="1020">
        <f>IF(F16&gt;=1,CHOOSE(E16,$C16,$D16)*F16)</f>
        <v>65.020199999999988</v>
      </c>
      <c r="H16" s="865">
        <v>1.4</v>
      </c>
      <c r="I16" s="1023">
        <f>H16*$C$4</f>
        <v>20.299999999999997</v>
      </c>
      <c r="J16" s="138">
        <v>2</v>
      </c>
      <c r="K16" s="26">
        <v>1</v>
      </c>
      <c r="L16" s="1020">
        <f>IF(K16&gt;=1,CHOOSE(J16,$C16,$D16)*K16)</f>
        <v>65.020199999999988</v>
      </c>
      <c r="M16" s="865">
        <v>1.4</v>
      </c>
      <c r="N16" s="1023">
        <f>M16*$C$4</f>
        <v>20.299999999999997</v>
      </c>
      <c r="O16" s="138">
        <v>2</v>
      </c>
      <c r="P16" s="26">
        <v>1</v>
      </c>
      <c r="Q16" s="1020">
        <f>IF(P16&gt;=1,CHOOSE(O16,$C16,$D16)*P16)</f>
        <v>65.020199999999988</v>
      </c>
      <c r="R16" s="865">
        <v>1.4</v>
      </c>
      <c r="S16" s="1023">
        <f>R16*$C$4</f>
        <v>20.299999999999997</v>
      </c>
      <c r="T16" s="138">
        <v>2</v>
      </c>
      <c r="U16" s="26">
        <v>1</v>
      </c>
      <c r="V16" s="1020">
        <f>IF(U16&gt;=1,CHOOSE(T16,$C16,$D16)*U16)</f>
        <v>65.020199999999988</v>
      </c>
      <c r="W16" s="865">
        <v>1.4</v>
      </c>
      <c r="X16" s="1020">
        <f>W16*$C$4</f>
        <v>20.299999999999997</v>
      </c>
    </row>
    <row r="17" spans="2:24" x14ac:dyDescent="0.3">
      <c r="B17" s="41" t="s">
        <v>120</v>
      </c>
      <c r="C17" s="59">
        <f>(C15+6.92)*'Energy Inputs'!D8</f>
        <v>86.195721999999989</v>
      </c>
      <c r="D17" s="61">
        <f>(D15+10.44)*'Energy Inputs'!D8</f>
        <v>78.27261399999999</v>
      </c>
      <c r="E17" s="138"/>
      <c r="F17" s="26"/>
      <c r="G17" s="1020"/>
      <c r="H17" s="26"/>
      <c r="I17" s="1023"/>
      <c r="J17" s="138"/>
      <c r="K17" s="26"/>
      <c r="L17" s="1020"/>
      <c r="M17" s="26"/>
      <c r="N17" s="1023"/>
      <c r="O17" s="138"/>
      <c r="P17" s="26"/>
      <c r="Q17" s="1020"/>
      <c r="R17" s="26"/>
      <c r="S17" s="1023"/>
      <c r="T17" s="138"/>
      <c r="U17" s="26"/>
      <c r="V17" s="1020"/>
      <c r="W17" s="866"/>
      <c r="X17" s="1020"/>
    </row>
    <row r="18" spans="2:24" x14ac:dyDescent="0.3">
      <c r="B18" s="41" t="s">
        <v>99</v>
      </c>
      <c r="C18" s="59">
        <f>76.5*'Energy Inputs'!D8</f>
        <v>86.444999999999993</v>
      </c>
      <c r="D18" s="61">
        <f>68.49*'Energy Inputs'!D8</f>
        <v>77.393699999999981</v>
      </c>
      <c r="E18" s="138"/>
      <c r="F18" s="26"/>
      <c r="G18" s="1020"/>
      <c r="H18" s="26"/>
      <c r="I18" s="1023"/>
      <c r="J18" s="138"/>
      <c r="K18" s="26"/>
      <c r="L18" s="1020"/>
      <c r="M18" s="26"/>
      <c r="N18" s="1023"/>
      <c r="O18" s="138"/>
      <c r="P18" s="26"/>
      <c r="Q18" s="1020"/>
      <c r="R18" s="26"/>
      <c r="S18" s="1023"/>
      <c r="T18" s="138"/>
      <c r="U18" s="26"/>
      <c r="V18" s="1020"/>
      <c r="W18" s="866"/>
      <c r="X18" s="1020"/>
    </row>
    <row r="19" spans="2:24" x14ac:dyDescent="0.3">
      <c r="B19" s="41" t="s">
        <v>122</v>
      </c>
      <c r="C19" s="59">
        <f>75.12*'Energy Inputs'!D8</f>
        <v>84.885599999999997</v>
      </c>
      <c r="D19" s="61">
        <f>62.16*'Energy Inputs'!D8</f>
        <v>70.240799999999993</v>
      </c>
      <c r="E19" s="138"/>
      <c r="F19" s="26"/>
      <c r="G19" s="1020"/>
      <c r="H19" s="26"/>
      <c r="I19" s="1023"/>
      <c r="J19" s="138"/>
      <c r="K19" s="26"/>
      <c r="L19" s="1020"/>
      <c r="M19" s="26"/>
      <c r="N19" s="1023"/>
      <c r="O19" s="138"/>
      <c r="P19" s="26"/>
      <c r="Q19" s="1020"/>
      <c r="R19" s="26"/>
      <c r="S19" s="1023"/>
      <c r="T19" s="138"/>
      <c r="U19" s="26"/>
      <c r="V19" s="1020"/>
      <c r="W19" s="866"/>
      <c r="X19" s="1020"/>
    </row>
    <row r="20" spans="2:24" x14ac:dyDescent="0.3">
      <c r="B20" s="41" t="s">
        <v>121</v>
      </c>
      <c r="C20" s="59" t="s">
        <v>115</v>
      </c>
      <c r="D20" s="61">
        <f>88.06*'Energy Inputs'!D8</f>
        <v>99.507799999999989</v>
      </c>
      <c r="E20" s="138"/>
      <c r="F20" s="26"/>
      <c r="G20" s="1020"/>
      <c r="H20" s="26"/>
      <c r="I20" s="1023"/>
      <c r="J20" s="138"/>
      <c r="K20" s="26"/>
      <c r="L20" s="1020"/>
      <c r="M20" s="26"/>
      <c r="N20" s="1023"/>
      <c r="O20" s="138"/>
      <c r="P20" s="26"/>
      <c r="Q20" s="1020"/>
      <c r="R20" s="26"/>
      <c r="S20" s="1023"/>
      <c r="T20" s="138"/>
      <c r="U20" s="26"/>
      <c r="V20" s="1020"/>
      <c r="W20" s="866"/>
      <c r="X20" s="1020"/>
    </row>
    <row r="21" spans="2:24" x14ac:dyDescent="0.3">
      <c r="B21" s="41" t="s">
        <v>100</v>
      </c>
      <c r="C21" s="59">
        <f>59.3*'Energy Inputs'!D8</f>
        <v>67.008999999999986</v>
      </c>
      <c r="D21" s="61">
        <f>52.25*'Energy Inputs'!D8</f>
        <v>59.042499999999997</v>
      </c>
      <c r="E21" s="138">
        <v>2</v>
      </c>
      <c r="F21" s="26">
        <v>1</v>
      </c>
      <c r="G21" s="1020">
        <f>IF(F21&gt;=1,CHOOSE(E21,$C21,$D21)*F21)</f>
        <v>59.042499999999997</v>
      </c>
      <c r="H21" s="865">
        <v>1.4</v>
      </c>
      <c r="I21" s="1023">
        <f>H21*$C$4</f>
        <v>20.299999999999997</v>
      </c>
      <c r="J21" s="138">
        <v>2</v>
      </c>
      <c r="K21" s="26">
        <v>1</v>
      </c>
      <c r="L21" s="1020">
        <f>IF(K21&gt;=1,CHOOSE(J21,$C21,$D21)*K21)</f>
        <v>59.042499999999997</v>
      </c>
      <c r="M21" s="865">
        <v>1.4</v>
      </c>
      <c r="N21" s="1023">
        <f>M21*$C$4</f>
        <v>20.299999999999997</v>
      </c>
      <c r="O21" s="138">
        <v>2</v>
      </c>
      <c r="P21" s="26">
        <v>1</v>
      </c>
      <c r="Q21" s="1020">
        <f>IF(P21&gt;=1,CHOOSE(O21,$C21,$D21)*P21)</f>
        <v>59.042499999999997</v>
      </c>
      <c r="R21" s="865">
        <v>1.4</v>
      </c>
      <c r="S21" s="1023">
        <f>R21*$C$4</f>
        <v>20.299999999999997</v>
      </c>
      <c r="T21" s="138">
        <v>2</v>
      </c>
      <c r="U21" s="26">
        <v>1</v>
      </c>
      <c r="V21" s="1020">
        <f>IF(U21&gt;=1,CHOOSE(T21,$C21,$D21)*U21)</f>
        <v>59.042499999999997</v>
      </c>
      <c r="W21" s="865">
        <v>1.4</v>
      </c>
      <c r="X21" s="1023">
        <f>W21*$C$4</f>
        <v>20.299999999999997</v>
      </c>
    </row>
    <row r="22" spans="2:24" x14ac:dyDescent="0.3">
      <c r="B22" s="41" t="s">
        <v>101</v>
      </c>
      <c r="C22" s="59">
        <f>70.77*'Energy Inputs'!D8</f>
        <v>79.970099999999988</v>
      </c>
      <c r="D22" s="61">
        <f>59.72*'Energy Inputs'!D8</f>
        <v>67.483599999999996</v>
      </c>
      <c r="E22" s="138"/>
      <c r="F22" s="26"/>
      <c r="G22" s="1020"/>
      <c r="H22" s="26"/>
      <c r="I22" s="1023"/>
      <c r="J22" s="138"/>
      <c r="K22" s="26"/>
      <c r="L22" s="1020"/>
      <c r="M22" s="26"/>
      <c r="N22" s="1023"/>
      <c r="O22" s="138"/>
      <c r="P22" s="26"/>
      <c r="Q22" s="1020"/>
      <c r="R22" s="26"/>
      <c r="S22" s="1023"/>
      <c r="T22" s="138"/>
      <c r="U22" s="26"/>
      <c r="V22" s="1020"/>
      <c r="W22" s="866"/>
      <c r="X22" s="1020"/>
    </row>
    <row r="23" spans="2:24" x14ac:dyDescent="0.3">
      <c r="B23" s="41" t="s">
        <v>43</v>
      </c>
      <c r="C23" s="59">
        <f>18.93*'Energy Inputs'!D8</f>
        <v>21.390899999999998</v>
      </c>
      <c r="D23" s="61">
        <f>15.22*'Energy Inputs'!D8</f>
        <v>17.198599999999999</v>
      </c>
      <c r="E23" s="138"/>
      <c r="F23" s="26"/>
      <c r="G23" s="1020"/>
      <c r="H23" s="26"/>
      <c r="I23" s="1023"/>
      <c r="J23" s="138"/>
      <c r="K23" s="26"/>
      <c r="L23" s="1020"/>
      <c r="M23" s="26"/>
      <c r="N23" s="1023"/>
      <c r="O23" s="138"/>
      <c r="P23" s="26"/>
      <c r="Q23" s="1020"/>
      <c r="R23" s="26"/>
      <c r="S23" s="1023"/>
      <c r="T23" s="138"/>
      <c r="U23" s="26"/>
      <c r="V23" s="1020"/>
      <c r="W23" s="866"/>
      <c r="X23" s="1020"/>
    </row>
    <row r="24" spans="2:24" x14ac:dyDescent="0.3">
      <c r="B24" s="41" t="s">
        <v>124</v>
      </c>
      <c r="C24" s="59">
        <f>51.89*'Energy Inputs'!D8</f>
        <v>58.635699999999993</v>
      </c>
      <c r="D24" s="61">
        <f>33.4*'Energy Inputs'!D8</f>
        <v>37.741999999999997</v>
      </c>
      <c r="E24" s="138"/>
      <c r="F24" s="26"/>
      <c r="G24" s="1020"/>
      <c r="H24" s="26"/>
      <c r="I24" s="1023"/>
      <c r="J24" s="138"/>
      <c r="K24" s="26"/>
      <c r="L24" s="1020"/>
      <c r="M24" s="26"/>
      <c r="N24" s="1023"/>
      <c r="O24" s="138"/>
      <c r="P24" s="26"/>
      <c r="Q24" s="1020"/>
      <c r="R24" s="26"/>
      <c r="S24" s="1023"/>
      <c r="T24" s="138"/>
      <c r="U24" s="26"/>
      <c r="V24" s="1020"/>
      <c r="W24" s="866"/>
      <c r="X24" s="1020"/>
    </row>
    <row r="25" spans="2:24" x14ac:dyDescent="0.3">
      <c r="B25" s="41" t="s">
        <v>123</v>
      </c>
      <c r="C25" s="59">
        <f>59.3*'Energy Inputs'!D8</f>
        <v>67.008999999999986</v>
      </c>
      <c r="D25" s="61">
        <f>41.49*'Energy Inputs'!D8</f>
        <v>46.883699999999997</v>
      </c>
      <c r="E25" s="138"/>
      <c r="F25" s="26"/>
      <c r="G25" s="1020"/>
      <c r="H25" s="26"/>
      <c r="I25" s="1023"/>
      <c r="J25" s="138"/>
      <c r="K25" s="26"/>
      <c r="L25" s="1020"/>
      <c r="M25" s="26"/>
      <c r="N25" s="1023"/>
      <c r="O25" s="138"/>
      <c r="P25" s="26"/>
      <c r="Q25" s="1020"/>
      <c r="R25" s="26"/>
      <c r="S25" s="1023"/>
      <c r="T25" s="138"/>
      <c r="U25" s="26"/>
      <c r="V25" s="1020"/>
      <c r="W25" s="866"/>
      <c r="X25" s="1020"/>
    </row>
    <row r="26" spans="2:24" x14ac:dyDescent="0.3">
      <c r="B26" s="41" t="s">
        <v>125</v>
      </c>
      <c r="C26" s="59">
        <f>59.3*'Energy Inputs'!D8</f>
        <v>67.008999999999986</v>
      </c>
      <c r="D26" s="61">
        <f>52.41*'Energy Inputs'!D8</f>
        <v>59.223299999999988</v>
      </c>
      <c r="E26" s="138">
        <v>2</v>
      </c>
      <c r="F26" s="26">
        <v>1</v>
      </c>
      <c r="G26" s="1020">
        <f>IF(F26&gt;=1,CHOOSE(E26,$C26,$D26)*F26)</f>
        <v>59.223299999999988</v>
      </c>
      <c r="H26" s="864">
        <v>1</v>
      </c>
      <c r="I26" s="1023">
        <f>H26*$C$4</f>
        <v>14.5</v>
      </c>
      <c r="J26" s="138">
        <v>2</v>
      </c>
      <c r="K26" s="26">
        <v>1</v>
      </c>
      <c r="L26" s="1020">
        <f>IF(K26&gt;=1,CHOOSE(J26,$C26,$D26)*K26)</f>
        <v>59.223299999999988</v>
      </c>
      <c r="M26" s="865">
        <v>1</v>
      </c>
      <c r="N26" s="1023">
        <f>M26*$C$4</f>
        <v>14.5</v>
      </c>
      <c r="O26" s="138">
        <v>2</v>
      </c>
      <c r="P26" s="26">
        <v>1</v>
      </c>
      <c r="Q26" s="1020">
        <f>IF(P26&gt;=1,CHOOSE(O26,$C26,$D26)*P26)</f>
        <v>59.223299999999988</v>
      </c>
      <c r="R26" s="865">
        <v>2.1</v>
      </c>
      <c r="S26" s="1023">
        <f>R26*$C$4</f>
        <v>30.450000000000003</v>
      </c>
      <c r="T26" s="138"/>
      <c r="U26" s="26"/>
      <c r="V26" s="1020"/>
      <c r="W26" s="866"/>
      <c r="X26" s="1020"/>
    </row>
    <row r="27" spans="2:24" x14ac:dyDescent="0.3">
      <c r="B27" s="41" t="s">
        <v>126</v>
      </c>
      <c r="C27" s="59">
        <f>51.89*'Energy Inputs'!D8</f>
        <v>58.635699999999993</v>
      </c>
      <c r="D27" s="61">
        <f>39.31*'Energy Inputs'!D8</f>
        <v>44.420299999999997</v>
      </c>
      <c r="E27" s="138"/>
      <c r="F27" s="26"/>
      <c r="G27" s="1020"/>
      <c r="H27" s="26"/>
      <c r="I27" s="1023"/>
      <c r="J27" s="138"/>
      <c r="K27" s="26"/>
      <c r="L27" s="1020"/>
      <c r="M27" s="26"/>
      <c r="N27" s="1023"/>
      <c r="O27" s="138"/>
      <c r="P27" s="26"/>
      <c r="Q27" s="1020"/>
      <c r="R27" s="865"/>
      <c r="S27" s="1023"/>
      <c r="T27" s="138">
        <v>2</v>
      </c>
      <c r="U27" s="26">
        <v>1</v>
      </c>
      <c r="V27" s="1020">
        <f>IF(U27&gt;=1,CHOOSE(T27,$C27,$D27)*U27)</f>
        <v>44.420299999999997</v>
      </c>
      <c r="W27" s="866">
        <v>2.1</v>
      </c>
      <c r="X27" s="1020">
        <f>W27*$C$4</f>
        <v>30.450000000000003</v>
      </c>
    </row>
    <row r="28" spans="2:24" x14ac:dyDescent="0.3">
      <c r="B28" s="41" t="s">
        <v>102</v>
      </c>
      <c r="C28" s="59">
        <f>34.59*'Energy Inputs'!D8</f>
        <v>39.0867</v>
      </c>
      <c r="D28" s="61">
        <f>21.76*'Energy Inputs'!D8</f>
        <v>24.588799999999999</v>
      </c>
      <c r="E28" s="138"/>
      <c r="F28" s="26"/>
      <c r="G28" s="1020"/>
      <c r="H28" s="26"/>
      <c r="I28" s="1023"/>
      <c r="J28" s="138"/>
      <c r="K28" s="26"/>
      <c r="L28" s="1020"/>
      <c r="M28" s="26"/>
      <c r="N28" s="1023"/>
      <c r="O28" s="138"/>
      <c r="P28" s="26"/>
      <c r="Q28" s="1020"/>
      <c r="R28" s="865"/>
      <c r="S28" s="1023"/>
      <c r="T28" s="138"/>
      <c r="U28" s="26"/>
      <c r="V28" s="1020"/>
      <c r="W28" s="866"/>
      <c r="X28" s="1020"/>
    </row>
    <row r="29" spans="2:24" x14ac:dyDescent="0.3">
      <c r="B29" s="41" t="s">
        <v>103</v>
      </c>
      <c r="C29" s="59">
        <f>37.07*'Energy Inputs'!D8</f>
        <v>41.889099999999999</v>
      </c>
      <c r="D29" s="61">
        <f>25.65*'Energy Inputs'!D8</f>
        <v>28.984499999999997</v>
      </c>
      <c r="E29" s="138"/>
      <c r="F29" s="26"/>
      <c r="G29" s="1020"/>
      <c r="H29" s="26"/>
      <c r="I29" s="1023"/>
      <c r="J29" s="138"/>
      <c r="K29" s="26"/>
      <c r="L29" s="1020"/>
      <c r="M29" s="26"/>
      <c r="N29" s="1023"/>
      <c r="O29" s="138"/>
      <c r="P29" s="26"/>
      <c r="Q29" s="1020"/>
      <c r="R29" s="865"/>
      <c r="S29" s="1023"/>
      <c r="T29" s="138"/>
      <c r="U29" s="26"/>
      <c r="V29" s="1020"/>
      <c r="W29" s="866"/>
      <c r="X29" s="1020"/>
    </row>
    <row r="30" spans="2:24" x14ac:dyDescent="0.3">
      <c r="B30" s="41" t="s">
        <v>106</v>
      </c>
      <c r="C30" s="59">
        <f>67.26*'Energy Inputs'!D8</f>
        <v>76.003799999999998</v>
      </c>
      <c r="D30" s="61">
        <f>52.91*'Energy Inputs'!D8</f>
        <v>59.788299999999992</v>
      </c>
      <c r="E30" s="138"/>
      <c r="F30" s="26"/>
      <c r="G30" s="1020"/>
      <c r="H30" s="26"/>
      <c r="I30" s="1023"/>
      <c r="J30" s="138"/>
      <c r="K30" s="26"/>
      <c r="L30" s="1020"/>
      <c r="M30" s="26"/>
      <c r="N30" s="1023"/>
      <c r="O30" s="138"/>
      <c r="P30" s="26"/>
      <c r="Q30" s="1020"/>
      <c r="R30" s="865"/>
      <c r="S30" s="1023"/>
      <c r="T30" s="138"/>
      <c r="U30" s="26"/>
      <c r="V30" s="1020"/>
      <c r="W30" s="866"/>
      <c r="X30" s="1020"/>
    </row>
    <row r="31" spans="2:24" x14ac:dyDescent="0.3">
      <c r="B31" s="41" t="s">
        <v>105</v>
      </c>
      <c r="C31" s="59">
        <f>37.07*'Energy Inputs'!D8</f>
        <v>41.889099999999999</v>
      </c>
      <c r="D31" s="61">
        <f>37.32*'Energy Inputs'!D8</f>
        <v>42.171599999999998</v>
      </c>
      <c r="E31" s="138"/>
      <c r="F31" s="26"/>
      <c r="G31" s="1020"/>
      <c r="H31" s="864"/>
      <c r="I31" s="1023"/>
      <c r="J31" s="138"/>
      <c r="K31" s="26"/>
      <c r="L31" s="1020"/>
      <c r="M31" s="864"/>
      <c r="N31" s="1023"/>
      <c r="O31" s="138"/>
      <c r="P31" s="26"/>
      <c r="Q31" s="1020"/>
      <c r="R31" s="864"/>
      <c r="S31" s="1023"/>
      <c r="T31" s="138"/>
      <c r="U31" s="26"/>
      <c r="V31" s="1020"/>
      <c r="W31" s="866"/>
      <c r="X31" s="1020"/>
    </row>
    <row r="32" spans="2:24" x14ac:dyDescent="0.3">
      <c r="B32" s="41" t="s">
        <v>104</v>
      </c>
      <c r="C32" s="59">
        <f>29.9*'Energy Inputs'!D8</f>
        <v>33.786999999999992</v>
      </c>
      <c r="D32" s="61">
        <f>16.68*'Energy Inputs'!D8</f>
        <v>18.848399999999998</v>
      </c>
      <c r="E32" s="138"/>
      <c r="F32" s="39"/>
      <c r="G32" s="1020"/>
      <c r="H32" s="39"/>
      <c r="I32" s="1023"/>
      <c r="J32" s="138"/>
      <c r="K32" s="98"/>
      <c r="L32" s="1020"/>
      <c r="M32" s="26"/>
      <c r="N32" s="1023"/>
      <c r="O32" s="138"/>
      <c r="P32" s="26"/>
      <c r="Q32" s="1020"/>
      <c r="R32" s="865"/>
      <c r="S32" s="1023"/>
      <c r="T32" s="138"/>
      <c r="U32" s="26"/>
      <c r="V32" s="1020"/>
      <c r="W32" s="866"/>
      <c r="X32" s="1020"/>
    </row>
    <row r="33" spans="2:24" x14ac:dyDescent="0.3">
      <c r="B33" s="41" t="s">
        <v>127</v>
      </c>
      <c r="C33" s="59">
        <f>21.42*'Energy Inputs'!D8</f>
        <v>24.204599999999999</v>
      </c>
      <c r="D33" s="61">
        <f>8.89*'Energy Inputs'!D8</f>
        <v>10.0457</v>
      </c>
      <c r="E33" s="138">
        <v>2</v>
      </c>
      <c r="F33" s="26">
        <v>1</v>
      </c>
      <c r="G33" s="1020">
        <f>IF(F33&gt;=1,CHOOSE(E33,$C33,$D33)*F33)</f>
        <v>10.0457</v>
      </c>
      <c r="H33" s="1024">
        <f>AVERAGE(1.1,1.2)</f>
        <v>1.1499999999999999</v>
      </c>
      <c r="I33" s="1023">
        <f>H33*$C$4</f>
        <v>16.674999999999997</v>
      </c>
      <c r="J33" s="138">
        <v>2</v>
      </c>
      <c r="K33" s="26">
        <v>1</v>
      </c>
      <c r="L33" s="1020">
        <f>IF(K33&gt;=1,CHOOSE(J33,$C33,$D33)*K33)</f>
        <v>10.0457</v>
      </c>
      <c r="M33" s="1024">
        <f>AVERAGE(1.1,1.2)</f>
        <v>1.1499999999999999</v>
      </c>
      <c r="N33" s="1023">
        <f>M33*$C$4</f>
        <v>16.674999999999997</v>
      </c>
      <c r="O33" s="138">
        <v>2</v>
      </c>
      <c r="P33" s="26">
        <v>1</v>
      </c>
      <c r="Q33" s="1020">
        <f>IF(P33&gt;=1,CHOOSE(O33,$C33,$D33)*P33)</f>
        <v>10.0457</v>
      </c>
      <c r="R33" s="865">
        <v>1.1000000000000001</v>
      </c>
      <c r="S33" s="1023">
        <f>R33*$C$4</f>
        <v>15.950000000000001</v>
      </c>
      <c r="T33" s="138">
        <v>2</v>
      </c>
      <c r="U33" s="26">
        <v>1</v>
      </c>
      <c r="V33" s="1020">
        <f>IF(U33&gt;=1,CHOOSE(T33,$C33,$D33)*U33)</f>
        <v>10.0457</v>
      </c>
      <c r="W33" s="866">
        <v>1.1000000000000001</v>
      </c>
      <c r="X33" s="1020">
        <f>W33*$C$4</f>
        <v>15.950000000000001</v>
      </c>
    </row>
    <row r="34" spans="2:24" x14ac:dyDescent="0.3">
      <c r="B34" s="41" t="s">
        <v>51</v>
      </c>
      <c r="C34" s="59">
        <f>276.75*'Energy Inputs'!D8</f>
        <v>312.72749999999996</v>
      </c>
      <c r="D34" s="131">
        <f>217.01*'Energy Inputs'!D8</f>
        <v>245.22129999999996</v>
      </c>
      <c r="E34" s="138"/>
      <c r="F34" s="26"/>
      <c r="G34" s="54"/>
      <c r="H34" s="26"/>
      <c r="I34" s="26"/>
      <c r="J34" s="138"/>
      <c r="K34" s="26"/>
      <c r="L34" s="54"/>
      <c r="M34" s="26"/>
      <c r="N34" s="1023"/>
      <c r="O34" s="138"/>
      <c r="P34" s="26"/>
      <c r="Q34" s="54"/>
      <c r="R34" s="26"/>
      <c r="S34" s="1023"/>
      <c r="T34" s="138"/>
      <c r="U34" s="26"/>
      <c r="V34" s="54"/>
      <c r="W34" s="53"/>
      <c r="X34" s="1020"/>
    </row>
    <row r="35" spans="2:24" x14ac:dyDescent="0.3">
      <c r="B35" s="41" t="s">
        <v>52</v>
      </c>
      <c r="C35" s="60">
        <f>85.25*'Energy Inputs'!D8</f>
        <v>96.332499999999996</v>
      </c>
      <c r="D35" s="131">
        <f>56.5*'Energy Inputs'!D8</f>
        <v>63.844999999999992</v>
      </c>
      <c r="E35" s="138"/>
      <c r="F35" s="26"/>
      <c r="G35" s="54"/>
      <c r="H35" s="26"/>
      <c r="I35" s="26"/>
      <c r="J35" s="138"/>
      <c r="K35" s="26"/>
      <c r="L35" s="54"/>
      <c r="M35" s="26"/>
      <c r="N35" s="1023"/>
      <c r="O35" s="138"/>
      <c r="P35" s="26"/>
      <c r="Q35" s="54"/>
      <c r="R35" s="26"/>
      <c r="S35" s="1023"/>
      <c r="T35" s="138"/>
      <c r="U35" s="26"/>
      <c r="V35" s="54"/>
      <c r="W35" s="53"/>
      <c r="X35" s="1020"/>
    </row>
    <row r="36" spans="2:24" x14ac:dyDescent="0.3">
      <c r="B36" s="42" t="s">
        <v>44</v>
      </c>
      <c r="C36" s="365"/>
      <c r="D36" s="365"/>
      <c r="E36" s="136"/>
      <c r="F36" s="51" t="s">
        <v>9</v>
      </c>
      <c r="G36" s="1027">
        <v>130</v>
      </c>
      <c r="H36" s="1025">
        <f>SUM(H15:H35)</f>
        <v>4.9499999999999993</v>
      </c>
      <c r="I36" s="823">
        <f>SUM(I15:I35)</f>
        <v>71.774999999999991</v>
      </c>
      <c r="J36" s="145"/>
      <c r="K36" s="51"/>
      <c r="L36" s="844">
        <f>180*'Arable Inputs'!D8</f>
        <v>203.39999999999998</v>
      </c>
      <c r="M36" s="1025">
        <f>SUM(M15:M35)</f>
        <v>4.9499999999999993</v>
      </c>
      <c r="N36" s="823">
        <f>SUM(N15:N35)</f>
        <v>71.774999999999991</v>
      </c>
      <c r="O36" s="145"/>
      <c r="P36" s="51"/>
      <c r="Q36" s="859">
        <f>L36</f>
        <v>203.39999999999998</v>
      </c>
      <c r="R36" s="1025">
        <f>SUM(R15:R35)</f>
        <v>6</v>
      </c>
      <c r="S36" s="823">
        <f>SUM(S15:S35)</f>
        <v>87</v>
      </c>
      <c r="T36" s="145"/>
      <c r="U36" s="51"/>
      <c r="V36" s="859">
        <f>L36</f>
        <v>203.39999999999998</v>
      </c>
      <c r="W36" s="1025">
        <f>SUM(W15:W35)</f>
        <v>6</v>
      </c>
      <c r="X36" s="1026">
        <f>SUM(X15:X35)</f>
        <v>87</v>
      </c>
    </row>
    <row r="37" spans="2:24" x14ac:dyDescent="0.3">
      <c r="B37" s="42"/>
      <c r="C37" s="365"/>
      <c r="D37" s="365"/>
      <c r="E37" s="365"/>
      <c r="F37" s="51"/>
      <c r="G37" s="823"/>
      <c r="H37" s="51"/>
      <c r="I37" s="67"/>
      <c r="J37" s="824"/>
      <c r="K37" s="51"/>
      <c r="L37" s="823"/>
      <c r="M37" s="51"/>
      <c r="N37" s="67"/>
      <c r="O37" s="824"/>
      <c r="P37" s="51"/>
      <c r="Q37" s="823"/>
      <c r="R37" s="51"/>
      <c r="S37" s="67"/>
      <c r="T37" s="824"/>
      <c r="U37" s="51"/>
      <c r="V37" s="823"/>
      <c r="W37" s="51"/>
      <c r="X37" s="66"/>
    </row>
    <row r="38" spans="2:24" s="39" customFormat="1" x14ac:dyDescent="0.3">
      <c r="B38" s="431" t="s">
        <v>182</v>
      </c>
      <c r="C38" s="805"/>
      <c r="D38" s="805"/>
      <c r="E38" s="805"/>
      <c r="F38" s="430"/>
      <c r="G38" s="430"/>
      <c r="H38" s="430"/>
      <c r="I38" s="430"/>
      <c r="J38" s="430"/>
      <c r="K38" s="430"/>
      <c r="L38" s="430"/>
      <c r="M38" s="430"/>
      <c r="N38" s="430"/>
      <c r="O38" s="430"/>
      <c r="P38" s="430"/>
      <c r="Q38" s="430"/>
      <c r="R38" s="430"/>
      <c r="S38" s="430"/>
      <c r="T38" s="430"/>
      <c r="U38" s="430"/>
      <c r="V38" s="430"/>
      <c r="W38" s="430"/>
      <c r="X38" s="432"/>
    </row>
    <row r="39" spans="2:24" x14ac:dyDescent="0.3">
      <c r="B39" s="16" t="s">
        <v>107</v>
      </c>
      <c r="C39" s="457">
        <f>67.78*'Arable Inputs'!$D$8</f>
        <v>76.591399999999993</v>
      </c>
      <c r="D39" s="458">
        <f>57.48*'Arable Inputs'!$D$8</f>
        <v>64.952399999999997</v>
      </c>
      <c r="E39" s="490"/>
      <c r="F39" s="434"/>
      <c r="G39" s="460"/>
      <c r="H39" s="434"/>
      <c r="I39" s="434"/>
      <c r="J39" s="459"/>
      <c r="K39" s="434"/>
      <c r="L39" s="460"/>
      <c r="M39" s="434"/>
      <c r="N39" s="434"/>
      <c r="O39" s="459"/>
      <c r="P39" s="434"/>
      <c r="Q39" s="460"/>
      <c r="R39" s="434"/>
      <c r="S39" s="434"/>
      <c r="T39" s="459"/>
      <c r="U39" s="434"/>
      <c r="V39" s="460"/>
      <c r="W39" s="434"/>
      <c r="X39" s="460"/>
    </row>
    <row r="40" spans="2:24" x14ac:dyDescent="0.3">
      <c r="B40" s="16" t="s">
        <v>108</v>
      </c>
      <c r="C40" s="457">
        <f>50.14*'Arable Inputs'!$D$8</f>
        <v>56.658199999999994</v>
      </c>
      <c r="D40" s="458">
        <f>27.04*'Arable Inputs'!$D$8</f>
        <v>30.555199999999996</v>
      </c>
      <c r="E40" s="459"/>
      <c r="F40" s="434"/>
      <c r="G40" s="54"/>
      <c r="H40" s="813"/>
      <c r="I40" s="423"/>
      <c r="J40" s="459"/>
      <c r="K40" s="434"/>
      <c r="L40" s="54"/>
      <c r="M40" s="813"/>
      <c r="N40" s="423"/>
      <c r="O40" s="459"/>
      <c r="P40" s="434"/>
      <c r="Q40" s="460"/>
      <c r="R40" s="434"/>
      <c r="S40" s="434"/>
      <c r="T40" s="459"/>
      <c r="U40" s="434"/>
      <c r="V40" s="460"/>
      <c r="W40" s="461"/>
      <c r="X40" s="460"/>
    </row>
    <row r="41" spans="2:24" x14ac:dyDescent="0.3">
      <c r="B41" s="16" t="s">
        <v>109</v>
      </c>
      <c r="C41" s="457">
        <f>61.78*'Arable Inputs'!$D$8</f>
        <v>69.811399999999992</v>
      </c>
      <c r="D41" s="458">
        <f>58.52*'Arable Inputs'!$D$8</f>
        <v>66.127600000000001</v>
      </c>
      <c r="E41" s="483"/>
      <c r="F41" s="434"/>
      <c r="G41" s="460"/>
      <c r="H41" s="434"/>
      <c r="I41" s="434"/>
      <c r="J41" s="459"/>
      <c r="K41" s="434"/>
      <c r="L41" s="460"/>
      <c r="M41" s="434"/>
      <c r="N41" s="434"/>
      <c r="O41" s="459"/>
      <c r="P41" s="434"/>
      <c r="Q41" s="460"/>
      <c r="R41" s="434"/>
      <c r="S41" s="434"/>
      <c r="T41" s="459"/>
      <c r="U41" s="434"/>
      <c r="V41" s="460"/>
      <c r="W41" s="461"/>
      <c r="X41" s="460"/>
    </row>
    <row r="42" spans="2:24" x14ac:dyDescent="0.3">
      <c r="B42" s="16" t="s">
        <v>110</v>
      </c>
      <c r="C42" s="457">
        <f>51.89*'Arable Inputs'!$D$8</f>
        <v>58.635699999999993</v>
      </c>
      <c r="D42" s="458">
        <f>50.58*'Arable Inputs'!$D$8</f>
        <v>57.155399999999993</v>
      </c>
      <c r="E42" s="483"/>
      <c r="F42" s="434"/>
      <c r="G42" s="460"/>
      <c r="H42" s="434"/>
      <c r="I42" s="434"/>
      <c r="J42" s="459"/>
      <c r="K42" s="434"/>
      <c r="L42" s="460"/>
      <c r="M42" s="434"/>
      <c r="N42" s="434"/>
      <c r="O42" s="459"/>
      <c r="P42" s="434"/>
      <c r="Q42" s="460"/>
      <c r="R42" s="434"/>
      <c r="S42" s="434"/>
      <c r="T42" s="459"/>
      <c r="U42" s="434"/>
      <c r="V42" s="460"/>
      <c r="W42" s="461"/>
      <c r="X42" s="460"/>
    </row>
    <row r="43" spans="2:24" x14ac:dyDescent="0.3">
      <c r="B43" s="16" t="s">
        <v>111</v>
      </c>
      <c r="C43" s="457">
        <f>58.71*'Arable Inputs'!$D$8</f>
        <v>66.342299999999994</v>
      </c>
      <c r="D43" s="458">
        <f>61.14*'Arable Inputs'!$D$8</f>
        <v>69.088200000000001</v>
      </c>
      <c r="E43" s="483"/>
      <c r="F43" s="434"/>
      <c r="G43" s="460"/>
      <c r="H43" s="434"/>
      <c r="I43" s="434"/>
      <c r="J43" s="459"/>
      <c r="K43" s="434"/>
      <c r="L43" s="460"/>
      <c r="M43" s="434"/>
      <c r="N43" s="434"/>
      <c r="O43" s="459"/>
      <c r="P43" s="434"/>
      <c r="Q43" s="460"/>
      <c r="R43" s="434"/>
      <c r="S43" s="434"/>
      <c r="T43" s="459"/>
      <c r="U43" s="434"/>
      <c r="V43" s="460"/>
      <c r="W43" s="461"/>
      <c r="X43" s="460"/>
    </row>
    <row r="44" spans="2:24" x14ac:dyDescent="0.3">
      <c r="B44" s="16" t="s">
        <v>50</v>
      </c>
      <c r="C44" s="457">
        <f>51.97*'Arable Inputs'!$D$8</f>
        <v>58.726099999999995</v>
      </c>
      <c r="D44" s="458">
        <f>57.16*'Arable Inputs'!$D$8</f>
        <v>64.590799999999987</v>
      </c>
      <c r="E44" s="483"/>
      <c r="F44" s="434"/>
      <c r="G44" s="460"/>
      <c r="H44" s="434"/>
      <c r="I44" s="434"/>
      <c r="J44" s="459"/>
      <c r="K44" s="434"/>
      <c r="L44" s="460"/>
      <c r="M44" s="434"/>
      <c r="N44" s="434"/>
      <c r="O44" s="459"/>
      <c r="P44" s="434"/>
      <c r="Q44" s="54"/>
      <c r="R44" s="813"/>
      <c r="S44" s="423"/>
      <c r="T44" s="459"/>
      <c r="U44" s="434"/>
      <c r="V44" s="460"/>
      <c r="W44" s="461"/>
      <c r="X44" s="460"/>
    </row>
    <row r="45" spans="2:24" x14ac:dyDescent="0.3">
      <c r="B45" s="16" t="s">
        <v>112</v>
      </c>
      <c r="C45" s="457">
        <f>78.26*'Arable Inputs'!$D$8</f>
        <v>88.433799999999991</v>
      </c>
      <c r="D45" s="458" t="s">
        <v>115</v>
      </c>
      <c r="E45" s="483"/>
      <c r="F45" s="434"/>
      <c r="G45" s="460"/>
      <c r="H45" s="434"/>
      <c r="I45" s="434"/>
      <c r="J45" s="459"/>
      <c r="K45" s="434"/>
      <c r="L45" s="460"/>
      <c r="M45" s="434"/>
      <c r="N45" s="434"/>
      <c r="O45" s="459"/>
      <c r="P45" s="434"/>
      <c r="Q45" s="460"/>
      <c r="R45" s="434"/>
      <c r="S45" s="434"/>
      <c r="T45" s="459"/>
      <c r="U45" s="434"/>
      <c r="V45" s="460"/>
      <c r="W45" s="461"/>
      <c r="X45" s="460"/>
    </row>
    <row r="46" spans="2:24" x14ac:dyDescent="0.3">
      <c r="B46" s="16" t="s">
        <v>48</v>
      </c>
      <c r="C46" s="457">
        <f>29.31*'Arable Inputs'!$D$8</f>
        <v>33.120299999999993</v>
      </c>
      <c r="D46" s="458">
        <f>20*'Arable Inputs'!$D$8</f>
        <v>22.599999999999998</v>
      </c>
      <c r="E46" s="483"/>
      <c r="F46" s="434"/>
      <c r="G46" s="460"/>
      <c r="H46" s="434"/>
      <c r="I46" s="434"/>
      <c r="J46" s="459"/>
      <c r="K46" s="434"/>
      <c r="L46" s="460"/>
      <c r="M46" s="434"/>
      <c r="N46" s="434"/>
      <c r="O46" s="459"/>
      <c r="P46" s="434"/>
      <c r="Q46" s="460"/>
      <c r="R46" s="434"/>
      <c r="S46" s="434"/>
      <c r="T46" s="459"/>
      <c r="U46" s="434"/>
      <c r="V46" s="460"/>
      <c r="W46" s="461"/>
      <c r="X46" s="460"/>
    </row>
    <row r="47" spans="2:24" x14ac:dyDescent="0.3">
      <c r="B47" s="16" t="s">
        <v>113</v>
      </c>
      <c r="C47" s="457">
        <f>31.16*'Arable Inputs'!$D$8</f>
        <v>35.210799999999999</v>
      </c>
      <c r="D47" s="458">
        <f>20.54*'Arable Inputs'!$D$8</f>
        <v>23.210199999999997</v>
      </c>
      <c r="E47" s="483"/>
      <c r="F47" s="434"/>
      <c r="G47" s="460"/>
      <c r="H47" s="434"/>
      <c r="I47" s="434"/>
      <c r="J47" s="459"/>
      <c r="K47" s="434"/>
      <c r="L47" s="460"/>
      <c r="M47" s="434"/>
      <c r="N47" s="434"/>
      <c r="O47" s="459"/>
      <c r="P47" s="434"/>
      <c r="Q47" s="460"/>
      <c r="R47" s="434"/>
      <c r="S47" s="434"/>
      <c r="T47" s="459"/>
      <c r="U47" s="434"/>
      <c r="V47" s="460"/>
      <c r="W47" s="461"/>
      <c r="X47" s="460"/>
    </row>
    <row r="48" spans="2:24" x14ac:dyDescent="0.3">
      <c r="B48" s="16" t="s">
        <v>114</v>
      </c>
      <c r="C48" s="457">
        <f>74.13*'Arable Inputs'!$D$8</f>
        <v>83.766899999999993</v>
      </c>
      <c r="D48" s="458" t="s">
        <v>115</v>
      </c>
      <c r="E48" s="483"/>
      <c r="F48" s="434"/>
      <c r="G48" s="460"/>
      <c r="H48" s="434"/>
      <c r="I48" s="434"/>
      <c r="J48" s="459"/>
      <c r="K48" s="434"/>
      <c r="L48" s="460"/>
      <c r="M48" s="434"/>
      <c r="N48" s="434"/>
      <c r="O48" s="459"/>
      <c r="P48" s="434"/>
      <c r="Q48" s="460"/>
      <c r="R48" s="434"/>
      <c r="S48" s="434"/>
      <c r="T48" s="459"/>
      <c r="U48" s="434"/>
      <c r="V48" s="460"/>
      <c r="W48" s="461"/>
      <c r="X48" s="460"/>
    </row>
    <row r="49" spans="2:24" x14ac:dyDescent="0.3">
      <c r="B49" s="16" t="s">
        <v>116</v>
      </c>
      <c r="C49" s="457">
        <f>23.3*'Arable Inputs'!$D$8</f>
        <v>26.328999999999997</v>
      </c>
      <c r="D49" s="458">
        <f>14.67*'Arable Inputs'!$D$8</f>
        <v>16.577099999999998</v>
      </c>
      <c r="E49" s="483"/>
      <c r="F49" s="434"/>
      <c r="G49" s="460"/>
      <c r="H49" s="434"/>
      <c r="I49" s="434"/>
      <c r="J49" s="459"/>
      <c r="K49" s="434"/>
      <c r="L49" s="460"/>
      <c r="M49" s="434"/>
      <c r="N49" s="434"/>
      <c r="O49" s="459"/>
      <c r="P49" s="434"/>
      <c r="Q49" s="460"/>
      <c r="R49" s="434"/>
      <c r="S49" s="434"/>
      <c r="T49" s="459"/>
      <c r="U49" s="434"/>
      <c r="V49" s="460"/>
      <c r="W49" s="461"/>
      <c r="X49" s="460"/>
    </row>
    <row r="50" spans="2:24" x14ac:dyDescent="0.3">
      <c r="B50" s="16" t="s">
        <v>49</v>
      </c>
      <c r="C50" s="457">
        <f>46.55*'Arable Inputs'!$D$8</f>
        <v>52.601499999999994</v>
      </c>
      <c r="D50" s="458" t="s">
        <v>115</v>
      </c>
      <c r="E50" s="483"/>
      <c r="F50" s="434"/>
      <c r="G50" s="460"/>
      <c r="H50" s="434"/>
      <c r="I50" s="434"/>
      <c r="J50" s="459"/>
      <c r="K50" s="434"/>
      <c r="L50" s="460"/>
      <c r="M50" s="434"/>
      <c r="N50" s="434"/>
      <c r="O50" s="459"/>
      <c r="P50" s="434"/>
      <c r="Q50" s="460"/>
      <c r="R50" s="434"/>
      <c r="S50" s="434"/>
      <c r="T50" s="459"/>
      <c r="U50" s="434"/>
      <c r="V50" s="54"/>
      <c r="W50" s="867">
        <v>1.6</v>
      </c>
      <c r="X50" s="463">
        <f>W50*$C$4</f>
        <v>23.200000000000003</v>
      </c>
    </row>
    <row r="51" spans="2:24" x14ac:dyDescent="0.3">
      <c r="B51" s="16" t="s">
        <v>117</v>
      </c>
      <c r="C51" s="457">
        <f>123.87*'Arable Inputs'!$D$8</f>
        <v>139.97309999999999</v>
      </c>
      <c r="D51" s="458" t="s">
        <v>115</v>
      </c>
      <c r="E51" s="483"/>
      <c r="F51" s="491"/>
      <c r="G51" s="492"/>
      <c r="H51" s="493"/>
      <c r="I51" s="493"/>
      <c r="J51" s="494"/>
      <c r="K51" s="491"/>
      <c r="L51" s="492"/>
      <c r="M51" s="493"/>
      <c r="N51" s="493"/>
      <c r="O51" s="494"/>
      <c r="P51" s="491"/>
      <c r="Q51" s="492"/>
      <c r="R51" s="495"/>
      <c r="S51" s="491"/>
      <c r="T51" s="459"/>
      <c r="U51" s="434"/>
      <c r="V51" s="54"/>
      <c r="W51" s="814"/>
      <c r="X51" s="463"/>
    </row>
    <row r="52" spans="2:24" x14ac:dyDescent="0.3">
      <c r="B52" s="16" t="s">
        <v>53</v>
      </c>
      <c r="C52" s="457">
        <f>187.8*'Arable Inputs'!$D$8</f>
        <v>212.214</v>
      </c>
      <c r="D52" s="458">
        <f>126.29*'Arable Inputs'!$D$8</f>
        <v>142.70769999999999</v>
      </c>
      <c r="E52" s="483"/>
      <c r="F52" s="434"/>
      <c r="G52" s="460"/>
      <c r="H52" s="860">
        <v>1</v>
      </c>
      <c r="I52" s="423">
        <f>H52*$C$4</f>
        <v>14.5</v>
      </c>
      <c r="J52" s="459"/>
      <c r="K52" s="434"/>
      <c r="L52" s="460"/>
      <c r="M52" s="860">
        <v>1</v>
      </c>
      <c r="N52" s="423">
        <f>M52*$C$4</f>
        <v>14.5</v>
      </c>
      <c r="O52" s="459">
        <v>2</v>
      </c>
      <c r="P52" s="434">
        <v>1</v>
      </c>
      <c r="Q52" s="1020">
        <f>IF(P52&gt;=1,CHOOSE(O52,$C52,$D52)*P52)</f>
        <v>142.70769999999999</v>
      </c>
      <c r="R52" s="860">
        <v>1.1000000000000001</v>
      </c>
      <c r="S52" s="423">
        <f>R52*$C$4</f>
        <v>15.950000000000001</v>
      </c>
      <c r="T52" s="459"/>
      <c r="U52" s="434"/>
      <c r="V52" s="54"/>
      <c r="W52" s="813"/>
      <c r="X52" s="463"/>
    </row>
    <row r="53" spans="2:24" x14ac:dyDescent="0.3">
      <c r="B53" s="16" t="s">
        <v>203</v>
      </c>
      <c r="C53" s="457">
        <f>42*'Arable Inputs'!$D$8</f>
        <v>47.459999999999994</v>
      </c>
      <c r="D53" s="458">
        <f>35.63*'Arable Inputs'!$D$8</f>
        <v>40.261899999999997</v>
      </c>
      <c r="E53" s="483"/>
      <c r="F53" s="434"/>
      <c r="G53" s="460"/>
      <c r="H53" s="434"/>
      <c r="I53" s="434"/>
      <c r="J53" s="459"/>
      <c r="K53" s="434"/>
      <c r="L53" s="460"/>
      <c r="M53" s="434"/>
      <c r="N53" s="434"/>
      <c r="O53" s="459"/>
      <c r="P53" s="434"/>
      <c r="Q53" s="998"/>
      <c r="R53" s="434"/>
      <c r="S53" s="434"/>
      <c r="T53" s="459"/>
      <c r="U53" s="427"/>
      <c r="V53" s="460"/>
      <c r="W53" s="461"/>
      <c r="X53" s="460"/>
    </row>
    <row r="54" spans="2:24" x14ac:dyDescent="0.3">
      <c r="B54" s="431" t="s">
        <v>54</v>
      </c>
      <c r="C54" s="805"/>
      <c r="D54" s="805"/>
      <c r="E54" s="469"/>
      <c r="F54" s="429"/>
      <c r="G54" s="845">
        <v>300</v>
      </c>
      <c r="H54" s="431">
        <f>SUM(H39:H53)</f>
        <v>1</v>
      </c>
      <c r="I54" s="429">
        <f>SUM(I39:I53)</f>
        <v>14.5</v>
      </c>
      <c r="J54" s="472"/>
      <c r="K54" s="429"/>
      <c r="L54" s="845">
        <v>350</v>
      </c>
      <c r="M54" s="431">
        <f>SUM(M39:M53)</f>
        <v>1</v>
      </c>
      <c r="N54" s="429">
        <f>SUM(N39:N53)</f>
        <v>14.5</v>
      </c>
      <c r="O54" s="472"/>
      <c r="P54" s="429"/>
      <c r="Q54" s="826">
        <f>SUM(Q39:Q53)</f>
        <v>142.70769999999999</v>
      </c>
      <c r="R54" s="431">
        <f>SUM(R39:R53)</f>
        <v>1.1000000000000001</v>
      </c>
      <c r="S54" s="429">
        <f>SUM(S39:S53)</f>
        <v>15.950000000000001</v>
      </c>
      <c r="T54" s="472"/>
      <c r="U54" s="429"/>
      <c r="V54" s="843">
        <f>45*'Arable Inputs'!D8</f>
        <v>50.849999999999994</v>
      </c>
      <c r="W54" s="431">
        <f>SUM(W39:W53)</f>
        <v>1.6</v>
      </c>
      <c r="X54" s="470">
        <f>SUM(X39:X53)</f>
        <v>23.200000000000003</v>
      </c>
    </row>
    <row r="56" spans="2:24" x14ac:dyDescent="0.3">
      <c r="B56" s="431" t="s">
        <v>470</v>
      </c>
      <c r="C56" s="832"/>
      <c r="D56" s="832"/>
      <c r="E56" s="832"/>
      <c r="F56" s="430"/>
      <c r="G56" s="430"/>
      <c r="H56" s="430"/>
      <c r="I56" s="430"/>
      <c r="J56" s="430"/>
      <c r="K56" s="430"/>
      <c r="L56" s="430"/>
      <c r="M56" s="430"/>
      <c r="N56" s="430"/>
      <c r="O56" s="430"/>
      <c r="P56" s="430"/>
      <c r="Q56" s="430"/>
      <c r="R56" s="430"/>
      <c r="S56" s="430"/>
      <c r="T56" s="430"/>
      <c r="U56" s="430"/>
      <c r="V56" s="430"/>
      <c r="W56" s="430"/>
      <c r="X56" s="432"/>
    </row>
    <row r="57" spans="2:24" x14ac:dyDescent="0.3">
      <c r="B57" s="16" t="s">
        <v>471</v>
      </c>
      <c r="C57" s="855"/>
      <c r="D57" s="857"/>
      <c r="E57" s="483"/>
      <c r="F57" s="475"/>
      <c r="G57" s="476"/>
      <c r="H57" s="860">
        <v>0.5</v>
      </c>
      <c r="I57" s="423">
        <f>H57*$C$4</f>
        <v>7.25</v>
      </c>
      <c r="J57" s="459"/>
      <c r="K57" s="475"/>
      <c r="L57" s="476"/>
      <c r="M57" s="860">
        <v>0.5</v>
      </c>
      <c r="N57" s="423">
        <f>M57*$C$4</f>
        <v>7.25</v>
      </c>
      <c r="O57" s="459"/>
      <c r="P57" s="475"/>
      <c r="Q57" s="476"/>
      <c r="R57" s="860">
        <v>0.5</v>
      </c>
      <c r="S57" s="423">
        <f>R57*$C$4</f>
        <v>7.25</v>
      </c>
      <c r="T57" s="459"/>
      <c r="U57" s="475"/>
      <c r="V57" s="476"/>
      <c r="W57" s="860">
        <v>0.5</v>
      </c>
      <c r="X57" s="853">
        <f>W57*$C$4</f>
        <v>7.25</v>
      </c>
    </row>
    <row r="58" spans="2:24" x14ac:dyDescent="0.3">
      <c r="B58" s="431" t="s">
        <v>199</v>
      </c>
      <c r="C58" s="832"/>
      <c r="D58" s="832"/>
      <c r="E58" s="469"/>
      <c r="F58" s="429" t="s">
        <v>9</v>
      </c>
      <c r="G58" s="845">
        <v>50</v>
      </c>
      <c r="H58" s="431">
        <f>SUM(H57:H57)</f>
        <v>0.5</v>
      </c>
      <c r="I58" s="471">
        <f>SUM(I57:I57)</f>
        <v>7.25</v>
      </c>
      <c r="J58" s="472"/>
      <c r="K58" s="429"/>
      <c r="L58" s="842">
        <v>20</v>
      </c>
      <c r="M58" s="431">
        <f>SUM(M57:M57)</f>
        <v>0.5</v>
      </c>
      <c r="N58" s="471">
        <f>SUM(N57:N57)</f>
        <v>7.25</v>
      </c>
      <c r="O58" s="472"/>
      <c r="P58" s="429"/>
      <c r="Q58" s="852">
        <f>L58</f>
        <v>20</v>
      </c>
      <c r="R58" s="431">
        <f>SUM(R57:R57)</f>
        <v>0.5</v>
      </c>
      <c r="S58" s="429">
        <f>SUM(S43:S57)</f>
        <v>39.150000000000006</v>
      </c>
      <c r="T58" s="472"/>
      <c r="U58" s="429"/>
      <c r="V58" s="852">
        <f>L58</f>
        <v>20</v>
      </c>
      <c r="W58" s="431">
        <f>SUM(W57:W57)</f>
        <v>0.5</v>
      </c>
      <c r="X58" s="473">
        <f>SUM(X57:X57)</f>
        <v>7.25</v>
      </c>
    </row>
    <row r="59" spans="2:24" x14ac:dyDescent="0.3">
      <c r="B59" s="431"/>
      <c r="C59" s="832"/>
      <c r="D59" s="832"/>
      <c r="E59" s="832"/>
      <c r="F59" s="429"/>
      <c r="G59" s="429"/>
      <c r="H59" s="429"/>
      <c r="I59" s="429"/>
      <c r="J59" s="840"/>
      <c r="K59" s="429"/>
      <c r="L59" s="429"/>
      <c r="M59" s="429"/>
      <c r="N59" s="429"/>
      <c r="O59" s="840"/>
      <c r="P59" s="429"/>
      <c r="Q59" s="839"/>
      <c r="R59" s="429"/>
      <c r="S59" s="471"/>
      <c r="T59" s="840"/>
      <c r="U59" s="429"/>
      <c r="V59" s="839"/>
      <c r="W59" s="429"/>
      <c r="X59" s="473"/>
    </row>
    <row r="60" spans="2:24" x14ac:dyDescent="0.3">
      <c r="B60" s="431" t="s">
        <v>250</v>
      </c>
      <c r="C60" s="805"/>
      <c r="D60" s="805"/>
      <c r="E60" s="805"/>
      <c r="F60" s="430"/>
      <c r="G60" s="430"/>
      <c r="H60" s="43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0"/>
      <c r="X60" s="432"/>
    </row>
    <row r="61" spans="2:24" x14ac:dyDescent="0.3">
      <c r="B61" s="16" t="s">
        <v>191</v>
      </c>
      <c r="C61" s="457">
        <f>40.25*'Arable Inputs'!$D$8</f>
        <v>45.482499999999995</v>
      </c>
      <c r="D61" s="458" t="s">
        <v>115</v>
      </c>
      <c r="E61" s="483"/>
      <c r="F61" s="434"/>
      <c r="G61" s="460"/>
      <c r="H61" s="434"/>
      <c r="I61" s="434"/>
      <c r="J61" s="459"/>
      <c r="K61" s="434"/>
      <c r="L61" s="460"/>
      <c r="M61" s="434"/>
      <c r="N61" s="434"/>
      <c r="O61" s="459">
        <v>1</v>
      </c>
      <c r="P61" s="434">
        <v>3</v>
      </c>
      <c r="Q61" s="1020">
        <f>IF(P61&gt;=1,CHOOSE(O61,$C61,$D61)*P61)</f>
        <v>136.44749999999999</v>
      </c>
      <c r="R61" s="868">
        <f>1.6*P61</f>
        <v>4.8000000000000007</v>
      </c>
      <c r="S61" s="423">
        <f>R61*$C$4</f>
        <v>69.600000000000009</v>
      </c>
      <c r="T61" s="459">
        <v>1</v>
      </c>
      <c r="U61" s="434">
        <v>3</v>
      </c>
      <c r="V61" s="1020">
        <f>IF(U61&gt;=1,CHOOSE(T61,$C61,$D61)*U61)</f>
        <v>136.44749999999999</v>
      </c>
      <c r="W61" s="868">
        <f>1.6*3</f>
        <v>4.8000000000000007</v>
      </c>
      <c r="X61" s="463">
        <f>W61*$C$4</f>
        <v>69.600000000000009</v>
      </c>
    </row>
    <row r="62" spans="2:24" x14ac:dyDescent="0.3">
      <c r="B62" s="431" t="s">
        <v>199</v>
      </c>
      <c r="C62" s="805"/>
      <c r="D62" s="805"/>
      <c r="E62" s="469"/>
      <c r="F62" s="429" t="s">
        <v>9</v>
      </c>
      <c r="G62" s="470"/>
      <c r="H62" s="429"/>
      <c r="I62" s="429"/>
      <c r="J62" s="472"/>
      <c r="K62" s="429"/>
      <c r="L62" s="470"/>
      <c r="M62" s="429"/>
      <c r="N62" s="429"/>
      <c r="O62" s="472"/>
      <c r="P62" s="429"/>
      <c r="Q62" s="826">
        <f>SUM(Q61:Q61)</f>
        <v>136.44749999999999</v>
      </c>
      <c r="R62" s="431">
        <f>SUM(R61:R61)</f>
        <v>4.8000000000000007</v>
      </c>
      <c r="S62" s="471">
        <f>SUM(S61:S61)</f>
        <v>69.600000000000009</v>
      </c>
      <c r="T62" s="472"/>
      <c r="U62" s="429"/>
      <c r="V62" s="826">
        <f>SUM(V61:V61)</f>
        <v>136.44749999999999</v>
      </c>
      <c r="W62" s="431">
        <f>SUM(W61:W61)</f>
        <v>4.8000000000000007</v>
      </c>
      <c r="X62" s="473">
        <f>SUM(X61:X61)</f>
        <v>69.600000000000009</v>
      </c>
    </row>
    <row r="64" spans="2:24" x14ac:dyDescent="0.3">
      <c r="B64" s="431" t="s">
        <v>32</v>
      </c>
      <c r="C64" s="805"/>
      <c r="D64" s="805"/>
      <c r="E64" s="805"/>
      <c r="F64" s="430"/>
      <c r="G64" s="430"/>
      <c r="H64" s="430"/>
      <c r="I64" s="430"/>
      <c r="J64" s="430"/>
      <c r="K64" s="430"/>
      <c r="L64" s="430"/>
      <c r="M64" s="430"/>
      <c r="N64" s="430"/>
      <c r="O64" s="430"/>
      <c r="P64" s="430"/>
      <c r="Q64" s="430"/>
      <c r="R64" s="430"/>
      <c r="S64" s="430"/>
      <c r="T64" s="430"/>
      <c r="U64" s="430"/>
      <c r="V64" s="430"/>
      <c r="W64" s="430"/>
      <c r="X64" s="432"/>
    </row>
    <row r="65" spans="2:24" x14ac:dyDescent="0.3">
      <c r="B65" s="16" t="s">
        <v>57</v>
      </c>
      <c r="C65" s="457">
        <f>12.63*'Arable Inputs'!$D$8</f>
        <v>14.271899999999999</v>
      </c>
      <c r="D65" s="496">
        <f>10.08*'Arable Inputs'!$D$8</f>
        <v>11.3904</v>
      </c>
      <c r="E65" s="459">
        <v>2</v>
      </c>
      <c r="F65" s="605">
        <v>4</v>
      </c>
      <c r="G65" s="998">
        <f>IF(F65&gt;=1,CHOOSE(E65,$C65,$D65)*F65)</f>
        <v>45.561599999999999</v>
      </c>
      <c r="H65" s="869">
        <f>0.3*F65</f>
        <v>1.2</v>
      </c>
      <c r="I65" s="578">
        <f>H65*$C$4</f>
        <v>17.399999999999999</v>
      </c>
      <c r="J65" s="459">
        <v>2</v>
      </c>
      <c r="K65" s="605">
        <v>4</v>
      </c>
      <c r="L65" s="998">
        <f>IF(K65&gt;=1,CHOOSE(J65,$C65,$D65)*K65)</f>
        <v>45.561599999999999</v>
      </c>
      <c r="M65" s="869">
        <f>0.3*K65</f>
        <v>1.2</v>
      </c>
      <c r="N65" s="578">
        <f>M65*$C$4</f>
        <v>17.399999999999999</v>
      </c>
      <c r="O65" s="459">
        <v>2</v>
      </c>
      <c r="P65" s="605">
        <v>2</v>
      </c>
      <c r="Q65" s="998">
        <f>IF(P65&gt;=1,CHOOSE(O65,$C65,$D65)*P65)</f>
        <v>22.780799999999999</v>
      </c>
      <c r="R65" s="869">
        <f>0.3*P65</f>
        <v>0.6</v>
      </c>
      <c r="S65" s="578">
        <f>R65*$C$4</f>
        <v>8.6999999999999993</v>
      </c>
      <c r="T65" s="459">
        <v>2</v>
      </c>
      <c r="U65" s="605">
        <v>2</v>
      </c>
      <c r="V65" s="998">
        <f>IF(U65&gt;=1,CHOOSE(T65,$C65,$D65)*U65)</f>
        <v>22.780799999999999</v>
      </c>
      <c r="W65" s="869">
        <f>0.3*U65</f>
        <v>0.6</v>
      </c>
      <c r="X65" s="1021">
        <f>W65*$C$4</f>
        <v>8.6999999999999993</v>
      </c>
    </row>
    <row r="66" spans="2:24" x14ac:dyDescent="0.3">
      <c r="B66" s="16" t="s">
        <v>56</v>
      </c>
      <c r="C66" s="457" t="s">
        <v>115</v>
      </c>
      <c r="D66" s="458">
        <f>8.16*'Arable Inputs'!$D$8</f>
        <v>9.2207999999999988</v>
      </c>
      <c r="E66" s="459"/>
      <c r="F66" s="434"/>
      <c r="G66" s="434"/>
      <c r="H66" s="16"/>
      <c r="I66" s="578"/>
      <c r="J66" s="459"/>
      <c r="K66" s="434"/>
      <c r="L66" s="434"/>
      <c r="M66" s="16"/>
      <c r="N66" s="578"/>
      <c r="O66" s="459"/>
      <c r="P66" s="434"/>
      <c r="Q66" s="434"/>
      <c r="R66" s="16"/>
      <c r="S66" s="578"/>
      <c r="T66" s="459"/>
      <c r="U66" s="434"/>
      <c r="V66" s="434"/>
      <c r="W66" s="16"/>
      <c r="X66" s="998"/>
    </row>
    <row r="67" spans="2:24" x14ac:dyDescent="0.3">
      <c r="B67" s="10" t="s">
        <v>55</v>
      </c>
      <c r="C67" s="499">
        <f>(C65+4.32)*'Arable Inputs'!$D$8</f>
        <v>21.008846999999996</v>
      </c>
      <c r="D67" s="458" t="s">
        <v>115</v>
      </c>
      <c r="E67" s="459"/>
      <c r="F67" s="434"/>
      <c r="G67" s="434"/>
      <c r="H67" s="16"/>
      <c r="I67" s="578"/>
      <c r="J67" s="459"/>
      <c r="K67" s="434"/>
      <c r="L67" s="434"/>
      <c r="M67" s="16"/>
      <c r="N67" s="578"/>
      <c r="O67" s="459"/>
      <c r="P67" s="434"/>
      <c r="Q67" s="434"/>
      <c r="R67" s="16"/>
      <c r="S67" s="578"/>
      <c r="T67" s="459"/>
      <c r="U67" s="434"/>
      <c r="V67" s="434"/>
      <c r="W67" s="16"/>
      <c r="X67" s="998"/>
    </row>
    <row r="68" spans="2:24" x14ac:dyDescent="0.3">
      <c r="B68" s="16" t="s">
        <v>132</v>
      </c>
      <c r="C68" s="457">
        <f>12.36*'Arable Inputs'!$D$8</f>
        <v>13.966799999999997</v>
      </c>
      <c r="D68" s="458" t="s">
        <v>115</v>
      </c>
      <c r="E68" s="459"/>
      <c r="F68" s="493"/>
      <c r="G68" s="493"/>
      <c r="H68" s="495"/>
      <c r="I68" s="1013"/>
      <c r="J68" s="494"/>
      <c r="K68" s="493"/>
      <c r="L68" s="493"/>
      <c r="M68" s="495"/>
      <c r="N68" s="1012"/>
      <c r="O68" s="459"/>
      <c r="P68" s="493"/>
      <c r="Q68" s="493"/>
      <c r="R68" s="495"/>
      <c r="S68" s="1013"/>
      <c r="T68" s="459"/>
      <c r="U68" s="493"/>
      <c r="V68" s="493"/>
      <c r="W68" s="495"/>
      <c r="X68" s="1011"/>
    </row>
    <row r="69" spans="2:24" x14ac:dyDescent="0.3">
      <c r="B69" s="16" t="s">
        <v>133</v>
      </c>
      <c r="C69" s="457">
        <f>8.9*'Arable Inputs'!$D$8</f>
        <v>10.056999999999999</v>
      </c>
      <c r="D69" s="458">
        <f>2.89*'Arable Inputs'!$D$8</f>
        <v>3.2656999999999998</v>
      </c>
      <c r="E69" s="459"/>
      <c r="F69" s="493"/>
      <c r="G69" s="493"/>
      <c r="H69" s="495"/>
      <c r="I69" s="1013"/>
      <c r="J69" s="494"/>
      <c r="K69" s="493"/>
      <c r="L69" s="493"/>
      <c r="M69" s="495"/>
      <c r="N69" s="1012"/>
      <c r="O69" s="459"/>
      <c r="P69" s="493"/>
      <c r="Q69" s="493"/>
      <c r="R69" s="495"/>
      <c r="S69" s="1013"/>
      <c r="T69" s="459"/>
      <c r="U69" s="493"/>
      <c r="V69" s="493"/>
      <c r="W69" s="495"/>
      <c r="X69" s="1011"/>
    </row>
    <row r="70" spans="2:24" x14ac:dyDescent="0.3">
      <c r="B70" s="16" t="s">
        <v>58</v>
      </c>
      <c r="C70" s="457">
        <f>25.95*'Arable Inputs'!$D$8</f>
        <v>29.323499999999996</v>
      </c>
      <c r="D70" s="458" t="s">
        <v>115</v>
      </c>
      <c r="E70" s="459"/>
      <c r="F70" s="434"/>
      <c r="G70" s="434"/>
      <c r="H70" s="16"/>
      <c r="I70" s="578"/>
      <c r="J70" s="459"/>
      <c r="K70" s="434"/>
      <c r="L70" s="434"/>
      <c r="M70" s="16"/>
      <c r="N70" s="578"/>
      <c r="O70" s="459"/>
      <c r="P70" s="434"/>
      <c r="Q70" s="434"/>
      <c r="R70" s="16"/>
      <c r="S70" s="578"/>
      <c r="T70" s="459"/>
      <c r="U70" s="434"/>
      <c r="V70" s="434"/>
      <c r="W70" s="16"/>
      <c r="X70" s="998"/>
    </row>
    <row r="71" spans="2:24" x14ac:dyDescent="0.3">
      <c r="B71" s="16" t="s">
        <v>134</v>
      </c>
      <c r="C71" s="457">
        <f>19.77*'Arable Inputs'!$D$8</f>
        <v>22.340099999999996</v>
      </c>
      <c r="D71" s="458" t="s">
        <v>115</v>
      </c>
      <c r="E71" s="459"/>
      <c r="F71" s="434"/>
      <c r="G71" s="460"/>
      <c r="H71" s="827"/>
      <c r="I71" s="578"/>
      <c r="J71" s="459"/>
      <c r="K71" s="427"/>
      <c r="L71" s="460"/>
      <c r="M71" s="827"/>
      <c r="N71" s="578"/>
      <c r="O71" s="459"/>
      <c r="P71" s="434"/>
      <c r="Q71" s="460"/>
      <c r="R71" s="827"/>
      <c r="S71" s="578"/>
      <c r="T71" s="459"/>
      <c r="U71" s="434"/>
      <c r="V71" s="460"/>
      <c r="W71" s="827"/>
      <c r="X71" s="1010"/>
    </row>
    <row r="72" spans="2:24" x14ac:dyDescent="0.3">
      <c r="B72" s="431" t="s">
        <v>59</v>
      </c>
      <c r="C72" s="805"/>
      <c r="D72" s="805"/>
      <c r="E72" s="469"/>
      <c r="F72" s="429" t="s">
        <v>9</v>
      </c>
      <c r="G72" s="826">
        <f>SUM(G65:G71)</f>
        <v>45.561599999999999</v>
      </c>
      <c r="H72" s="808">
        <f>SUM(H65:H71)</f>
        <v>1.2</v>
      </c>
      <c r="I72" s="839">
        <f>SUM(I65:I71)</f>
        <v>17.399999999999999</v>
      </c>
      <c r="J72" s="472"/>
      <c r="K72" s="429"/>
      <c r="L72" s="826">
        <f>SUM(L65:L71)</f>
        <v>45.561599999999999</v>
      </c>
      <c r="M72" s="808">
        <f>SUM(M65:M71)</f>
        <v>1.2</v>
      </c>
      <c r="N72" s="839">
        <f>SUM(N65:N71)</f>
        <v>17.399999999999999</v>
      </c>
      <c r="O72" s="469"/>
      <c r="P72" s="429" t="s">
        <v>9</v>
      </c>
      <c r="Q72" s="826">
        <f>SUM(Q65:Q71)</f>
        <v>22.780799999999999</v>
      </c>
      <c r="R72" s="808">
        <f>SUM(R65:R71)</f>
        <v>0.6</v>
      </c>
      <c r="S72" s="839">
        <f>SUM(S65:S71)</f>
        <v>8.6999999999999993</v>
      </c>
      <c r="T72" s="469"/>
      <c r="U72" s="429" t="s">
        <v>9</v>
      </c>
      <c r="V72" s="826">
        <f>SUM(V65:V71)</f>
        <v>22.780799999999999</v>
      </c>
      <c r="W72" s="808">
        <f>SUM(W65:W71)</f>
        <v>0.6</v>
      </c>
      <c r="X72" s="826">
        <f>SUM(X65:X71)</f>
        <v>8.6999999999999993</v>
      </c>
    </row>
    <row r="74" spans="2:24" x14ac:dyDescent="0.3">
      <c r="B74" s="431" t="s">
        <v>467</v>
      </c>
      <c r="C74" s="832"/>
      <c r="D74" s="832"/>
      <c r="E74" s="832"/>
      <c r="F74" s="430"/>
      <c r="G74" s="430"/>
      <c r="H74" s="430"/>
      <c r="I74" s="430"/>
      <c r="J74" s="430"/>
      <c r="K74" s="430"/>
      <c r="L74" s="430"/>
      <c r="M74" s="430"/>
      <c r="N74" s="430"/>
      <c r="O74" s="430"/>
      <c r="P74" s="430"/>
      <c r="Q74" s="430"/>
      <c r="R74" s="430"/>
      <c r="S74" s="430"/>
      <c r="T74" s="430"/>
      <c r="U74" s="430"/>
      <c r="V74" s="430"/>
      <c r="W74" s="430"/>
      <c r="X74" s="432"/>
    </row>
    <row r="75" spans="2:24" x14ac:dyDescent="0.3">
      <c r="B75" s="16" t="s">
        <v>201</v>
      </c>
      <c r="C75" s="457">
        <f>12.36*'Arable Inputs'!$D$8</f>
        <v>13.966799999999997</v>
      </c>
      <c r="D75" s="458">
        <f>6.69*'Arable Inputs'!$D$8</f>
        <v>7.5596999999999994</v>
      </c>
      <c r="E75" s="459"/>
      <c r="F75" s="475"/>
      <c r="G75" s="476"/>
      <c r="H75" s="434"/>
      <c r="I75" s="434"/>
      <c r="J75" s="459"/>
      <c r="K75" s="475"/>
      <c r="L75" s="476"/>
      <c r="M75" s="434"/>
      <c r="N75" s="434"/>
      <c r="O75" s="459"/>
      <c r="P75" s="475"/>
      <c r="Q75" s="476"/>
      <c r="R75" s="434"/>
      <c r="S75" s="434"/>
      <c r="T75" s="459"/>
      <c r="U75" s="475"/>
      <c r="V75" s="476"/>
      <c r="W75" s="461"/>
      <c r="X75" s="460"/>
    </row>
    <row r="76" spans="2:24" x14ac:dyDescent="0.3">
      <c r="B76" s="16" t="s">
        <v>45</v>
      </c>
      <c r="C76" s="457">
        <f>(C75+3.71)*'Arable Inputs'!$D$8</f>
        <v>19.974783999999993</v>
      </c>
      <c r="D76" s="458" t="s">
        <v>115</v>
      </c>
      <c r="E76" s="459">
        <v>1</v>
      </c>
      <c r="F76" s="434">
        <v>1</v>
      </c>
      <c r="G76" s="998">
        <f>IF(F76&gt;=1,CHOOSE(E76,$C76,$D76)*F76)</f>
        <v>19.974783999999993</v>
      </c>
      <c r="H76" s="860">
        <v>1.2</v>
      </c>
      <c r="I76" s="423">
        <f>H76*$C$4</f>
        <v>17.399999999999999</v>
      </c>
      <c r="J76" s="459">
        <v>1</v>
      </c>
      <c r="K76" s="434">
        <v>1</v>
      </c>
      <c r="L76" s="998">
        <f>IF(K76&gt;=1,CHOOSE(J76,$C76,$D76)*K76)</f>
        <v>19.974783999999993</v>
      </c>
      <c r="M76" s="860">
        <v>1.2</v>
      </c>
      <c r="N76" s="423">
        <f>M76*$C$4</f>
        <v>17.399999999999999</v>
      </c>
      <c r="O76" s="459">
        <v>1</v>
      </c>
      <c r="P76" s="434">
        <v>1</v>
      </c>
      <c r="Q76" s="998">
        <f>IF(P76&gt;=1,CHOOSE(O76,$C76,$D76)*P76)</f>
        <v>19.974783999999993</v>
      </c>
      <c r="R76" s="860">
        <v>1.2</v>
      </c>
      <c r="S76" s="423">
        <f>R76*$C$4</f>
        <v>17.399999999999999</v>
      </c>
      <c r="T76" s="459">
        <v>1</v>
      </c>
      <c r="U76" s="434">
        <v>1</v>
      </c>
      <c r="V76" s="998">
        <f>IF(U76&gt;=1,CHOOSE(T76,$C76,$D76)*U76)</f>
        <v>19.974783999999993</v>
      </c>
      <c r="W76" s="860">
        <v>1.2</v>
      </c>
      <c r="X76" s="463">
        <f>W76*$C$4</f>
        <v>17.399999999999999</v>
      </c>
    </row>
    <row r="77" spans="2:24" x14ac:dyDescent="0.3">
      <c r="B77" s="16" t="s">
        <v>128</v>
      </c>
      <c r="C77" s="457">
        <f>6.1*'Arable Inputs'!$D$8</f>
        <v>6.8929999999999989</v>
      </c>
      <c r="D77" s="458" t="s">
        <v>115</v>
      </c>
      <c r="E77" s="459"/>
      <c r="F77" s="434"/>
      <c r="G77" s="460"/>
      <c r="H77" s="434"/>
      <c r="I77" s="434"/>
      <c r="J77" s="459"/>
      <c r="K77" s="434"/>
      <c r="L77" s="460"/>
      <c r="M77" s="434"/>
      <c r="N77" s="434"/>
      <c r="O77" s="459"/>
      <c r="P77" s="434"/>
      <c r="Q77" s="460"/>
      <c r="R77" s="434"/>
      <c r="S77" s="434"/>
      <c r="T77" s="459"/>
      <c r="U77" s="434"/>
      <c r="V77" s="460"/>
      <c r="W77" s="461"/>
      <c r="X77" s="460"/>
    </row>
    <row r="78" spans="2:24" x14ac:dyDescent="0.3">
      <c r="B78" s="16" t="s">
        <v>46</v>
      </c>
      <c r="C78" s="457">
        <f>14.83*'Arable Inputs'!$D$8</f>
        <v>16.757899999999999</v>
      </c>
      <c r="D78" s="458">
        <f>12.09*'Arable Inputs'!$D$8</f>
        <v>13.661699999999998</v>
      </c>
      <c r="E78" s="459"/>
      <c r="F78" s="434"/>
      <c r="G78" s="460"/>
      <c r="H78" s="434"/>
      <c r="I78" s="434"/>
      <c r="J78" s="459"/>
      <c r="K78" s="434"/>
      <c r="L78" s="460"/>
      <c r="M78" s="434"/>
      <c r="N78" s="434"/>
      <c r="O78" s="459"/>
      <c r="P78" s="434"/>
      <c r="Q78" s="460"/>
      <c r="R78" s="434"/>
      <c r="S78" s="434"/>
      <c r="T78" s="459"/>
      <c r="U78" s="434"/>
      <c r="V78" s="460"/>
      <c r="W78" s="461"/>
      <c r="X78" s="460"/>
    </row>
    <row r="79" spans="2:24" x14ac:dyDescent="0.3">
      <c r="B79" s="16" t="s">
        <v>171</v>
      </c>
      <c r="C79" s="457">
        <f>49.5*'Arable Inputs'!$D$8</f>
        <v>55.934999999999995</v>
      </c>
      <c r="D79" s="458">
        <f>49.64*'Arable Inputs'!$D$8</f>
        <v>56.093199999999996</v>
      </c>
      <c r="E79" s="459"/>
      <c r="F79" s="434"/>
      <c r="G79" s="460"/>
      <c r="H79" s="841"/>
      <c r="I79" s="423"/>
      <c r="J79" s="459"/>
      <c r="K79" s="434"/>
      <c r="L79" s="460"/>
      <c r="M79" s="841"/>
      <c r="N79" s="423"/>
      <c r="O79" s="459"/>
      <c r="P79" s="434"/>
      <c r="Q79" s="460"/>
      <c r="R79" s="841"/>
      <c r="S79" s="423"/>
      <c r="T79" s="459"/>
      <c r="U79" s="434"/>
      <c r="V79" s="460"/>
      <c r="W79" s="814"/>
      <c r="X79" s="463"/>
    </row>
    <row r="80" spans="2:24" x14ac:dyDescent="0.3">
      <c r="B80" s="16" t="s">
        <v>172</v>
      </c>
      <c r="C80" s="457">
        <f>44.5*'Arable Inputs'!$D$8</f>
        <v>50.284999999999997</v>
      </c>
      <c r="D80" s="458" t="s">
        <v>115</v>
      </c>
      <c r="E80" s="459"/>
      <c r="F80" s="434"/>
      <c r="G80" s="460"/>
      <c r="H80" s="434"/>
      <c r="I80" s="434"/>
      <c r="J80" s="459"/>
      <c r="K80" s="434"/>
      <c r="L80" s="460"/>
      <c r="M80" s="434"/>
      <c r="N80" s="434"/>
      <c r="O80" s="459"/>
      <c r="P80" s="434"/>
      <c r="Q80" s="460"/>
      <c r="R80" s="434"/>
      <c r="S80" s="434"/>
      <c r="T80" s="459"/>
      <c r="U80" s="434"/>
      <c r="V80" s="460"/>
      <c r="W80" s="461"/>
      <c r="X80" s="460"/>
    </row>
    <row r="81" spans="2:24" x14ac:dyDescent="0.3">
      <c r="B81" s="16" t="s">
        <v>173</v>
      </c>
      <c r="C81" s="457">
        <f>50*'Arable Inputs'!$D$8</f>
        <v>56.499999999999993</v>
      </c>
      <c r="D81" s="458">
        <f>54.11*'Arable Inputs'!$D$8</f>
        <v>61.144299999999994</v>
      </c>
      <c r="E81" s="459"/>
      <c r="F81" s="434"/>
      <c r="G81" s="460"/>
      <c r="H81" s="434"/>
      <c r="I81" s="434"/>
      <c r="J81" s="459"/>
      <c r="K81" s="434"/>
      <c r="L81" s="460"/>
      <c r="M81" s="434"/>
      <c r="N81" s="434"/>
      <c r="O81" s="459"/>
      <c r="P81" s="434"/>
      <c r="Q81" s="460"/>
      <c r="R81" s="434"/>
      <c r="S81" s="434"/>
      <c r="T81" s="459"/>
      <c r="U81" s="434"/>
      <c r="V81" s="460"/>
      <c r="W81" s="461"/>
      <c r="X81" s="460"/>
    </row>
    <row r="82" spans="2:24" x14ac:dyDescent="0.3">
      <c r="B82" s="16" t="s">
        <v>174</v>
      </c>
      <c r="C82" s="457">
        <f>78.2*'Arable Inputs'!$D$8</f>
        <v>88.366</v>
      </c>
      <c r="D82" s="458" t="s">
        <v>115</v>
      </c>
      <c r="E82" s="459"/>
      <c r="F82" s="434"/>
      <c r="G82" s="460"/>
      <c r="H82" s="434"/>
      <c r="I82" s="434"/>
      <c r="J82" s="459"/>
      <c r="K82" s="434"/>
      <c r="L82" s="460"/>
      <c r="M82" s="434"/>
      <c r="N82" s="434"/>
      <c r="O82" s="459"/>
      <c r="P82" s="434"/>
      <c r="Q82" s="460"/>
      <c r="R82" s="434"/>
      <c r="S82" s="434"/>
      <c r="T82" s="459"/>
      <c r="U82" s="434"/>
      <c r="V82" s="460"/>
      <c r="W82" s="461"/>
      <c r="X82" s="460"/>
    </row>
    <row r="83" spans="2:24" x14ac:dyDescent="0.3">
      <c r="B83" s="16" t="s">
        <v>175</v>
      </c>
      <c r="C83" s="457">
        <f>40*'Arable Inputs'!$D$8</f>
        <v>45.199999999999996</v>
      </c>
      <c r="D83" s="458" t="s">
        <v>115</v>
      </c>
      <c r="E83" s="459"/>
      <c r="F83" s="434"/>
      <c r="G83" s="460"/>
      <c r="H83" s="434"/>
      <c r="I83" s="434"/>
      <c r="J83" s="459"/>
      <c r="K83" s="434"/>
      <c r="L83" s="460"/>
      <c r="M83" s="434"/>
      <c r="N83" s="434"/>
      <c r="O83" s="459"/>
      <c r="P83" s="434"/>
      <c r="Q83" s="460"/>
      <c r="R83" s="434"/>
      <c r="S83" s="434"/>
      <c r="T83" s="459"/>
      <c r="U83" s="434"/>
      <c r="V83" s="460"/>
      <c r="W83" s="461"/>
      <c r="X83" s="460"/>
    </row>
    <row r="84" spans="2:24" x14ac:dyDescent="0.3">
      <c r="B84" s="16" t="s">
        <v>176</v>
      </c>
      <c r="C84" s="467">
        <f>54.83*'Arable Inputs'!$D$8</f>
        <v>61.957899999999995</v>
      </c>
      <c r="D84" s="477" t="s">
        <v>115</v>
      </c>
      <c r="E84" s="478"/>
      <c r="F84" s="427"/>
      <c r="G84" s="479"/>
      <c r="H84" s="434"/>
      <c r="I84" s="434"/>
      <c r="J84" s="459"/>
      <c r="K84" s="427"/>
      <c r="L84" s="479"/>
      <c r="M84" s="434"/>
      <c r="N84" s="434"/>
      <c r="O84" s="459"/>
      <c r="P84" s="427"/>
      <c r="Q84" s="479"/>
      <c r="R84" s="434"/>
      <c r="S84" s="434"/>
      <c r="T84" s="459"/>
      <c r="U84" s="427"/>
      <c r="V84" s="479"/>
      <c r="W84" s="461"/>
      <c r="X84" s="460"/>
    </row>
    <row r="85" spans="2:24" x14ac:dyDescent="0.3">
      <c r="B85" s="431" t="s">
        <v>47</v>
      </c>
      <c r="C85" s="832"/>
      <c r="D85" s="832"/>
      <c r="E85" s="469"/>
      <c r="F85" s="429" t="s">
        <v>9</v>
      </c>
      <c r="G85" s="826">
        <f>SUM(G75:G84)</f>
        <v>19.974783999999993</v>
      </c>
      <c r="H85" s="808">
        <f>SUM(H75:H84)</f>
        <v>1.2</v>
      </c>
      <c r="I85" s="471">
        <f>SUM(I75:I84)</f>
        <v>17.399999999999999</v>
      </c>
      <c r="J85" s="472"/>
      <c r="K85" s="429"/>
      <c r="L85" s="826">
        <f>SUM(L75:L84)</f>
        <v>19.974783999999993</v>
      </c>
      <c r="M85" s="808">
        <f>SUM(M75:M84)</f>
        <v>1.2</v>
      </c>
      <c r="N85" s="471">
        <f>SUM(N75:N84)</f>
        <v>17.399999999999999</v>
      </c>
      <c r="O85" s="472"/>
      <c r="P85" s="429"/>
      <c r="Q85" s="826">
        <f>SUM(Q75:Q84)</f>
        <v>19.974783999999993</v>
      </c>
      <c r="R85" s="808">
        <f>SUM(R75:R84)</f>
        <v>1.2</v>
      </c>
      <c r="S85" s="471">
        <f>SUM(S75:S84)</f>
        <v>17.399999999999999</v>
      </c>
      <c r="T85" s="472"/>
      <c r="U85" s="429"/>
      <c r="V85" s="826">
        <f>SUM(V75:V84)</f>
        <v>19.974783999999993</v>
      </c>
      <c r="W85" s="808">
        <f>SUM(W75:W84)</f>
        <v>1.2</v>
      </c>
      <c r="X85" s="473">
        <f>SUM(X75:X84)</f>
        <v>17.399999999999999</v>
      </c>
    </row>
    <row r="89" spans="2:24" x14ac:dyDescent="0.3">
      <c r="B89" s="431" t="s">
        <v>475</v>
      </c>
      <c r="C89" s="832"/>
      <c r="D89" s="832"/>
      <c r="E89" s="832"/>
      <c r="F89" s="429"/>
      <c r="G89" s="839"/>
      <c r="H89" s="839"/>
      <c r="I89" s="471"/>
      <c r="J89" s="840"/>
      <c r="K89" s="429"/>
      <c r="L89" s="839"/>
      <c r="M89" s="839"/>
      <c r="N89" s="471"/>
      <c r="O89" s="840"/>
      <c r="P89" s="429"/>
      <c r="Q89" s="839"/>
      <c r="R89" s="839"/>
      <c r="S89" s="471"/>
      <c r="T89" s="840"/>
      <c r="U89" s="429"/>
      <c r="V89" s="839"/>
      <c r="W89" s="839"/>
      <c r="X89" s="473"/>
    </row>
    <row r="90" spans="2:24" x14ac:dyDescent="0.3">
      <c r="B90" s="431" t="s">
        <v>466</v>
      </c>
      <c r="C90" s="805"/>
      <c r="D90" s="805"/>
      <c r="E90" s="805"/>
      <c r="F90" s="430"/>
      <c r="G90" s="430"/>
      <c r="H90" s="430"/>
      <c r="I90" s="430"/>
      <c r="J90" s="430"/>
      <c r="K90" s="430"/>
      <c r="L90" s="430"/>
      <c r="M90" s="430"/>
      <c r="N90" s="430"/>
      <c r="O90" s="430"/>
      <c r="P90" s="430"/>
      <c r="Q90" s="430"/>
      <c r="R90" s="430"/>
      <c r="S90" s="430"/>
      <c r="T90" s="430"/>
      <c r="U90" s="430"/>
      <c r="V90" s="430"/>
      <c r="W90" s="430"/>
      <c r="X90" s="432"/>
    </row>
    <row r="91" spans="2:24" x14ac:dyDescent="0.3">
      <c r="B91" s="16" t="s">
        <v>201</v>
      </c>
      <c r="C91" s="457">
        <f>12.36*'Arable Inputs'!$D$8</f>
        <v>13.966799999999997</v>
      </c>
      <c r="D91" s="458">
        <f>6.69*'Arable Inputs'!$D$8</f>
        <v>7.5596999999999994</v>
      </c>
      <c r="E91" s="459"/>
      <c r="F91" s="475"/>
      <c r="G91" s="476"/>
      <c r="H91" s="434"/>
      <c r="I91" s="434"/>
      <c r="J91" s="459"/>
      <c r="K91" s="475"/>
      <c r="L91" s="476"/>
      <c r="M91" s="434"/>
      <c r="N91" s="434"/>
      <c r="O91" s="459"/>
      <c r="P91" s="475"/>
      <c r="Q91" s="476"/>
      <c r="R91" s="434"/>
      <c r="S91" s="434"/>
      <c r="T91" s="459"/>
      <c r="U91" s="475"/>
      <c r="V91" s="476"/>
      <c r="W91" s="461"/>
      <c r="X91" s="460"/>
    </row>
    <row r="92" spans="2:24" x14ac:dyDescent="0.3">
      <c r="B92" s="16" t="s">
        <v>45</v>
      </c>
      <c r="C92" s="457">
        <f>(C91+3.71)*'Arable Inputs'!$D$8</f>
        <v>19.974783999999993</v>
      </c>
      <c r="D92" s="458" t="s">
        <v>115</v>
      </c>
      <c r="E92" s="459">
        <v>1</v>
      </c>
      <c r="F92" s="434">
        <v>1</v>
      </c>
      <c r="G92" s="998">
        <f>IF(F92&gt;=1,CHOOSE(E92,$C92,$D92)*F92)</f>
        <v>19.974783999999993</v>
      </c>
      <c r="H92" s="860">
        <v>0.3</v>
      </c>
      <c r="I92" s="423">
        <f>H92*$C$4</f>
        <v>4.3499999999999996</v>
      </c>
      <c r="J92" s="459">
        <v>1</v>
      </c>
      <c r="K92" s="434">
        <v>1</v>
      </c>
      <c r="L92" s="998">
        <f>IF(K92&gt;=1,CHOOSE(J92,$C92,$D92)*K92)</f>
        <v>19.974783999999993</v>
      </c>
      <c r="M92" s="860">
        <v>0.3</v>
      </c>
      <c r="N92" s="423">
        <f>M92*$C$4</f>
        <v>4.3499999999999996</v>
      </c>
      <c r="O92" s="459">
        <v>1</v>
      </c>
      <c r="P92" s="434">
        <v>1</v>
      </c>
      <c r="Q92" s="998">
        <f>IF(P92&gt;=1,CHOOSE(O92,$C92,$D92)*P92)</f>
        <v>19.974783999999993</v>
      </c>
      <c r="R92" s="860">
        <v>0.3</v>
      </c>
      <c r="S92" s="423">
        <f>R92*$C$4</f>
        <v>4.3499999999999996</v>
      </c>
      <c r="T92" s="459">
        <v>1</v>
      </c>
      <c r="U92" s="434">
        <v>1</v>
      </c>
      <c r="V92" s="998">
        <f>IF(U92&gt;=1,CHOOSE(T92,$C92,$D92)*U92)</f>
        <v>19.974783999999993</v>
      </c>
      <c r="W92" s="860">
        <v>0.3</v>
      </c>
      <c r="X92" s="463">
        <f>W92*$C$4</f>
        <v>4.3499999999999996</v>
      </c>
    </row>
    <row r="93" spans="2:24" x14ac:dyDescent="0.3">
      <c r="B93" s="16" t="s">
        <v>128</v>
      </c>
      <c r="C93" s="457">
        <f>6.1*'Arable Inputs'!$D$8</f>
        <v>6.8929999999999989</v>
      </c>
      <c r="D93" s="458" t="s">
        <v>115</v>
      </c>
      <c r="E93" s="459"/>
      <c r="F93" s="434"/>
      <c r="G93" s="460"/>
      <c r="H93" s="860"/>
      <c r="I93" s="434"/>
      <c r="J93" s="459"/>
      <c r="K93" s="434"/>
      <c r="L93" s="460"/>
      <c r="M93" s="860"/>
      <c r="N93" s="434"/>
      <c r="O93" s="459"/>
      <c r="P93" s="434"/>
      <c r="Q93" s="460"/>
      <c r="R93" s="860"/>
      <c r="S93" s="434"/>
      <c r="T93" s="459"/>
      <c r="U93" s="434"/>
      <c r="V93" s="460"/>
      <c r="W93" s="867"/>
      <c r="X93" s="460"/>
    </row>
    <row r="94" spans="2:24" x14ac:dyDescent="0.3">
      <c r="B94" s="16" t="s">
        <v>46</v>
      </c>
      <c r="C94" s="457">
        <f>14.83*'Arable Inputs'!$D$8</f>
        <v>16.757899999999999</v>
      </c>
      <c r="D94" s="458">
        <f>12.09*'Arable Inputs'!$D$8</f>
        <v>13.661699999999998</v>
      </c>
      <c r="E94" s="459"/>
      <c r="F94" s="434"/>
      <c r="G94" s="460"/>
      <c r="H94" s="860"/>
      <c r="I94" s="434"/>
      <c r="J94" s="459"/>
      <c r="K94" s="434"/>
      <c r="L94" s="460"/>
      <c r="M94" s="860"/>
      <c r="N94" s="434"/>
      <c r="O94" s="459"/>
      <c r="P94" s="434"/>
      <c r="Q94" s="460"/>
      <c r="R94" s="860"/>
      <c r="S94" s="434"/>
      <c r="T94" s="459"/>
      <c r="U94" s="434"/>
      <c r="V94" s="460"/>
      <c r="W94" s="867"/>
      <c r="X94" s="460"/>
    </row>
    <row r="95" spans="2:24" x14ac:dyDescent="0.3">
      <c r="B95" s="16" t="s">
        <v>171</v>
      </c>
      <c r="C95" s="457">
        <f>49.5*'Arable Inputs'!$D$8</f>
        <v>55.934999999999995</v>
      </c>
      <c r="D95" s="458">
        <f>49.64*'Arable Inputs'!$D$8</f>
        <v>56.093199999999996</v>
      </c>
      <c r="E95" s="459"/>
      <c r="F95" s="434"/>
      <c r="G95" s="460"/>
      <c r="H95" s="860"/>
      <c r="I95" s="423"/>
      <c r="J95" s="459"/>
      <c r="K95" s="434"/>
      <c r="L95" s="460"/>
      <c r="M95" s="860"/>
      <c r="N95" s="423"/>
      <c r="O95" s="459"/>
      <c r="P95" s="434"/>
      <c r="Q95" s="460"/>
      <c r="R95" s="860"/>
      <c r="S95" s="423"/>
      <c r="T95" s="459"/>
      <c r="U95" s="434"/>
      <c r="V95" s="460"/>
      <c r="W95" s="867"/>
      <c r="X95" s="463"/>
    </row>
    <row r="96" spans="2:24" x14ac:dyDescent="0.3">
      <c r="B96" s="16" t="s">
        <v>172</v>
      </c>
      <c r="C96" s="457">
        <f>44.5*'Arable Inputs'!$D$8</f>
        <v>50.284999999999997</v>
      </c>
      <c r="D96" s="458" t="s">
        <v>115</v>
      </c>
      <c r="E96" s="459"/>
      <c r="F96" s="434"/>
      <c r="G96" s="460"/>
      <c r="H96" s="434"/>
      <c r="I96" s="434"/>
      <c r="J96" s="459"/>
      <c r="K96" s="434"/>
      <c r="L96" s="460"/>
      <c r="M96" s="434"/>
      <c r="N96" s="434"/>
      <c r="O96" s="459"/>
      <c r="P96" s="434"/>
      <c r="Q96" s="460"/>
      <c r="R96" s="434"/>
      <c r="S96" s="434"/>
      <c r="T96" s="459"/>
      <c r="U96" s="434"/>
      <c r="V96" s="460"/>
      <c r="W96" s="461"/>
      <c r="X96" s="460"/>
    </row>
    <row r="97" spans="2:24" x14ac:dyDescent="0.3">
      <c r="B97" s="16" t="s">
        <v>173</v>
      </c>
      <c r="C97" s="457">
        <f>50*'Arable Inputs'!$D$8</f>
        <v>56.499999999999993</v>
      </c>
      <c r="D97" s="458">
        <f>54.11*'Arable Inputs'!$D$8</f>
        <v>61.144299999999994</v>
      </c>
      <c r="E97" s="459"/>
      <c r="F97" s="434"/>
      <c r="G97" s="460"/>
      <c r="H97" s="434"/>
      <c r="I97" s="434"/>
      <c r="J97" s="459"/>
      <c r="K97" s="434"/>
      <c r="L97" s="460"/>
      <c r="M97" s="434"/>
      <c r="N97" s="434"/>
      <c r="O97" s="459"/>
      <c r="P97" s="434"/>
      <c r="Q97" s="460"/>
      <c r="R97" s="434"/>
      <c r="S97" s="434"/>
      <c r="T97" s="459"/>
      <c r="U97" s="434"/>
      <c r="V97" s="460"/>
      <c r="W97" s="461"/>
      <c r="X97" s="460"/>
    </row>
    <row r="98" spans="2:24" x14ac:dyDescent="0.3">
      <c r="B98" s="16" t="s">
        <v>174</v>
      </c>
      <c r="C98" s="457">
        <f>78.2*'Arable Inputs'!$D$8</f>
        <v>88.366</v>
      </c>
      <c r="D98" s="458" t="s">
        <v>115</v>
      </c>
      <c r="E98" s="459"/>
      <c r="F98" s="434"/>
      <c r="G98" s="460"/>
      <c r="H98" s="434"/>
      <c r="I98" s="434"/>
      <c r="J98" s="459"/>
      <c r="K98" s="434"/>
      <c r="L98" s="460"/>
      <c r="M98" s="434"/>
      <c r="N98" s="434"/>
      <c r="O98" s="459"/>
      <c r="P98" s="434"/>
      <c r="Q98" s="460"/>
      <c r="R98" s="434"/>
      <c r="S98" s="434"/>
      <c r="T98" s="459"/>
      <c r="U98" s="434"/>
      <c r="V98" s="460"/>
      <c r="W98" s="461"/>
      <c r="X98" s="460"/>
    </row>
    <row r="99" spans="2:24" x14ac:dyDescent="0.3">
      <c r="B99" s="16" t="s">
        <v>175</v>
      </c>
      <c r="C99" s="457">
        <f>40*'Arable Inputs'!$D$8</f>
        <v>45.199999999999996</v>
      </c>
      <c r="D99" s="458" t="s">
        <v>115</v>
      </c>
      <c r="E99" s="459"/>
      <c r="F99" s="434"/>
      <c r="G99" s="460"/>
      <c r="H99" s="434"/>
      <c r="I99" s="434"/>
      <c r="J99" s="459"/>
      <c r="K99" s="434"/>
      <c r="L99" s="460"/>
      <c r="M99" s="434"/>
      <c r="N99" s="434"/>
      <c r="O99" s="459"/>
      <c r="P99" s="434"/>
      <c r="Q99" s="460"/>
      <c r="R99" s="434"/>
      <c r="S99" s="434"/>
      <c r="T99" s="459"/>
      <c r="U99" s="434"/>
      <c r="V99" s="460"/>
      <c r="W99" s="461"/>
      <c r="X99" s="460"/>
    </row>
    <row r="100" spans="2:24" x14ac:dyDescent="0.3">
      <c r="B100" s="16" t="s">
        <v>176</v>
      </c>
      <c r="C100" s="467">
        <f>54.83*'Arable Inputs'!$D$8</f>
        <v>61.957899999999995</v>
      </c>
      <c r="D100" s="477" t="s">
        <v>115</v>
      </c>
      <c r="E100" s="478"/>
      <c r="F100" s="427"/>
      <c r="G100" s="479"/>
      <c r="H100" s="434"/>
      <c r="I100" s="434"/>
      <c r="J100" s="459"/>
      <c r="K100" s="427"/>
      <c r="L100" s="479"/>
      <c r="M100" s="434"/>
      <c r="N100" s="434"/>
      <c r="O100" s="459"/>
      <c r="P100" s="427"/>
      <c r="Q100" s="479"/>
      <c r="R100" s="434"/>
      <c r="S100" s="434"/>
      <c r="T100" s="459"/>
      <c r="U100" s="427"/>
      <c r="V100" s="479"/>
      <c r="W100" s="461"/>
      <c r="X100" s="460"/>
    </row>
    <row r="101" spans="2:24" x14ac:dyDescent="0.3">
      <c r="B101" s="431" t="s">
        <v>47</v>
      </c>
      <c r="C101" s="805"/>
      <c r="D101" s="805"/>
      <c r="E101" s="469"/>
      <c r="F101" s="429" t="s">
        <v>9</v>
      </c>
      <c r="G101" s="826">
        <f>SUM(G91:G100)</f>
        <v>19.974783999999993</v>
      </c>
      <c r="H101" s="808">
        <f>SUM(H91:H100)</f>
        <v>0.3</v>
      </c>
      <c r="I101" s="471">
        <f>SUM(I91:I100)</f>
        <v>4.3499999999999996</v>
      </c>
      <c r="J101" s="472"/>
      <c r="K101" s="429"/>
      <c r="L101" s="826">
        <f>SUM(L91:L100)</f>
        <v>19.974783999999993</v>
      </c>
      <c r="M101" s="808">
        <f>SUM(M91:M100)</f>
        <v>0.3</v>
      </c>
      <c r="N101" s="471">
        <f>SUM(N91:N100)</f>
        <v>4.3499999999999996</v>
      </c>
      <c r="O101" s="472"/>
      <c r="P101" s="429"/>
      <c r="Q101" s="826">
        <f>SUM(Q91:Q100)</f>
        <v>19.974783999999993</v>
      </c>
      <c r="R101" s="808">
        <f>SUM(R91:R100)</f>
        <v>0.3</v>
      </c>
      <c r="S101" s="471">
        <f>SUM(S91:S100)</f>
        <v>4.3499999999999996</v>
      </c>
      <c r="T101" s="472"/>
      <c r="U101" s="429"/>
      <c r="V101" s="826">
        <f>SUM(V91:V100)</f>
        <v>19.974783999999993</v>
      </c>
      <c r="W101" s="808">
        <f>SUM(W91:W100)</f>
        <v>0.3</v>
      </c>
      <c r="X101" s="473">
        <f>SUM(X91:X100)</f>
        <v>4.3499999999999996</v>
      </c>
    </row>
    <row r="103" spans="2:24" x14ac:dyDescent="0.3">
      <c r="B103" s="431" t="s">
        <v>250</v>
      </c>
      <c r="C103" s="832"/>
      <c r="D103" s="832"/>
      <c r="E103" s="832"/>
      <c r="F103" s="430"/>
      <c r="G103" s="430"/>
      <c r="H103" s="430"/>
      <c r="I103" s="430"/>
      <c r="J103" s="430"/>
      <c r="K103" s="430"/>
      <c r="L103" s="430"/>
      <c r="M103" s="430"/>
      <c r="N103" s="430"/>
      <c r="O103" s="430"/>
      <c r="P103" s="430"/>
      <c r="Q103" s="430"/>
      <c r="R103" s="430"/>
      <c r="S103" s="430"/>
      <c r="T103" s="430"/>
      <c r="U103" s="430"/>
      <c r="V103" s="430"/>
      <c r="W103" s="430"/>
      <c r="X103" s="432"/>
    </row>
    <row r="104" spans="2:24" x14ac:dyDescent="0.3">
      <c r="B104" s="16" t="s">
        <v>191</v>
      </c>
      <c r="C104" s="457">
        <f>40.25*'Arable Inputs'!$D$8</f>
        <v>45.482499999999995</v>
      </c>
      <c r="D104" s="458" t="s">
        <v>115</v>
      </c>
      <c r="E104" s="483"/>
      <c r="F104" s="434"/>
      <c r="G104" s="460"/>
      <c r="H104" s="434"/>
      <c r="I104" s="434"/>
      <c r="J104" s="459"/>
      <c r="K104" s="434"/>
      <c r="L104" s="460"/>
      <c r="M104" s="434"/>
      <c r="N104" s="434"/>
      <c r="O104" s="459">
        <v>1</v>
      </c>
      <c r="P104" s="434">
        <v>4</v>
      </c>
      <c r="Q104" s="1020">
        <f>IF(P104&gt;=1,CHOOSE(O104,$C104,$D104)*P104)</f>
        <v>181.92999999999998</v>
      </c>
      <c r="R104" s="868">
        <f>0.3*4</f>
        <v>1.2</v>
      </c>
      <c r="S104" s="423">
        <f>R104*$C$4</f>
        <v>17.399999999999999</v>
      </c>
      <c r="T104" s="459">
        <v>1</v>
      </c>
      <c r="U104" s="434">
        <v>4</v>
      </c>
      <c r="V104" s="1020">
        <f>IF(U104&gt;=1,CHOOSE(T104,$C104,$D104)*U104)</f>
        <v>181.92999999999998</v>
      </c>
      <c r="W104" s="868">
        <f>0.3*4</f>
        <v>1.2</v>
      </c>
      <c r="X104" s="463">
        <f>W104*$C$4</f>
        <v>17.399999999999999</v>
      </c>
    </row>
    <row r="105" spans="2:24" x14ac:dyDescent="0.3">
      <c r="B105" s="431" t="s">
        <v>199</v>
      </c>
      <c r="C105" s="832"/>
      <c r="D105" s="832"/>
      <c r="E105" s="469"/>
      <c r="F105" s="429" t="s">
        <v>9</v>
      </c>
      <c r="G105" s="470"/>
      <c r="H105" s="429"/>
      <c r="I105" s="429"/>
      <c r="J105" s="472"/>
      <c r="K105" s="429"/>
      <c r="L105" s="470"/>
      <c r="M105" s="429"/>
      <c r="N105" s="429"/>
      <c r="O105" s="472"/>
      <c r="P105" s="429"/>
      <c r="Q105" s="826">
        <f>SUM(Q104:Q104)</f>
        <v>181.92999999999998</v>
      </c>
      <c r="R105" s="431">
        <f>SUM(R104:R104)</f>
        <v>1.2</v>
      </c>
      <c r="S105" s="471">
        <f>SUM(S104:S104)</f>
        <v>17.399999999999999</v>
      </c>
      <c r="T105" s="472"/>
      <c r="U105" s="429"/>
      <c r="V105" s="826">
        <f>SUM(V104:V104)</f>
        <v>181.92999999999998</v>
      </c>
      <c r="W105" s="431">
        <f>SUM(W104:W104)</f>
        <v>1.2</v>
      </c>
      <c r="X105" s="473">
        <f>SUM(X104:X104)</f>
        <v>17.399999999999999</v>
      </c>
    </row>
    <row r="106" spans="2:24" x14ac:dyDescent="0.3">
      <c r="B106" s="505"/>
      <c r="C106" s="504"/>
      <c r="D106" s="504"/>
      <c r="E106" s="504"/>
      <c r="F106" s="505"/>
      <c r="G106" s="505"/>
      <c r="H106" s="505"/>
      <c r="I106" s="505"/>
      <c r="J106" s="838"/>
      <c r="K106" s="505"/>
      <c r="L106" s="505"/>
      <c r="M106" s="505"/>
      <c r="N106" s="505"/>
      <c r="O106" s="838"/>
      <c r="P106" s="505"/>
      <c r="Q106" s="837"/>
      <c r="R106" s="505"/>
      <c r="S106" s="658"/>
      <c r="T106" s="838"/>
      <c r="U106" s="505"/>
      <c r="V106" s="837"/>
      <c r="W106" s="505"/>
      <c r="X106" s="658"/>
    </row>
    <row r="107" spans="2:24" x14ac:dyDescent="0.3">
      <c r="B107" s="431" t="s">
        <v>32</v>
      </c>
      <c r="C107" s="832"/>
      <c r="D107" s="832"/>
      <c r="E107" s="832"/>
      <c r="F107" s="430"/>
      <c r="G107" s="430"/>
      <c r="H107" s="430"/>
      <c r="I107" s="430"/>
      <c r="J107" s="430"/>
      <c r="K107" s="430"/>
      <c r="L107" s="430"/>
      <c r="M107" s="430"/>
      <c r="N107" s="430"/>
      <c r="O107" s="430"/>
      <c r="P107" s="430"/>
      <c r="Q107" s="430"/>
      <c r="R107" s="430"/>
      <c r="S107" s="430"/>
      <c r="T107" s="430"/>
      <c r="U107" s="430"/>
      <c r="V107" s="430"/>
      <c r="W107" s="430"/>
      <c r="X107" s="432"/>
    </row>
    <row r="108" spans="2:24" x14ac:dyDescent="0.3">
      <c r="B108" s="16" t="s">
        <v>57</v>
      </c>
      <c r="C108" s="457">
        <f>12.63*'Arable Inputs'!$D$8</f>
        <v>14.271899999999999</v>
      </c>
      <c r="D108" s="496">
        <f>10.08*'Arable Inputs'!$D$8</f>
        <v>11.3904</v>
      </c>
      <c r="E108" s="459">
        <v>2</v>
      </c>
      <c r="F108" s="605">
        <v>4</v>
      </c>
      <c r="G108" s="998">
        <f>IF(F108&gt;=1,CHOOSE(E108,$C108,$D108)*F108)</f>
        <v>45.561599999999999</v>
      </c>
      <c r="H108" s="869">
        <f>0.3*F108</f>
        <v>1.2</v>
      </c>
      <c r="I108" s="423">
        <f>H108*$C$4</f>
        <v>17.399999999999999</v>
      </c>
      <c r="J108" s="459">
        <v>2</v>
      </c>
      <c r="K108" s="605">
        <v>4</v>
      </c>
      <c r="L108" s="998">
        <f>IF(K108&gt;=1,CHOOSE(J108,$C108,$D108)*K108)</f>
        <v>45.561599999999999</v>
      </c>
      <c r="M108" s="869">
        <f>0.3*K108</f>
        <v>1.2</v>
      </c>
      <c r="N108" s="423">
        <f>M108*$C$4</f>
        <v>17.399999999999999</v>
      </c>
      <c r="O108" s="459"/>
      <c r="P108" s="605"/>
      <c r="Q108" s="460"/>
      <c r="R108" s="869"/>
      <c r="S108" s="423"/>
      <c r="T108" s="459"/>
      <c r="U108" s="605"/>
      <c r="V108" s="460"/>
      <c r="W108" s="869"/>
      <c r="X108" s="463"/>
    </row>
    <row r="109" spans="2:24" x14ac:dyDescent="0.3">
      <c r="B109" s="16" t="s">
        <v>56</v>
      </c>
      <c r="C109" s="457" t="s">
        <v>115</v>
      </c>
      <c r="D109" s="458">
        <f>8.16*'Arable Inputs'!$D$8</f>
        <v>9.2207999999999988</v>
      </c>
      <c r="E109" s="459"/>
      <c r="F109" s="434"/>
      <c r="G109" s="434"/>
      <c r="H109" s="16"/>
      <c r="I109" s="434"/>
      <c r="J109" s="459"/>
      <c r="K109" s="434"/>
      <c r="L109" s="434"/>
      <c r="M109" s="16"/>
      <c r="N109" s="434"/>
      <c r="O109" s="459"/>
      <c r="P109" s="434"/>
      <c r="Q109" s="434"/>
      <c r="R109" s="16"/>
      <c r="S109" s="434"/>
      <c r="T109" s="459"/>
      <c r="U109" s="434"/>
      <c r="V109" s="434"/>
      <c r="W109" s="16"/>
      <c r="X109" s="460"/>
    </row>
    <row r="110" spans="2:24" x14ac:dyDescent="0.3">
      <c r="B110" s="10" t="s">
        <v>55</v>
      </c>
      <c r="C110" s="499">
        <f>(C108+4.32)*'Arable Inputs'!$D$8</f>
        <v>21.008846999999996</v>
      </c>
      <c r="D110" s="458" t="s">
        <v>115</v>
      </c>
      <c r="E110" s="459"/>
      <c r="F110" s="434"/>
      <c r="G110" s="434"/>
      <c r="H110" s="16"/>
      <c r="I110" s="434"/>
      <c r="J110" s="459"/>
      <c r="K110" s="434"/>
      <c r="L110" s="434"/>
      <c r="M110" s="16"/>
      <c r="N110" s="434"/>
      <c r="O110" s="459"/>
      <c r="P110" s="434"/>
      <c r="Q110" s="434"/>
      <c r="R110" s="16"/>
      <c r="S110" s="434"/>
      <c r="T110" s="459"/>
      <c r="U110" s="434"/>
      <c r="V110" s="434"/>
      <c r="W110" s="16"/>
      <c r="X110" s="460"/>
    </row>
    <row r="111" spans="2:24" x14ac:dyDescent="0.3">
      <c r="B111" s="16" t="s">
        <v>132</v>
      </c>
      <c r="C111" s="457">
        <f>12.36*'Arable Inputs'!$D$8</f>
        <v>13.966799999999997</v>
      </c>
      <c r="D111" s="458" t="s">
        <v>115</v>
      </c>
      <c r="E111" s="459"/>
      <c r="F111" s="493"/>
      <c r="G111" s="493"/>
      <c r="H111" s="495"/>
      <c r="I111" s="491"/>
      <c r="J111" s="494"/>
      <c r="K111" s="493"/>
      <c r="L111" s="493"/>
      <c r="M111" s="495"/>
      <c r="N111" s="493"/>
      <c r="O111" s="459"/>
      <c r="P111" s="493"/>
      <c r="Q111" s="493"/>
      <c r="R111" s="495"/>
      <c r="S111" s="491"/>
      <c r="T111" s="459"/>
      <c r="U111" s="493"/>
      <c r="V111" s="493"/>
      <c r="W111" s="495"/>
      <c r="X111" s="492"/>
    </row>
    <row r="112" spans="2:24" x14ac:dyDescent="0.3">
      <c r="B112" s="16" t="s">
        <v>133</v>
      </c>
      <c r="C112" s="457">
        <f>8.9*'Arable Inputs'!$D$8</f>
        <v>10.056999999999999</v>
      </c>
      <c r="D112" s="458">
        <f>2.89*'Arable Inputs'!$D$8</f>
        <v>3.2656999999999998</v>
      </c>
      <c r="E112" s="459"/>
      <c r="F112" s="493"/>
      <c r="G112" s="493"/>
      <c r="H112" s="495"/>
      <c r="I112" s="491"/>
      <c r="J112" s="494"/>
      <c r="K112" s="493"/>
      <c r="L112" s="493"/>
      <c r="M112" s="495"/>
      <c r="N112" s="493"/>
      <c r="O112" s="459"/>
      <c r="P112" s="493"/>
      <c r="Q112" s="493"/>
      <c r="R112" s="495"/>
      <c r="S112" s="491"/>
      <c r="T112" s="459"/>
      <c r="U112" s="493"/>
      <c r="V112" s="493"/>
      <c r="W112" s="495"/>
      <c r="X112" s="492"/>
    </row>
    <row r="113" spans="2:24" x14ac:dyDescent="0.3">
      <c r="B113" s="16" t="s">
        <v>58</v>
      </c>
      <c r="C113" s="457">
        <f>25.95*'Arable Inputs'!$D$8</f>
        <v>29.323499999999996</v>
      </c>
      <c r="D113" s="458" t="s">
        <v>115</v>
      </c>
      <c r="E113" s="459"/>
      <c r="F113" s="434"/>
      <c r="G113" s="434"/>
      <c r="H113" s="16"/>
      <c r="I113" s="434"/>
      <c r="J113" s="459"/>
      <c r="K113" s="434"/>
      <c r="L113" s="434"/>
      <c r="M113" s="16"/>
      <c r="N113" s="434"/>
      <c r="O113" s="459"/>
      <c r="P113" s="434"/>
      <c r="Q113" s="434"/>
      <c r="R113" s="16"/>
      <c r="S113" s="434"/>
      <c r="T113" s="459"/>
      <c r="U113" s="434"/>
      <c r="V113" s="434"/>
      <c r="W113" s="16"/>
      <c r="X113" s="460"/>
    </row>
    <row r="114" spans="2:24" x14ac:dyDescent="0.3">
      <c r="B114" s="16" t="s">
        <v>134</v>
      </c>
      <c r="C114" s="457">
        <f>19.77*'Arable Inputs'!$D$8</f>
        <v>22.340099999999996</v>
      </c>
      <c r="D114" s="458" t="s">
        <v>115</v>
      </c>
      <c r="E114" s="459"/>
      <c r="F114" s="434"/>
      <c r="G114" s="460"/>
      <c r="H114" s="827"/>
      <c r="I114" s="423"/>
      <c r="J114" s="459"/>
      <c r="K114" s="427"/>
      <c r="L114" s="460"/>
      <c r="M114" s="827"/>
      <c r="N114" s="423"/>
      <c r="O114" s="459"/>
      <c r="P114" s="434"/>
      <c r="Q114" s="460"/>
      <c r="R114" s="827"/>
      <c r="S114" s="423"/>
      <c r="T114" s="459"/>
      <c r="U114" s="434"/>
      <c r="V114" s="460"/>
      <c r="W114" s="827"/>
      <c r="X114" s="463"/>
    </row>
    <row r="115" spans="2:24" x14ac:dyDescent="0.3">
      <c r="B115" s="431" t="s">
        <v>59</v>
      </c>
      <c r="C115" s="832"/>
      <c r="D115" s="832"/>
      <c r="E115" s="469"/>
      <c r="F115" s="429" t="s">
        <v>9</v>
      </c>
      <c r="G115" s="826">
        <f>SUM(G108:G114)</f>
        <v>45.561599999999999</v>
      </c>
      <c r="H115" s="808">
        <f>SUM(H108:H114)</f>
        <v>1.2</v>
      </c>
      <c r="I115" s="471">
        <f>SUM(I108:I114)</f>
        <v>17.399999999999999</v>
      </c>
      <c r="J115" s="472"/>
      <c r="K115" s="429"/>
      <c r="L115" s="826">
        <f>SUM(L108:L114)</f>
        <v>45.561599999999999</v>
      </c>
      <c r="M115" s="808">
        <f>SUM(M108:M114)</f>
        <v>1.2</v>
      </c>
      <c r="N115" s="471">
        <f>SUM(N108:N114)</f>
        <v>17.399999999999999</v>
      </c>
      <c r="O115" s="469"/>
      <c r="P115" s="429"/>
      <c r="Q115" s="826"/>
      <c r="R115" s="808"/>
      <c r="S115" s="471"/>
      <c r="T115" s="469"/>
      <c r="U115" s="429"/>
      <c r="V115" s="826"/>
      <c r="W115" s="808"/>
      <c r="X115" s="473"/>
    </row>
    <row r="116" spans="2:24" x14ac:dyDescent="0.3">
      <c r="B116" s="505"/>
      <c r="C116" s="504"/>
      <c r="D116" s="504"/>
      <c r="E116" s="504"/>
      <c r="F116" s="505"/>
      <c r="G116" s="837"/>
      <c r="H116" s="837"/>
      <c r="I116" s="658"/>
      <c r="J116" s="838"/>
      <c r="K116" s="505"/>
      <c r="L116" s="837"/>
      <c r="M116" s="837"/>
      <c r="N116" s="658"/>
      <c r="O116" s="504"/>
      <c r="P116" s="505"/>
      <c r="Q116" s="837"/>
      <c r="R116" s="837"/>
      <c r="S116" s="658"/>
      <c r="T116" s="504"/>
      <c r="U116" s="505"/>
      <c r="V116" s="837"/>
      <c r="W116" s="837"/>
      <c r="X116" s="658"/>
    </row>
    <row r="117" spans="2:24" x14ac:dyDescent="0.3">
      <c r="B117" s="431" t="s">
        <v>177</v>
      </c>
      <c r="C117" s="832"/>
      <c r="D117" s="832"/>
      <c r="E117" s="832"/>
      <c r="F117" s="430"/>
      <c r="G117" s="430"/>
      <c r="H117" s="430"/>
      <c r="I117" s="430"/>
      <c r="J117" s="430"/>
      <c r="K117" s="430"/>
      <c r="L117" s="430"/>
      <c r="M117" s="430"/>
      <c r="N117" s="430"/>
      <c r="O117" s="430"/>
      <c r="P117" s="430"/>
      <c r="Q117" s="430"/>
      <c r="R117" s="430"/>
      <c r="S117" s="430"/>
      <c r="T117" s="430"/>
      <c r="U117" s="430"/>
      <c r="V117" s="430"/>
      <c r="W117" s="430"/>
      <c r="X117" s="432"/>
    </row>
    <row r="118" spans="2:24" x14ac:dyDescent="0.3">
      <c r="B118" s="16" t="s">
        <v>477</v>
      </c>
      <c r="C118" s="855"/>
      <c r="D118" s="856"/>
      <c r="E118" s="459"/>
      <c r="F118" s="434"/>
      <c r="G118" s="460"/>
      <c r="H118" s="868">
        <v>2</v>
      </c>
      <c r="I118" s="423">
        <f>H118*$C$4</f>
        <v>29</v>
      </c>
      <c r="J118" s="459"/>
      <c r="K118" s="434"/>
      <c r="L118" s="460"/>
      <c r="M118" s="825"/>
      <c r="N118" s="423"/>
      <c r="O118" s="459"/>
      <c r="P118" s="434"/>
      <c r="Q118" s="460"/>
      <c r="R118" s="434"/>
      <c r="S118" s="434"/>
      <c r="T118" s="459"/>
      <c r="U118" s="434"/>
      <c r="V118" s="460"/>
      <c r="W118" s="434"/>
      <c r="X118" s="460"/>
    </row>
    <row r="119" spans="2:24" x14ac:dyDescent="0.3">
      <c r="B119" s="16" t="s">
        <v>462</v>
      </c>
      <c r="C119" s="855"/>
      <c r="D119" s="857"/>
      <c r="E119" s="459"/>
      <c r="F119" s="434"/>
      <c r="G119" s="460"/>
      <c r="H119" s="813"/>
      <c r="I119" s="423"/>
      <c r="J119" s="459"/>
      <c r="K119" s="434"/>
      <c r="L119" s="460"/>
      <c r="M119" s="868">
        <v>2</v>
      </c>
      <c r="N119" s="423">
        <f>M119*$C$4</f>
        <v>29</v>
      </c>
      <c r="O119" s="459"/>
      <c r="P119" s="434"/>
      <c r="Q119" s="460"/>
      <c r="R119" s="434"/>
      <c r="S119" s="434"/>
      <c r="T119" s="459"/>
      <c r="U119" s="434"/>
      <c r="V119" s="460"/>
      <c r="W119" s="813"/>
      <c r="X119" s="463"/>
    </row>
    <row r="120" spans="2:24" x14ac:dyDescent="0.3">
      <c r="B120" s="16" t="s">
        <v>177</v>
      </c>
      <c r="C120" s="855"/>
      <c r="D120" s="857"/>
      <c r="E120" s="459"/>
      <c r="F120" s="434"/>
      <c r="G120" s="460"/>
      <c r="H120" s="825"/>
      <c r="I120" s="423"/>
      <c r="J120" s="459"/>
      <c r="K120" s="16"/>
      <c r="L120" s="460"/>
      <c r="M120" s="825"/>
      <c r="N120" s="423"/>
      <c r="O120" s="459"/>
      <c r="P120" s="16"/>
      <c r="Q120" s="460"/>
      <c r="R120" s="868">
        <v>2</v>
      </c>
      <c r="S120" s="423">
        <f>R120*$C$4</f>
        <v>29</v>
      </c>
      <c r="T120" s="459"/>
      <c r="U120" s="434"/>
      <c r="V120" s="460"/>
      <c r="W120" s="434"/>
      <c r="X120" s="460"/>
    </row>
    <row r="121" spans="2:24" x14ac:dyDescent="0.3">
      <c r="B121" s="16" t="s">
        <v>478</v>
      </c>
      <c r="C121" s="858"/>
      <c r="D121" s="487"/>
      <c r="E121" s="459"/>
      <c r="F121" s="434"/>
      <c r="G121" s="460"/>
      <c r="H121" s="825"/>
      <c r="I121" s="423"/>
      <c r="J121" s="459"/>
      <c r="K121" s="427"/>
      <c r="L121" s="460"/>
      <c r="M121" s="825"/>
      <c r="N121" s="423"/>
      <c r="O121" s="459"/>
      <c r="P121" s="427"/>
      <c r="Q121" s="460"/>
      <c r="R121" s="825"/>
      <c r="S121" s="423"/>
      <c r="T121" s="459"/>
      <c r="U121" s="434"/>
      <c r="V121" s="460"/>
      <c r="W121" s="868">
        <v>2</v>
      </c>
      <c r="X121" s="828">
        <f>W121*$C$4</f>
        <v>29</v>
      </c>
    </row>
    <row r="122" spans="2:24" x14ac:dyDescent="0.3">
      <c r="B122" s="431" t="s">
        <v>178</v>
      </c>
      <c r="C122" s="832"/>
      <c r="D122" s="832"/>
      <c r="E122" s="469"/>
      <c r="F122" s="429" t="s">
        <v>9</v>
      </c>
      <c r="G122" s="843">
        <v>450</v>
      </c>
      <c r="H122" s="808">
        <f>SUM(H118:H121)</f>
        <v>2</v>
      </c>
      <c r="I122" s="471">
        <f>SUM(I118:I121)</f>
        <v>29</v>
      </c>
      <c r="J122" s="472"/>
      <c r="K122" s="429"/>
      <c r="L122" s="843">
        <v>100</v>
      </c>
      <c r="M122" s="808">
        <f>SUM(M118:M121)</f>
        <v>2</v>
      </c>
      <c r="N122" s="471">
        <f>SUM(N118:N121)</f>
        <v>29</v>
      </c>
      <c r="O122" s="472"/>
      <c r="P122" s="854">
        <v>100</v>
      </c>
      <c r="Q122" s="470">
        <f>SUM(Q118:Q120)</f>
        <v>0</v>
      </c>
      <c r="R122" s="808">
        <f>SUM(R118:R121)</f>
        <v>2</v>
      </c>
      <c r="S122" s="471">
        <f>SUM(S118:S121)</f>
        <v>29</v>
      </c>
      <c r="T122" s="472"/>
      <c r="U122" s="429"/>
      <c r="V122" s="843">
        <v>175</v>
      </c>
      <c r="W122" s="431">
        <f>SUM(W118:W121)</f>
        <v>2</v>
      </c>
      <c r="X122" s="473">
        <f>SUM(X118:X121)</f>
        <v>29</v>
      </c>
    </row>
    <row r="123" spans="2:24" x14ac:dyDescent="0.3">
      <c r="B123" s="851"/>
      <c r="C123" s="831"/>
      <c r="D123" s="831"/>
      <c r="E123" s="504"/>
      <c r="F123" s="505"/>
      <c r="G123" s="505"/>
      <c r="H123" s="505"/>
      <c r="I123" s="505"/>
      <c r="J123" s="505"/>
      <c r="K123" s="505"/>
      <c r="L123" s="505"/>
      <c r="M123" s="505"/>
      <c r="N123" s="505"/>
      <c r="O123" s="505"/>
      <c r="P123" s="505"/>
      <c r="Q123" s="505"/>
      <c r="R123" s="505"/>
      <c r="S123" s="505"/>
      <c r="T123" s="505"/>
      <c r="U123" s="505"/>
      <c r="V123" s="505"/>
      <c r="W123" s="505"/>
      <c r="X123" s="505"/>
    </row>
    <row r="124" spans="2:24" x14ac:dyDescent="0.3">
      <c r="B124" s="505"/>
      <c r="C124" s="504"/>
      <c r="D124" s="504"/>
      <c r="E124" s="504"/>
      <c r="F124" s="505"/>
      <c r="G124" s="837"/>
      <c r="H124" s="837"/>
      <c r="I124" s="658"/>
      <c r="J124" s="838"/>
      <c r="K124" s="505"/>
      <c r="L124" s="837"/>
      <c r="M124" s="837"/>
      <c r="N124" s="658"/>
      <c r="O124" s="504"/>
      <c r="P124" s="505"/>
      <c r="Q124" s="837"/>
      <c r="R124" s="837"/>
      <c r="S124" s="658"/>
      <c r="T124" s="504"/>
      <c r="U124" s="505"/>
      <c r="V124" s="837"/>
      <c r="W124" s="837"/>
      <c r="X124" s="658"/>
    </row>
    <row r="126" spans="2:24" x14ac:dyDescent="0.3">
      <c r="B126" s="74"/>
      <c r="C126" s="19"/>
      <c r="D126" s="20"/>
      <c r="E126" s="20"/>
      <c r="F126" s="512"/>
      <c r="G126" s="512"/>
      <c r="H126" s="512"/>
      <c r="I126" s="512"/>
    </row>
    <row r="127" spans="2:24" x14ac:dyDescent="0.3">
      <c r="B127" s="426"/>
      <c r="C127" s="425"/>
      <c r="D127" s="425"/>
      <c r="E127" s="425"/>
      <c r="F127" s="513" t="s">
        <v>91</v>
      </c>
      <c r="G127" s="513" t="s">
        <v>92</v>
      </c>
      <c r="H127" s="513" t="s">
        <v>93</v>
      </c>
      <c r="I127" s="513" t="s">
        <v>436</v>
      </c>
    </row>
    <row r="128" spans="2:24" x14ac:dyDescent="0.3">
      <c r="B128" s="76" t="s">
        <v>79</v>
      </c>
      <c r="C128" s="81" t="s">
        <v>468</v>
      </c>
      <c r="D128" s="83" t="s">
        <v>567</v>
      </c>
      <c r="E128" s="79"/>
      <c r="F128" s="806">
        <f>G36</f>
        <v>130</v>
      </c>
      <c r="G128" s="806">
        <f>L36</f>
        <v>203.39999999999998</v>
      </c>
      <c r="H128" s="806">
        <f>Q36</f>
        <v>203.39999999999998</v>
      </c>
      <c r="I128" s="806">
        <f>V36</f>
        <v>203.39999999999998</v>
      </c>
    </row>
    <row r="129" spans="2:9" x14ac:dyDescent="0.3">
      <c r="B129" s="9"/>
      <c r="C129" s="32" t="s">
        <v>144</v>
      </c>
      <c r="D129" s="79" t="s">
        <v>567</v>
      </c>
      <c r="E129" s="79"/>
      <c r="F129" s="806">
        <f>G85</f>
        <v>19.974783999999993</v>
      </c>
      <c r="G129" s="806">
        <f>L85</f>
        <v>19.974783999999993</v>
      </c>
      <c r="H129" s="806">
        <f>Q85</f>
        <v>19.974783999999993</v>
      </c>
      <c r="I129" s="806">
        <f>V85</f>
        <v>19.974783999999993</v>
      </c>
    </row>
    <row r="130" spans="2:9" x14ac:dyDescent="0.3">
      <c r="B130" s="10"/>
      <c r="C130" s="33" t="s">
        <v>32</v>
      </c>
      <c r="D130" s="79" t="s">
        <v>567</v>
      </c>
      <c r="E130" s="79"/>
      <c r="F130" s="806">
        <f>G72</f>
        <v>45.561599999999999</v>
      </c>
      <c r="G130" s="806">
        <f>L72</f>
        <v>45.561599999999999</v>
      </c>
      <c r="H130" s="806">
        <f>Q72</f>
        <v>22.780799999999999</v>
      </c>
      <c r="I130" s="806">
        <f>V72</f>
        <v>22.780799999999999</v>
      </c>
    </row>
    <row r="131" spans="2:9" ht="20" x14ac:dyDescent="0.3">
      <c r="B131" s="10"/>
      <c r="C131" s="33" t="s">
        <v>250</v>
      </c>
      <c r="D131" s="79" t="s">
        <v>567</v>
      </c>
      <c r="E131" s="79"/>
      <c r="F131" s="806">
        <v>0</v>
      </c>
      <c r="G131" s="806">
        <v>0</v>
      </c>
      <c r="H131" s="806">
        <f>Q62</f>
        <v>136.44749999999999</v>
      </c>
      <c r="I131" s="806">
        <f>V62</f>
        <v>136.44749999999999</v>
      </c>
    </row>
    <row r="132" spans="2:9" x14ac:dyDescent="0.3">
      <c r="B132" s="10"/>
      <c r="C132" s="33" t="s">
        <v>82</v>
      </c>
      <c r="D132" s="79" t="s">
        <v>567</v>
      </c>
      <c r="E132" s="79"/>
      <c r="F132" s="515">
        <f>G54</f>
        <v>300</v>
      </c>
      <c r="G132" s="515">
        <f>L54</f>
        <v>350</v>
      </c>
      <c r="H132" s="515">
        <f>Q54</f>
        <v>142.70769999999999</v>
      </c>
      <c r="I132" s="515">
        <f>V54</f>
        <v>50.849999999999994</v>
      </c>
    </row>
    <row r="133" spans="2:9" x14ac:dyDescent="0.3">
      <c r="B133" s="10"/>
      <c r="C133" s="33" t="s">
        <v>469</v>
      </c>
      <c r="D133" s="79" t="s">
        <v>567</v>
      </c>
      <c r="E133" s="79"/>
      <c r="F133" s="515">
        <f>G58</f>
        <v>50</v>
      </c>
      <c r="G133" s="515">
        <f>L58</f>
        <v>20</v>
      </c>
      <c r="H133" s="515">
        <f>Q58</f>
        <v>20</v>
      </c>
      <c r="I133" s="515">
        <f>V58</f>
        <v>20</v>
      </c>
    </row>
    <row r="134" spans="2:9" x14ac:dyDescent="0.3">
      <c r="B134" s="431" t="s">
        <v>474</v>
      </c>
      <c r="C134" s="846"/>
      <c r="D134" s="847" t="s">
        <v>567</v>
      </c>
      <c r="E134" s="179"/>
      <c r="F134" s="848">
        <f>SUM(F128:F133)</f>
        <v>545.536384</v>
      </c>
      <c r="G134" s="848">
        <f>SUM(G128:G133)</f>
        <v>638.93638399999998</v>
      </c>
      <c r="H134" s="848">
        <f>SUM(H128:H133)</f>
        <v>545.31078400000001</v>
      </c>
      <c r="I134" s="848">
        <f>SUM(I128:I133)</f>
        <v>453.45308399999999</v>
      </c>
    </row>
    <row r="135" spans="2:9" ht="15.5" x14ac:dyDescent="0.35">
      <c r="B135" s="516"/>
      <c r="C135" s="516"/>
      <c r="D135" s="516"/>
      <c r="E135" s="516"/>
      <c r="F135" s="861"/>
      <c r="G135" s="861"/>
      <c r="H135" s="861"/>
      <c r="I135" s="861"/>
    </row>
    <row r="136" spans="2:9" x14ac:dyDescent="0.3">
      <c r="B136" s="517" t="s">
        <v>479</v>
      </c>
      <c r="C136" s="518"/>
      <c r="D136" s="38" t="s">
        <v>212</v>
      </c>
      <c r="E136" s="38"/>
      <c r="F136" s="807">
        <f>H36+H54+H58+H72+H85</f>
        <v>8.85</v>
      </c>
      <c r="G136" s="807">
        <f>M36+M54+M58+M72+M85</f>
        <v>8.85</v>
      </c>
      <c r="H136" s="807">
        <f>R36+R54+R58+R62+R72+R85</f>
        <v>14.2</v>
      </c>
      <c r="I136" s="807">
        <f>W36+W54+W58+W62+W72+W85</f>
        <v>14.7</v>
      </c>
    </row>
    <row r="139" spans="2:9" x14ac:dyDescent="0.3">
      <c r="B139" s="426"/>
      <c r="C139" s="425"/>
      <c r="D139" s="425"/>
      <c r="E139" s="425"/>
      <c r="F139" s="513" t="s">
        <v>91</v>
      </c>
      <c r="G139" s="513" t="s">
        <v>92</v>
      </c>
      <c r="H139" s="513" t="s">
        <v>93</v>
      </c>
      <c r="I139" s="513" t="s">
        <v>436</v>
      </c>
    </row>
    <row r="140" spans="2:9" ht="20" x14ac:dyDescent="0.3">
      <c r="B140" s="76" t="s">
        <v>85</v>
      </c>
      <c r="C140" s="81" t="s">
        <v>472</v>
      </c>
      <c r="D140" s="83" t="s">
        <v>567</v>
      </c>
      <c r="E140" s="79"/>
      <c r="F140" s="806">
        <v>0</v>
      </c>
      <c r="G140" s="806">
        <v>0</v>
      </c>
      <c r="H140" s="806">
        <f>Q105</f>
        <v>181.92999999999998</v>
      </c>
      <c r="I140" s="806">
        <f>V105</f>
        <v>181.92999999999998</v>
      </c>
    </row>
    <row r="141" spans="2:9" x14ac:dyDescent="0.3">
      <c r="B141" s="9"/>
      <c r="C141" s="32" t="s">
        <v>30</v>
      </c>
      <c r="D141" s="79" t="s">
        <v>567</v>
      </c>
      <c r="E141" s="79"/>
      <c r="F141" s="806">
        <f>G101</f>
        <v>19.974783999999993</v>
      </c>
      <c r="G141" s="806">
        <f>L101</f>
        <v>19.974783999999993</v>
      </c>
      <c r="H141" s="806">
        <f>Q101</f>
        <v>19.974783999999993</v>
      </c>
      <c r="I141" s="806">
        <f>V101</f>
        <v>19.974783999999993</v>
      </c>
    </row>
    <row r="142" spans="2:9" x14ac:dyDescent="0.3">
      <c r="B142" s="10"/>
      <c r="C142" s="33" t="s">
        <v>32</v>
      </c>
      <c r="D142" s="79" t="s">
        <v>567</v>
      </c>
      <c r="E142" s="79"/>
      <c r="F142" s="806">
        <f>G115</f>
        <v>45.561599999999999</v>
      </c>
      <c r="G142" s="806">
        <f>L115</f>
        <v>45.561599999999999</v>
      </c>
      <c r="H142" s="806">
        <v>0</v>
      </c>
      <c r="I142" s="806">
        <f>V52</f>
        <v>0</v>
      </c>
    </row>
    <row r="143" spans="2:9" x14ac:dyDescent="0.3">
      <c r="B143" s="10"/>
      <c r="C143" s="33" t="s">
        <v>177</v>
      </c>
      <c r="D143" s="79" t="s">
        <v>567</v>
      </c>
      <c r="E143" s="79"/>
      <c r="F143" s="806">
        <f>G122</f>
        <v>450</v>
      </c>
      <c r="G143" s="806">
        <f>L122</f>
        <v>100</v>
      </c>
      <c r="H143" s="806">
        <f>P122</f>
        <v>100</v>
      </c>
      <c r="I143" s="806">
        <f>V122</f>
        <v>175</v>
      </c>
    </row>
    <row r="144" spans="2:9" x14ac:dyDescent="0.3">
      <c r="B144" s="431" t="s">
        <v>480</v>
      </c>
      <c r="C144" s="846"/>
      <c r="D144" s="847" t="s">
        <v>567</v>
      </c>
      <c r="E144" s="179"/>
      <c r="F144" s="848">
        <f>SUM(F140:F143)</f>
        <v>515.536384</v>
      </c>
      <c r="G144" s="848">
        <f>SUM(G140:G143)</f>
        <v>165.536384</v>
      </c>
      <c r="H144" s="848">
        <f>SUM(H140:H143)</f>
        <v>301.90478399999995</v>
      </c>
      <c r="I144" s="848">
        <f>SUM(I140:I143)</f>
        <v>376.90478399999995</v>
      </c>
    </row>
    <row r="145" spans="2:9" ht="15.5" x14ac:dyDescent="0.35">
      <c r="B145" s="516"/>
      <c r="C145" s="516"/>
      <c r="D145" s="516"/>
      <c r="E145" s="516"/>
      <c r="F145" s="516"/>
      <c r="G145" s="516"/>
      <c r="H145" s="516"/>
      <c r="I145" s="516"/>
    </row>
    <row r="146" spans="2:9" x14ac:dyDescent="0.3">
      <c r="B146" s="517" t="s">
        <v>481</v>
      </c>
      <c r="C146" s="518"/>
      <c r="D146" s="38" t="s">
        <v>212</v>
      </c>
      <c r="E146" s="38"/>
      <c r="F146" s="807">
        <f>H101+H115+H122</f>
        <v>3.5</v>
      </c>
      <c r="G146" s="807">
        <f>M101+M115+M122</f>
        <v>3.5</v>
      </c>
      <c r="H146" s="807">
        <f>R101+R105+R115+R122</f>
        <v>3.5</v>
      </c>
      <c r="I146" s="807">
        <f>W101+W105+W115+W122</f>
        <v>3.5</v>
      </c>
    </row>
  </sheetData>
  <mergeCells count="32">
    <mergeCell ref="P8:Q8"/>
    <mergeCell ref="R8:S8"/>
    <mergeCell ref="U8:V8"/>
    <mergeCell ref="W8:X8"/>
    <mergeCell ref="F9:G9"/>
    <mergeCell ref="H9:I9"/>
    <mergeCell ref="K9:L9"/>
    <mergeCell ref="M9:N9"/>
    <mergeCell ref="F8:G8"/>
    <mergeCell ref="H8:I8"/>
    <mergeCell ref="K8:L8"/>
    <mergeCell ref="M8:N8"/>
    <mergeCell ref="R9:S9"/>
    <mergeCell ref="U9:V9"/>
    <mergeCell ref="W9:X9"/>
    <mergeCell ref="F10:G10"/>
    <mergeCell ref="H10:I10"/>
    <mergeCell ref="K10:L10"/>
    <mergeCell ref="M10:N10"/>
    <mergeCell ref="P9:Q9"/>
    <mergeCell ref="R11:S11"/>
    <mergeCell ref="U11:V11"/>
    <mergeCell ref="W11:X11"/>
    <mergeCell ref="P10:Q10"/>
    <mergeCell ref="R10:S10"/>
    <mergeCell ref="U10:V10"/>
    <mergeCell ref="W10:X10"/>
    <mergeCell ref="F11:G11"/>
    <mergeCell ref="H11:I11"/>
    <mergeCell ref="K11:L11"/>
    <mergeCell ref="M11:N11"/>
    <mergeCell ref="P11:Q1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95"/>
  <sheetViews>
    <sheetView topLeftCell="C8" workbookViewId="0">
      <selection activeCell="C16" sqref="C16"/>
    </sheetView>
  </sheetViews>
  <sheetFormatPr defaultColWidth="9" defaultRowHeight="14" x14ac:dyDescent="0.3"/>
  <cols>
    <col min="1" max="1" width="14.5" customWidth="1"/>
    <col min="2" max="2" width="31.83203125" customWidth="1"/>
    <col min="3" max="3" width="24.33203125" customWidth="1"/>
  </cols>
  <sheetData>
    <row r="1" spans="1:32" ht="14.5" thickBot="1" x14ac:dyDescent="0.35"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6"/>
      <c r="T1" s="366"/>
      <c r="U1" s="366"/>
      <c r="V1" s="366"/>
      <c r="W1" s="366"/>
      <c r="X1" s="366"/>
      <c r="Y1" s="366"/>
      <c r="Z1" s="366"/>
      <c r="AA1" s="366"/>
      <c r="AB1" s="366"/>
      <c r="AC1" s="366"/>
      <c r="AD1" s="366"/>
      <c r="AE1" s="366"/>
      <c r="AF1" s="366"/>
    </row>
    <row r="2" spans="1:32" ht="14.5" thickBot="1" x14ac:dyDescent="0.35">
      <c r="B2" s="420" t="s">
        <v>578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</row>
    <row r="3" spans="1:32" x14ac:dyDescent="0.3">
      <c r="B3" s="421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</row>
    <row r="4" spans="1:32" x14ac:dyDescent="0.3">
      <c r="B4" s="421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366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  <c r="Y4" s="366"/>
      <c r="Z4" s="366"/>
      <c r="AA4" s="366"/>
      <c r="AB4" s="366"/>
      <c r="AC4" s="366"/>
      <c r="AD4" s="366"/>
      <c r="AE4" s="366"/>
      <c r="AF4" s="366"/>
    </row>
    <row r="5" spans="1:32" x14ac:dyDescent="0.3"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  <c r="AA5" s="366"/>
      <c r="AB5" s="366"/>
      <c r="AC5" s="366"/>
      <c r="AD5" s="366"/>
      <c r="AE5" s="366"/>
      <c r="AF5" s="366"/>
    </row>
    <row r="6" spans="1:32" x14ac:dyDescent="0.3">
      <c r="B6" s="366"/>
      <c r="C6" s="366"/>
      <c r="D6" s="366"/>
      <c r="E6" s="589" t="s">
        <v>91</v>
      </c>
      <c r="F6" s="38"/>
      <c r="G6" s="38"/>
      <c r="H6" s="38"/>
      <c r="I6" s="38"/>
      <c r="J6" s="38"/>
      <c r="K6" s="38"/>
      <c r="L6" s="590" t="s">
        <v>92</v>
      </c>
      <c r="M6" s="18"/>
      <c r="N6" s="18"/>
      <c r="O6" s="18"/>
      <c r="P6" s="18"/>
      <c r="Q6" s="18"/>
      <c r="R6" s="18"/>
      <c r="S6" s="591" t="s">
        <v>93</v>
      </c>
      <c r="T6" s="38"/>
      <c r="U6" s="38"/>
      <c r="V6" s="38"/>
      <c r="W6" s="38"/>
      <c r="X6" s="38"/>
      <c r="Y6" s="38"/>
      <c r="Z6" s="592" t="s">
        <v>94</v>
      </c>
      <c r="AA6" s="18"/>
      <c r="AB6" s="18"/>
      <c r="AC6" s="18"/>
      <c r="AD6" s="18"/>
      <c r="AE6" s="18"/>
      <c r="AF6" s="157"/>
    </row>
    <row r="7" spans="1:32" x14ac:dyDescent="0.3">
      <c r="A7" s="21"/>
      <c r="B7" s="425"/>
      <c r="C7" s="425"/>
      <c r="D7" s="366"/>
      <c r="E7" s="593"/>
      <c r="F7" s="1085" t="s">
        <v>70</v>
      </c>
      <c r="G7" s="1085"/>
      <c r="H7" s="1085"/>
      <c r="I7" s="1086"/>
      <c r="J7" s="425"/>
      <c r="K7" s="594"/>
      <c r="L7" s="593"/>
      <c r="M7" s="1096" t="s">
        <v>70</v>
      </c>
      <c r="N7" s="1096"/>
      <c r="O7" s="1096"/>
      <c r="P7" s="1097"/>
      <c r="Q7" s="595"/>
      <c r="R7" s="596"/>
      <c r="S7" s="593"/>
      <c r="T7" s="1085" t="s">
        <v>70</v>
      </c>
      <c r="U7" s="1085"/>
      <c r="V7" s="1085"/>
      <c r="W7" s="1086"/>
      <c r="X7" s="596"/>
      <c r="Y7" s="596"/>
      <c r="Z7" s="593"/>
      <c r="AA7" s="1084" t="s">
        <v>70</v>
      </c>
      <c r="AB7" s="1085"/>
      <c r="AC7" s="1085"/>
      <c r="AD7" s="1086"/>
      <c r="AE7" s="595"/>
      <c r="AF7" s="597"/>
    </row>
    <row r="8" spans="1:32" ht="25.5" customHeight="1" x14ac:dyDescent="0.3">
      <c r="B8" s="434"/>
      <c r="C8" s="434"/>
      <c r="D8" s="425"/>
      <c r="E8" s="490"/>
      <c r="F8" s="1089" t="s">
        <v>71</v>
      </c>
      <c r="G8" s="1094" t="s">
        <v>258</v>
      </c>
      <c r="H8" s="1089" t="s">
        <v>259</v>
      </c>
      <c r="I8" s="1089" t="s">
        <v>72</v>
      </c>
      <c r="J8" s="1090" t="s">
        <v>260</v>
      </c>
      <c r="K8" s="1092" t="s">
        <v>73</v>
      </c>
      <c r="L8" s="598"/>
      <c r="M8" s="1087" t="s">
        <v>71</v>
      </c>
      <c r="N8" s="1094" t="s">
        <v>258</v>
      </c>
      <c r="O8" s="1094" t="s">
        <v>259</v>
      </c>
      <c r="P8" s="1087" t="s">
        <v>72</v>
      </c>
      <c r="Q8" s="1090" t="s">
        <v>260</v>
      </c>
      <c r="R8" s="1092" t="s">
        <v>73</v>
      </c>
      <c r="S8" s="599"/>
      <c r="T8" s="1094" t="s">
        <v>71</v>
      </c>
      <c r="U8" s="1094" t="s">
        <v>258</v>
      </c>
      <c r="V8" s="1094" t="s">
        <v>259</v>
      </c>
      <c r="W8" s="1094" t="s">
        <v>72</v>
      </c>
      <c r="X8" s="1090" t="s">
        <v>260</v>
      </c>
      <c r="Y8" s="1092" t="s">
        <v>73</v>
      </c>
      <c r="Z8" s="599"/>
      <c r="AA8" s="1101" t="s">
        <v>71</v>
      </c>
      <c r="AB8" s="1094" t="s">
        <v>258</v>
      </c>
      <c r="AC8" s="1101" t="s">
        <v>259</v>
      </c>
      <c r="AD8" s="1101" t="s">
        <v>72</v>
      </c>
      <c r="AE8" s="1090" t="s">
        <v>260</v>
      </c>
      <c r="AF8" s="1098" t="s">
        <v>73</v>
      </c>
    </row>
    <row r="9" spans="1:32" ht="25.5" customHeight="1" x14ac:dyDescent="0.3">
      <c r="B9" s="425"/>
      <c r="C9" s="425"/>
      <c r="D9" s="425"/>
      <c r="E9" s="490"/>
      <c r="F9" s="1089"/>
      <c r="G9" s="1095"/>
      <c r="H9" s="1089"/>
      <c r="I9" s="1089"/>
      <c r="J9" s="1091"/>
      <c r="K9" s="1093"/>
      <c r="L9" s="598"/>
      <c r="M9" s="1088"/>
      <c r="N9" s="1095"/>
      <c r="O9" s="1095"/>
      <c r="P9" s="1088"/>
      <c r="Q9" s="1091"/>
      <c r="R9" s="1093"/>
      <c r="S9" s="600"/>
      <c r="T9" s="1095"/>
      <c r="U9" s="1095"/>
      <c r="V9" s="1095"/>
      <c r="W9" s="1095"/>
      <c r="X9" s="1091"/>
      <c r="Y9" s="1100"/>
      <c r="Z9" s="600"/>
      <c r="AA9" s="1101"/>
      <c r="AB9" s="1095"/>
      <c r="AC9" s="1101"/>
      <c r="AD9" s="1101"/>
      <c r="AE9" s="1091"/>
      <c r="AF9" s="1099"/>
    </row>
    <row r="10" spans="1:32" x14ac:dyDescent="0.3">
      <c r="B10" s="91" t="s">
        <v>1</v>
      </c>
      <c r="C10" s="93" t="s">
        <v>74</v>
      </c>
      <c r="D10" s="159" t="s">
        <v>88</v>
      </c>
      <c r="E10" s="601"/>
      <c r="F10" s="155">
        <f>'Energy Inputs'!D17</f>
        <v>2</v>
      </c>
      <c r="G10" s="155">
        <f>'Energy Inputs'!D16</f>
        <v>10</v>
      </c>
      <c r="H10" s="155">
        <f>'Energy Inputs'!D18</f>
        <v>2</v>
      </c>
      <c r="I10" s="92">
        <f>IF(F10="",0,INT(1+((G10-F10)/H10)))</f>
        <v>5</v>
      </c>
      <c r="J10" s="971">
        <f>SUM('Energy NPV'!D13:D28)</f>
        <v>208</v>
      </c>
      <c r="K10" s="176">
        <f>J10/'Energy Inputs'!D16</f>
        <v>20.8</v>
      </c>
      <c r="L10" s="601"/>
      <c r="M10" s="155">
        <f>'Energy Inputs'!E17</f>
        <v>1</v>
      </c>
      <c r="N10" s="155">
        <f>'Energy Inputs'!E16</f>
        <v>16</v>
      </c>
      <c r="O10" s="155">
        <f>'Energy Inputs'!E18</f>
        <v>1</v>
      </c>
      <c r="P10" s="92">
        <f>IF(M10="",0,INT(1+((N10-M10)/O10)))</f>
        <v>16</v>
      </c>
      <c r="Q10" s="971">
        <f>SUM('Energy NPV'!D39:D54)</f>
        <v>178.64499999999992</v>
      </c>
      <c r="R10" s="176">
        <f>Q10/'Energy Inputs'!E16</f>
        <v>11.165312499999995</v>
      </c>
      <c r="S10" s="602"/>
      <c r="T10" s="155">
        <f>'Energy Inputs'!F17</f>
        <v>1</v>
      </c>
      <c r="U10" s="155">
        <f>'Energy Inputs'!F16</f>
        <v>16</v>
      </c>
      <c r="V10" s="155">
        <f>'Energy Inputs'!F18</f>
        <v>1</v>
      </c>
      <c r="W10" s="92">
        <f>IF(T10="",0,INT(1+((U10-T10)/V10)))</f>
        <v>16</v>
      </c>
      <c r="X10" s="971">
        <f>SUM('Energy NPV'!D65:D80)</f>
        <v>148.28641932799633</v>
      </c>
      <c r="Y10" s="176">
        <f>X10/'Energy Inputs'!F16</f>
        <v>9.2679012079997705</v>
      </c>
      <c r="Z10" s="603"/>
      <c r="AA10" s="155">
        <f>'Energy Inputs'!G17</f>
        <v>2</v>
      </c>
      <c r="AB10" s="155">
        <f>'Energy Inputs'!G16</f>
        <v>16</v>
      </c>
      <c r="AC10" s="155">
        <f>'Energy Inputs'!G18</f>
        <v>1</v>
      </c>
      <c r="AD10" s="92">
        <f>IF(AA10="",0,INT(1+((AB10-AA10)/AC10)))</f>
        <v>15</v>
      </c>
      <c r="AE10" s="972">
        <f>SUM('Energy NPV'!D91:D106)</f>
        <v>217.14723926380367</v>
      </c>
      <c r="AF10" s="156">
        <f>AE10/'Energy Inputs'!G16</f>
        <v>13.571702453987729</v>
      </c>
    </row>
    <row r="11" spans="1:32" x14ac:dyDescent="0.3">
      <c r="B11" s="96"/>
      <c r="C11" s="27"/>
      <c r="D11" s="27"/>
      <c r="E11" s="604"/>
      <c r="F11" s="605"/>
      <c r="G11" s="605"/>
      <c r="H11" s="605"/>
      <c r="I11" s="605"/>
      <c r="J11" s="423"/>
      <c r="K11" s="606"/>
      <c r="L11" s="604"/>
      <c r="M11" s="605"/>
      <c r="N11" s="605"/>
      <c r="O11" s="605"/>
      <c r="P11" s="605"/>
      <c r="Q11" s="423"/>
      <c r="R11" s="607"/>
      <c r="S11" s="608"/>
      <c r="T11" s="605"/>
      <c r="U11" s="605"/>
      <c r="V11" s="605"/>
      <c r="W11" s="605"/>
      <c r="X11" s="423"/>
      <c r="Y11" s="607"/>
      <c r="Z11" s="578"/>
      <c r="AA11" s="605"/>
      <c r="AB11" s="605"/>
      <c r="AC11" s="605"/>
      <c r="AD11" s="605"/>
      <c r="AE11" s="423"/>
      <c r="AF11" s="607"/>
    </row>
    <row r="12" spans="1:32" x14ac:dyDescent="0.3">
      <c r="B12" s="97" t="s">
        <v>6</v>
      </c>
      <c r="C12" s="81" t="s">
        <v>75</v>
      </c>
      <c r="D12" s="160" t="s">
        <v>569</v>
      </c>
      <c r="E12" s="609">
        <f>'Energy Inputs'!$D$58</f>
        <v>43.75</v>
      </c>
      <c r="F12" s="610"/>
      <c r="G12" s="610"/>
      <c r="H12" s="610"/>
      <c r="I12" s="610"/>
      <c r="J12" s="610"/>
      <c r="K12" s="595"/>
      <c r="L12" s="611">
        <f>'Energy Inputs'!$E$58</f>
        <v>43.75</v>
      </c>
      <c r="M12" s="612"/>
      <c r="N12" s="612"/>
      <c r="O12" s="612"/>
      <c r="P12" s="612"/>
      <c r="Q12" s="610"/>
      <c r="R12" s="613"/>
      <c r="S12" s="611">
        <f>'Energy Inputs'!$F$58</f>
        <v>43.75</v>
      </c>
      <c r="T12" s="610"/>
      <c r="U12" s="595"/>
      <c r="V12" s="594"/>
      <c r="W12" s="610"/>
      <c r="X12" s="610"/>
      <c r="Y12" s="613"/>
      <c r="Z12" s="611">
        <f>'Energy Inputs'!$G$58</f>
        <v>43.75</v>
      </c>
      <c r="AA12" s="610"/>
      <c r="AB12" s="595"/>
      <c r="AC12" s="594"/>
      <c r="AD12" s="610"/>
      <c r="AE12" s="610"/>
      <c r="AF12" s="613"/>
    </row>
    <row r="13" spans="1:32" ht="15" customHeight="1" x14ac:dyDescent="0.3">
      <c r="B13" s="94"/>
      <c r="C13" s="28" t="s">
        <v>76</v>
      </c>
      <c r="D13" s="157" t="s">
        <v>569</v>
      </c>
      <c r="E13" s="614"/>
      <c r="F13" s="366"/>
      <c r="G13" s="366"/>
      <c r="H13" s="366"/>
      <c r="I13" s="366"/>
      <c r="J13" s="615"/>
      <c r="K13" s="616">
        <f>K14/K10</f>
        <v>43.75</v>
      </c>
      <c r="L13" s="617"/>
      <c r="M13" s="410"/>
      <c r="N13" s="410"/>
      <c r="O13" s="410"/>
      <c r="P13" s="410"/>
      <c r="Q13" s="615"/>
      <c r="R13" s="618">
        <f>R14/R10</f>
        <v>43.75</v>
      </c>
      <c r="S13" s="617"/>
      <c r="T13" s="465"/>
      <c r="U13" s="465"/>
      <c r="V13" s="410"/>
      <c r="W13" s="465"/>
      <c r="X13" s="615"/>
      <c r="Y13" s="618">
        <f>Y14/Y10</f>
        <v>43.75</v>
      </c>
      <c r="Z13" s="617"/>
      <c r="AA13" s="465"/>
      <c r="AB13" s="465"/>
      <c r="AC13" s="410"/>
      <c r="AD13" s="465"/>
      <c r="AE13" s="615"/>
      <c r="AF13" s="616">
        <f>AF14/AF10</f>
        <v>43.75</v>
      </c>
    </row>
    <row r="14" spans="1:32" x14ac:dyDescent="0.3">
      <c r="B14" s="94"/>
      <c r="C14" s="29"/>
      <c r="D14" s="30" t="s">
        <v>567</v>
      </c>
      <c r="E14" s="614"/>
      <c r="F14" s="366"/>
      <c r="G14" s="366"/>
      <c r="H14" s="366"/>
      <c r="I14" s="366"/>
      <c r="J14" s="619">
        <f>J10*E12</f>
        <v>9100</v>
      </c>
      <c r="K14" s="620">
        <f>K10*E12</f>
        <v>910</v>
      </c>
      <c r="L14" s="614"/>
      <c r="M14" s="366"/>
      <c r="N14" s="366"/>
      <c r="O14" s="366"/>
      <c r="P14" s="366"/>
      <c r="Q14" s="621">
        <f>Q10*L12</f>
        <v>7815.7187499999964</v>
      </c>
      <c r="R14" s="620">
        <f>R10*L12</f>
        <v>488.48242187499977</v>
      </c>
      <c r="S14" s="614"/>
      <c r="T14" s="366"/>
      <c r="U14" s="366"/>
      <c r="V14" s="366"/>
      <c r="W14" s="366"/>
      <c r="X14" s="621">
        <f>X10*S12</f>
        <v>6487.5308455998393</v>
      </c>
      <c r="Y14" s="620">
        <f>Y10*S12</f>
        <v>405.47067784998995</v>
      </c>
      <c r="Z14" s="614"/>
      <c r="AA14" s="366"/>
      <c r="AB14" s="366"/>
      <c r="AC14" s="366"/>
      <c r="AD14" s="366"/>
      <c r="AE14" s="619">
        <f>AE10*Z12</f>
        <v>9500.1917177914111</v>
      </c>
      <c r="AF14" s="620">
        <f>AF10*Z12</f>
        <v>593.76198236196319</v>
      </c>
    </row>
    <row r="15" spans="1:32" x14ac:dyDescent="0.3">
      <c r="B15" s="16"/>
      <c r="C15" s="81" t="s">
        <v>77</v>
      </c>
      <c r="D15" s="157" t="s">
        <v>567</v>
      </c>
      <c r="E15" s="622"/>
      <c r="F15" s="164"/>
      <c r="G15" s="164"/>
      <c r="H15" s="164"/>
      <c r="I15" s="162"/>
      <c r="J15" s="534"/>
      <c r="K15" s="662"/>
      <c r="L15" s="622"/>
      <c r="M15" s="164"/>
      <c r="N15" s="164"/>
      <c r="O15" s="164"/>
      <c r="P15" s="162"/>
      <c r="Q15" s="534"/>
      <c r="R15" s="662"/>
      <c r="S15" s="622"/>
      <c r="T15" s="164"/>
      <c r="U15" s="162"/>
      <c r="V15" s="162"/>
      <c r="W15" s="162"/>
      <c r="X15" s="534"/>
      <c r="Y15" s="662"/>
      <c r="Z15" s="622"/>
      <c r="AA15" s="164"/>
      <c r="AB15" s="162"/>
      <c r="AC15" s="162"/>
      <c r="AD15" s="162"/>
      <c r="AE15" s="534"/>
      <c r="AF15" s="662"/>
    </row>
    <row r="16" spans="1:32" x14ac:dyDescent="0.3">
      <c r="B16" s="77"/>
      <c r="C16" s="82" t="s">
        <v>672</v>
      </c>
      <c r="D16" s="34" t="s">
        <v>567</v>
      </c>
      <c r="E16" s="624">
        <f>'Energy Inputs'!$D$10</f>
        <v>330</v>
      </c>
      <c r="F16" s="153">
        <v>1</v>
      </c>
      <c r="G16" s="153">
        <v>10</v>
      </c>
      <c r="H16" s="153">
        <v>1</v>
      </c>
      <c r="I16" s="153">
        <f>IF(F16="",0,INT(1+((G16-F16)/H16)))</f>
        <v>10</v>
      </c>
      <c r="J16" s="536">
        <f>I16*E16</f>
        <v>3300</v>
      </c>
      <c r="K16" s="625">
        <f>J16/10</f>
        <v>330</v>
      </c>
      <c r="L16" s="624">
        <f>'Energy Inputs'!$D$10</f>
        <v>330</v>
      </c>
      <c r="M16" s="153">
        <v>1</v>
      </c>
      <c r="N16" s="153">
        <v>16</v>
      </c>
      <c r="O16" s="153">
        <v>1</v>
      </c>
      <c r="P16" s="153">
        <f>IF(M16="",0,INT(1+((N16-M16)/O16)))</f>
        <v>16</v>
      </c>
      <c r="Q16" s="536">
        <f>P16*L16</f>
        <v>5280</v>
      </c>
      <c r="R16" s="625">
        <f>Q16/'Energy Inputs'!$E$16</f>
        <v>330</v>
      </c>
      <c r="S16" s="624">
        <f>'Energy Inputs'!$D$10</f>
        <v>330</v>
      </c>
      <c r="T16" s="153">
        <v>1</v>
      </c>
      <c r="U16" s="544">
        <v>16</v>
      </c>
      <c r="V16" s="544">
        <v>1</v>
      </c>
      <c r="W16" s="153">
        <f>IF(T16="",0,INT(1+((U16-T16)/V16)))</f>
        <v>16</v>
      </c>
      <c r="X16" s="536">
        <f>W16*S16</f>
        <v>5280</v>
      </c>
      <c r="Y16" s="625">
        <f>X16/'Energy Inputs'!$F$16</f>
        <v>330</v>
      </c>
      <c r="Z16" s="624">
        <f>'Energy Inputs'!$D$10</f>
        <v>330</v>
      </c>
      <c r="AA16" s="153">
        <v>1</v>
      </c>
      <c r="AB16" s="544">
        <v>16</v>
      </c>
      <c r="AC16" s="544">
        <v>1</v>
      </c>
      <c r="AD16" s="153">
        <f>IF(AA16="",0,INT(1+((AB16-AA16)/AC16)))</f>
        <v>16</v>
      </c>
      <c r="AE16" s="536">
        <f>AD16*Z16</f>
        <v>5280</v>
      </c>
      <c r="AF16" s="625">
        <f>AE16/'Energy Inputs'!$G$16</f>
        <v>330</v>
      </c>
    </row>
    <row r="17" spans="2:32" x14ac:dyDescent="0.3">
      <c r="B17" s="96" t="s">
        <v>78</v>
      </c>
      <c r="C17" s="161"/>
      <c r="D17" s="30" t="s">
        <v>569</v>
      </c>
      <c r="E17" s="626"/>
      <c r="F17" s="367"/>
      <c r="G17" s="367"/>
      <c r="H17" s="367"/>
      <c r="I17" s="367"/>
      <c r="J17" s="627"/>
      <c r="K17" s="628">
        <f>K18/K10</f>
        <v>59.615384615384613</v>
      </c>
      <c r="L17" s="626"/>
      <c r="M17" s="367"/>
      <c r="N17" s="367"/>
      <c r="O17" s="367"/>
      <c r="P17" s="367"/>
      <c r="Q17" s="627"/>
      <c r="R17" s="628">
        <f>R18/R10</f>
        <v>73.305823000923624</v>
      </c>
      <c r="S17" s="626"/>
      <c r="T17" s="367"/>
      <c r="U17" s="367"/>
      <c r="V17" s="367"/>
      <c r="W17" s="367"/>
      <c r="X17" s="627"/>
      <c r="Y17" s="628">
        <f>Y18/Y10</f>
        <v>79.356767119523667</v>
      </c>
      <c r="Z17" s="626"/>
      <c r="AA17" s="367"/>
      <c r="AB17" s="367"/>
      <c r="AC17" s="367"/>
      <c r="AD17" s="367"/>
      <c r="AE17" s="627"/>
      <c r="AF17" s="628">
        <f>AF18/AF10</f>
        <v>68.065298771012863</v>
      </c>
    </row>
    <row r="18" spans="2:32" x14ac:dyDescent="0.3">
      <c r="B18" s="629"/>
      <c r="C18" s="375"/>
      <c r="D18" s="182" t="s">
        <v>567</v>
      </c>
      <c r="E18" s="367"/>
      <c r="F18" s="367"/>
      <c r="G18" s="367"/>
      <c r="H18" s="367"/>
      <c r="I18" s="367"/>
      <c r="J18" s="630">
        <f>J14+J16</f>
        <v>12400</v>
      </c>
      <c r="K18" s="631">
        <f>K14+K15+K16</f>
        <v>1240</v>
      </c>
      <c r="L18" s="367"/>
      <c r="M18" s="367"/>
      <c r="N18" s="367"/>
      <c r="O18" s="367"/>
      <c r="P18" s="367"/>
      <c r="Q18" s="630">
        <f>Q14+Q16</f>
        <v>13095.718749999996</v>
      </c>
      <c r="R18" s="631">
        <f>R14+R15+R16</f>
        <v>818.48242187499977</v>
      </c>
      <c r="S18" s="367"/>
      <c r="T18" s="367"/>
      <c r="U18" s="367"/>
      <c r="V18" s="367"/>
      <c r="W18" s="367"/>
      <c r="X18" s="630">
        <f>X14+X15+X16</f>
        <v>11767.530845599838</v>
      </c>
      <c r="Y18" s="631">
        <f>Y14+Y15+Y16</f>
        <v>735.4706778499899</v>
      </c>
      <c r="Z18" s="367"/>
      <c r="AA18" s="367"/>
      <c r="AB18" s="367"/>
      <c r="AC18" s="367"/>
      <c r="AD18" s="367"/>
      <c r="AE18" s="630">
        <f>AE14+AE15+AE16</f>
        <v>14780.191717791411</v>
      </c>
      <c r="AF18" s="631">
        <f>AF14+AF15+AF16</f>
        <v>923.76198236196319</v>
      </c>
    </row>
    <row r="19" spans="2:32" x14ac:dyDescent="0.3">
      <c r="B19" s="632"/>
      <c r="C19" s="425"/>
      <c r="D19" s="425"/>
      <c r="E19" s="633"/>
      <c r="F19" s="596"/>
      <c r="G19" s="596"/>
      <c r="H19" s="596"/>
      <c r="I19" s="596"/>
      <c r="J19" s="596"/>
      <c r="K19" s="597"/>
      <c r="L19" s="596"/>
      <c r="M19" s="596"/>
      <c r="N19" s="596"/>
      <c r="O19" s="596"/>
      <c r="P19" s="596"/>
      <c r="Q19" s="596"/>
      <c r="R19" s="597"/>
      <c r="S19" s="596"/>
      <c r="T19" s="596"/>
      <c r="U19" s="596"/>
      <c r="V19" s="596"/>
      <c r="W19" s="596"/>
      <c r="X19" s="596"/>
      <c r="Y19" s="597"/>
      <c r="Z19" s="596"/>
      <c r="AA19" s="596"/>
      <c r="AB19" s="596"/>
      <c r="AC19" s="596"/>
      <c r="AD19" s="596"/>
      <c r="AE19" s="596"/>
      <c r="AF19" s="597"/>
    </row>
    <row r="20" spans="2:32" x14ac:dyDescent="0.3">
      <c r="B20" s="163" t="s">
        <v>79</v>
      </c>
      <c r="C20" s="81" t="s">
        <v>80</v>
      </c>
      <c r="D20" s="157" t="s">
        <v>567</v>
      </c>
      <c r="E20" s="634">
        <f>'Energy Inputs'!D65</f>
        <v>1008</v>
      </c>
      <c r="F20" s="164">
        <v>1</v>
      </c>
      <c r="G20" s="164">
        <v>1</v>
      </c>
      <c r="H20" s="164">
        <v>16</v>
      </c>
      <c r="I20" s="164">
        <f>IF(F20="",0,INT(1+((G20-F20)/H20)))</f>
        <v>1</v>
      </c>
      <c r="J20" s="534">
        <f>I20*E20</f>
        <v>1008</v>
      </c>
      <c r="K20" s="635">
        <f>J20/'Energy Inputs'!$D$16</f>
        <v>100.8</v>
      </c>
      <c r="L20" s="634">
        <f>'Energy Inputs'!E65</f>
        <v>1344.6999999999998</v>
      </c>
      <c r="M20" s="164">
        <v>1</v>
      </c>
      <c r="N20" s="164">
        <v>1</v>
      </c>
      <c r="O20" s="164">
        <v>16</v>
      </c>
      <c r="P20" s="164">
        <f>IF(M20="",0,INT(1+((N20-M20)/O20)))</f>
        <v>1</v>
      </c>
      <c r="Q20" s="534">
        <f>P20*L20</f>
        <v>1344.6999999999998</v>
      </c>
      <c r="R20" s="623">
        <f>Q20/'Energy Inputs'!$E$16</f>
        <v>84.043749999999989</v>
      </c>
      <c r="S20" s="636">
        <f>'Energy Inputs'!F65</f>
        <v>4900</v>
      </c>
      <c r="T20" s="164">
        <v>1</v>
      </c>
      <c r="U20" s="164">
        <v>1</v>
      </c>
      <c r="V20" s="164">
        <v>16</v>
      </c>
      <c r="W20" s="164">
        <f>IF(T20="",0,INT(1+((U20-T20)/V20)))</f>
        <v>1</v>
      </c>
      <c r="X20" s="534">
        <f>W20*S20</f>
        <v>4900</v>
      </c>
      <c r="Y20" s="623">
        <f>X20/'Energy Inputs'!$F$16</f>
        <v>306.25</v>
      </c>
      <c r="Z20" s="636">
        <f>'Energy Inputs'!G65</f>
        <v>2000</v>
      </c>
      <c r="AA20" s="164">
        <v>1</v>
      </c>
      <c r="AB20" s="164">
        <v>1</v>
      </c>
      <c r="AC20" s="164">
        <v>16</v>
      </c>
      <c r="AD20" s="164">
        <f>IF(AA20="",0,INT(1+((AB20-AA20)/AC20)))</f>
        <v>1</v>
      </c>
      <c r="AE20" s="534">
        <f>AD20*Z20</f>
        <v>2000</v>
      </c>
      <c r="AF20" s="623">
        <f>AE20/'Energy Inputs'!$G$16</f>
        <v>125</v>
      </c>
    </row>
    <row r="21" spans="2:32" x14ac:dyDescent="0.3">
      <c r="B21" s="16"/>
      <c r="C21" s="28" t="s">
        <v>81</v>
      </c>
      <c r="D21" s="157" t="s">
        <v>569</v>
      </c>
      <c r="E21" s="626"/>
      <c r="F21" s="640"/>
      <c r="G21" s="640"/>
      <c r="H21" s="410"/>
      <c r="I21" s="640"/>
      <c r="J21" s="615"/>
      <c r="K21" s="616">
        <f>K22/K10</f>
        <v>4.8461538461538458</v>
      </c>
      <c r="L21" s="626"/>
      <c r="M21" s="640"/>
      <c r="N21" s="640"/>
      <c r="O21" s="410"/>
      <c r="P21" s="640"/>
      <c r="Q21" s="615"/>
      <c r="R21" s="616">
        <f>R22/R10</f>
        <v>7.527218785860228</v>
      </c>
      <c r="S21" s="626"/>
      <c r="T21" s="640"/>
      <c r="U21" s="640"/>
      <c r="V21" s="410"/>
      <c r="W21" s="640"/>
      <c r="X21" s="615"/>
      <c r="Y21" s="616">
        <f>Y22/Y10</f>
        <v>33.044158879860987</v>
      </c>
      <c r="Z21" s="626"/>
      <c r="AA21" s="640"/>
      <c r="AB21" s="640"/>
      <c r="AC21" s="410"/>
      <c r="AD21" s="640"/>
      <c r="AE21" s="615"/>
      <c r="AF21" s="616">
        <f>AF22/AF10</f>
        <v>9.2103404435654763</v>
      </c>
    </row>
    <row r="22" spans="2:32" x14ac:dyDescent="0.3">
      <c r="B22" s="641"/>
      <c r="C22" s="31"/>
      <c r="D22" s="34" t="s">
        <v>567</v>
      </c>
      <c r="E22" s="642"/>
      <c r="F22" s="643"/>
      <c r="G22" s="643"/>
      <c r="H22" s="643"/>
      <c r="I22" s="643"/>
      <c r="J22" s="619">
        <f>J20</f>
        <v>1008</v>
      </c>
      <c r="K22" s="644">
        <f>J22/'Energy Inputs'!$D$16</f>
        <v>100.8</v>
      </c>
      <c r="L22" s="642"/>
      <c r="M22" s="643"/>
      <c r="N22" s="643"/>
      <c r="O22" s="643"/>
      <c r="P22" s="643"/>
      <c r="Q22" s="619">
        <f>Q20</f>
        <v>1344.6999999999998</v>
      </c>
      <c r="R22" s="644">
        <f>Q22/'Energy Inputs'!$E$16</f>
        <v>84.043749999999989</v>
      </c>
      <c r="S22" s="642"/>
      <c r="T22" s="643"/>
      <c r="U22" s="643"/>
      <c r="V22" s="643"/>
      <c r="W22" s="643"/>
      <c r="X22" s="619">
        <f>X20</f>
        <v>4900</v>
      </c>
      <c r="Y22" s="644">
        <f>X22/'Energy Inputs'!$F$16</f>
        <v>306.25</v>
      </c>
      <c r="Z22" s="642"/>
      <c r="AA22" s="643"/>
      <c r="AB22" s="643"/>
      <c r="AC22" s="643"/>
      <c r="AD22" s="643"/>
      <c r="AE22" s="619">
        <f>AE20</f>
        <v>2000</v>
      </c>
      <c r="AF22" s="644">
        <f>AE22/'Energy Inputs'!$G$16</f>
        <v>125</v>
      </c>
    </row>
    <row r="23" spans="2:32" x14ac:dyDescent="0.3">
      <c r="B23" s="641"/>
      <c r="C23" s="33" t="s">
        <v>249</v>
      </c>
      <c r="D23" s="30" t="s">
        <v>567</v>
      </c>
      <c r="E23" s="636">
        <f>'Energy Inputs'!$D$80</f>
        <v>130</v>
      </c>
      <c r="F23" s="166">
        <v>1</v>
      </c>
      <c r="G23" s="166">
        <v>1</v>
      </c>
      <c r="H23" s="166">
        <v>16</v>
      </c>
      <c r="I23" s="164">
        <f t="shared" ref="I23:I29" si="0">IF(F23="",0,INT(1+((G23-F23)/H23)))</f>
        <v>1</v>
      </c>
      <c r="J23" s="463">
        <f>I23*E23</f>
        <v>130</v>
      </c>
      <c r="K23" s="645">
        <f>J23/'Energy Inputs'!$D$16</f>
        <v>13</v>
      </c>
      <c r="L23" s="636">
        <f>'Energy Inputs'!$E$80</f>
        <v>203.39999999999998</v>
      </c>
      <c r="M23" s="166">
        <v>1</v>
      </c>
      <c r="N23" s="166">
        <v>1</v>
      </c>
      <c r="O23" s="166">
        <v>16</v>
      </c>
      <c r="P23" s="164">
        <f>IF(M23="",0,INT(1+((N23-M23)/O23)))</f>
        <v>1</v>
      </c>
      <c r="Q23" s="463">
        <f t="shared" ref="Q23:Q29" si="1">P23*L23</f>
        <v>203.39999999999998</v>
      </c>
      <c r="R23" s="645">
        <f>Q23/'Energy Inputs'!$E$16</f>
        <v>12.712499999999999</v>
      </c>
      <c r="S23" s="636">
        <f>'Energy Inputs'!$F80</f>
        <v>203.39999999999998</v>
      </c>
      <c r="T23" s="166">
        <v>1</v>
      </c>
      <c r="U23" s="166">
        <v>1</v>
      </c>
      <c r="V23" s="166">
        <v>16</v>
      </c>
      <c r="W23" s="164">
        <f>IF(T23="",0,INT(1+((U23-T23)/V23)))</f>
        <v>1</v>
      </c>
      <c r="X23" s="463">
        <f>W23*S23</f>
        <v>203.39999999999998</v>
      </c>
      <c r="Y23" s="645">
        <f>X23/'Energy Inputs'!$F$16</f>
        <v>12.712499999999999</v>
      </c>
      <c r="Z23" s="636">
        <f>'Energy Inputs'!$G80</f>
        <v>203.39999999999998</v>
      </c>
      <c r="AA23" s="166">
        <v>1</v>
      </c>
      <c r="AB23" s="166">
        <v>1</v>
      </c>
      <c r="AC23" s="166">
        <v>16</v>
      </c>
      <c r="AD23" s="164">
        <f>IF(AA23="",0,INT(1+((AB23-AA23)/AC23)))</f>
        <v>1</v>
      </c>
      <c r="AE23" s="463">
        <f>AD23*Z23</f>
        <v>203.39999999999998</v>
      </c>
      <c r="AF23" s="645">
        <f>AE23/'Energy Inputs'!$G$16</f>
        <v>12.712499999999999</v>
      </c>
    </row>
    <row r="24" spans="2:32" x14ac:dyDescent="0.3">
      <c r="B24" s="641"/>
      <c r="C24" s="33" t="s">
        <v>461</v>
      </c>
      <c r="D24" s="30" t="s">
        <v>567</v>
      </c>
      <c r="E24" s="639">
        <f>'Energy fixed costs'!G85</f>
        <v>19.974783999999993</v>
      </c>
      <c r="F24" s="166">
        <v>1</v>
      </c>
      <c r="G24" s="166">
        <v>1</v>
      </c>
      <c r="H24" s="166">
        <v>16</v>
      </c>
      <c r="I24" s="166">
        <f t="shared" si="0"/>
        <v>1</v>
      </c>
      <c r="J24" s="463">
        <f t="shared" ref="J24:J29" si="2">I24*E24</f>
        <v>19.974783999999993</v>
      </c>
      <c r="K24" s="645">
        <f>J24/'Energy Inputs'!$D$16</f>
        <v>1.9974783999999992</v>
      </c>
      <c r="L24" s="639">
        <f>'Energy fixed costs'!L85</f>
        <v>19.974783999999993</v>
      </c>
      <c r="M24" s="166">
        <v>1</v>
      </c>
      <c r="N24" s="166">
        <v>1</v>
      </c>
      <c r="O24" s="166">
        <v>16</v>
      </c>
      <c r="P24" s="166">
        <f t="shared" ref="P24:P29" si="3">IF(M24="",0,INT(1+((N24-M24)/O24)))</f>
        <v>1</v>
      </c>
      <c r="Q24" s="463">
        <f t="shared" si="1"/>
        <v>19.974783999999993</v>
      </c>
      <c r="R24" s="645">
        <f>Q24/'Energy Inputs'!$E$16</f>
        <v>1.2484239999999995</v>
      </c>
      <c r="S24" s="639">
        <f>'Energy fixed costs'!Q85</f>
        <v>19.974783999999993</v>
      </c>
      <c r="T24" s="166">
        <v>1</v>
      </c>
      <c r="U24" s="166">
        <v>1</v>
      </c>
      <c r="V24" s="166">
        <v>16</v>
      </c>
      <c r="W24" s="166">
        <f t="shared" ref="W24:W29" si="4">IF(T24="",0,INT(1+((U24-T24)/V24)))</f>
        <v>1</v>
      </c>
      <c r="X24" s="463">
        <f t="shared" ref="X24:X29" si="5">W24*S24</f>
        <v>19.974783999999993</v>
      </c>
      <c r="Y24" s="645">
        <f>X24/'Energy Inputs'!$F$16</f>
        <v>1.2484239999999995</v>
      </c>
      <c r="Z24" s="639">
        <f>'Energy fixed costs'!V85</f>
        <v>19.974783999999993</v>
      </c>
      <c r="AA24" s="166">
        <v>1</v>
      </c>
      <c r="AB24" s="166">
        <v>1</v>
      </c>
      <c r="AC24" s="166">
        <v>16</v>
      </c>
      <c r="AD24" s="166">
        <f t="shared" ref="AD24:AD29" si="6">IF(AA24="",0,INT(1+((AB24-AA24)/AC24)))</f>
        <v>1</v>
      </c>
      <c r="AE24" s="463">
        <f t="shared" ref="AE24:AE29" si="7">AD24*Z24</f>
        <v>19.974783999999993</v>
      </c>
      <c r="AF24" s="645">
        <f>AE24/'Energy Inputs'!$G$16</f>
        <v>1.2484239999999995</v>
      </c>
    </row>
    <row r="25" spans="2:32" x14ac:dyDescent="0.3">
      <c r="B25" s="641"/>
      <c r="C25" s="33" t="s">
        <v>32</v>
      </c>
      <c r="D25" s="30" t="s">
        <v>567</v>
      </c>
      <c r="E25" s="639">
        <f>'Energy Inputs'!$D$83</f>
        <v>130</v>
      </c>
      <c r="F25" s="166">
        <v>1</v>
      </c>
      <c r="G25" s="166">
        <v>1</v>
      </c>
      <c r="H25" s="166">
        <v>16</v>
      </c>
      <c r="I25" s="166">
        <f t="shared" si="0"/>
        <v>1</v>
      </c>
      <c r="J25" s="463">
        <f t="shared" si="2"/>
        <v>130</v>
      </c>
      <c r="K25" s="645">
        <f>J25/'Energy Inputs'!$D$16</f>
        <v>13</v>
      </c>
      <c r="L25" s="639">
        <f>'Energy Inputs'!$E$83</f>
        <v>135.6</v>
      </c>
      <c r="M25" s="166">
        <v>1</v>
      </c>
      <c r="N25" s="166">
        <v>1</v>
      </c>
      <c r="O25" s="166">
        <v>16</v>
      </c>
      <c r="P25" s="166">
        <f t="shared" si="3"/>
        <v>1</v>
      </c>
      <c r="Q25" s="463">
        <f t="shared" si="1"/>
        <v>135.6</v>
      </c>
      <c r="R25" s="645">
        <f>Q25/'Energy Inputs'!$E$16</f>
        <v>8.4749999999999996</v>
      </c>
      <c r="S25" s="639">
        <f>'Energy Inputs'!$F83</f>
        <v>135.6</v>
      </c>
      <c r="T25" s="166">
        <v>1</v>
      </c>
      <c r="U25" s="166">
        <v>1</v>
      </c>
      <c r="V25" s="166">
        <v>16</v>
      </c>
      <c r="W25" s="166">
        <f t="shared" si="4"/>
        <v>1</v>
      </c>
      <c r="X25" s="463">
        <f t="shared" si="5"/>
        <v>135.6</v>
      </c>
      <c r="Y25" s="645">
        <f>X25/'Energy Inputs'!$F$16</f>
        <v>8.4749999999999996</v>
      </c>
      <c r="Z25" s="639">
        <f>'Energy Inputs'!$G83</f>
        <v>135.6</v>
      </c>
      <c r="AA25" s="166">
        <v>1</v>
      </c>
      <c r="AB25" s="166">
        <v>1</v>
      </c>
      <c r="AC25" s="166">
        <v>16</v>
      </c>
      <c r="AD25" s="166">
        <f t="shared" si="6"/>
        <v>1</v>
      </c>
      <c r="AE25" s="463">
        <f t="shared" si="7"/>
        <v>135.6</v>
      </c>
      <c r="AF25" s="645">
        <f>AE25/'Energy Inputs'!$G$16</f>
        <v>8.4749999999999996</v>
      </c>
    </row>
    <row r="26" spans="2:32" x14ac:dyDescent="0.3">
      <c r="B26" s="16"/>
      <c r="C26" s="32" t="s">
        <v>82</v>
      </c>
      <c r="D26" s="30" t="s">
        <v>567</v>
      </c>
      <c r="E26" s="639">
        <f>'Energy Inputs'!$D$85</f>
        <v>400</v>
      </c>
      <c r="F26" s="166">
        <v>1</v>
      </c>
      <c r="G26" s="166">
        <v>1</v>
      </c>
      <c r="H26" s="166">
        <v>16</v>
      </c>
      <c r="I26" s="166">
        <f t="shared" si="0"/>
        <v>1</v>
      </c>
      <c r="J26" s="463">
        <f>I26*E26</f>
        <v>400</v>
      </c>
      <c r="K26" s="645">
        <f>J26/'Energy Inputs'!$D$16</f>
        <v>40</v>
      </c>
      <c r="L26" s="639">
        <f>'Energy Inputs'!$E$85</f>
        <v>395.49999999999994</v>
      </c>
      <c r="M26" s="166">
        <v>1</v>
      </c>
      <c r="N26" s="166">
        <v>1</v>
      </c>
      <c r="O26" s="166">
        <v>16</v>
      </c>
      <c r="P26" s="166">
        <f>IF(M26="",0,INT(1+((N26-M26)/O26)))</f>
        <v>1</v>
      </c>
      <c r="Q26" s="463">
        <f t="shared" si="1"/>
        <v>395.49999999999994</v>
      </c>
      <c r="R26" s="645">
        <f>Q26/'Energy Inputs'!$E$16</f>
        <v>24.718749999999996</v>
      </c>
      <c r="S26" s="639">
        <f>'Energy Inputs'!$F85</f>
        <v>142.70769999999999</v>
      </c>
      <c r="T26" s="166">
        <v>1</v>
      </c>
      <c r="U26" s="166">
        <v>1</v>
      </c>
      <c r="V26" s="166">
        <v>16</v>
      </c>
      <c r="W26" s="166">
        <f>IF(T26="",0,INT(1+((U26-T26)/V26)))</f>
        <v>1</v>
      </c>
      <c r="X26" s="463">
        <f>W26*S26</f>
        <v>142.70769999999999</v>
      </c>
      <c r="Y26" s="645">
        <f>X26/'Energy Inputs'!$F$16</f>
        <v>8.9192312499999993</v>
      </c>
      <c r="Z26" s="639">
        <f>'Energy Inputs'!$G85</f>
        <v>50.849999999999994</v>
      </c>
      <c r="AA26" s="166">
        <v>1</v>
      </c>
      <c r="AB26" s="166">
        <v>1</v>
      </c>
      <c r="AC26" s="166">
        <v>16</v>
      </c>
      <c r="AD26" s="166">
        <f>IF(AA26="",0,INT(1+((AB26-AA26)/AC26)))</f>
        <v>1</v>
      </c>
      <c r="AE26" s="463">
        <f>AD26*Z26</f>
        <v>50.849999999999994</v>
      </c>
      <c r="AF26" s="645">
        <f>AE26/'Energy Inputs'!$G$16</f>
        <v>3.1781249999999996</v>
      </c>
    </row>
    <row r="27" spans="2:32" x14ac:dyDescent="0.3">
      <c r="B27" s="16"/>
      <c r="C27" s="32" t="s">
        <v>457</v>
      </c>
      <c r="D27" s="30" t="s">
        <v>567</v>
      </c>
      <c r="E27" s="663"/>
      <c r="F27" s="166"/>
      <c r="G27" s="166"/>
      <c r="H27" s="166"/>
      <c r="I27" s="166"/>
      <c r="J27" s="463"/>
      <c r="K27" s="660"/>
      <c r="L27" s="663"/>
      <c r="M27" s="166"/>
      <c r="N27" s="166"/>
      <c r="O27" s="166"/>
      <c r="P27" s="166"/>
      <c r="Q27" s="463"/>
      <c r="R27" s="660"/>
      <c r="S27" s="663"/>
      <c r="T27" s="166"/>
      <c r="U27" s="166"/>
      <c r="V27" s="166"/>
      <c r="W27" s="166"/>
      <c r="X27" s="463"/>
      <c r="Y27" s="660"/>
      <c r="Z27" s="663"/>
      <c r="AA27" s="166"/>
      <c r="AB27" s="166"/>
      <c r="AC27" s="166"/>
      <c r="AD27" s="166"/>
      <c r="AE27" s="463"/>
      <c r="AF27" s="660"/>
    </row>
    <row r="28" spans="2:32" x14ac:dyDescent="0.3">
      <c r="B28" s="16"/>
      <c r="C28" s="32" t="s">
        <v>454</v>
      </c>
      <c r="D28" s="30" t="s">
        <v>567</v>
      </c>
      <c r="E28" s="663"/>
      <c r="F28" s="166"/>
      <c r="G28" s="166"/>
      <c r="H28" s="166"/>
      <c r="I28" s="166"/>
      <c r="J28" s="463"/>
      <c r="K28" s="660"/>
      <c r="L28" s="663"/>
      <c r="M28" s="166"/>
      <c r="N28" s="166"/>
      <c r="O28" s="166"/>
      <c r="P28" s="166"/>
      <c r="Q28" s="463"/>
      <c r="R28" s="660"/>
      <c r="S28" s="639">
        <f>'Energy Inputs'!$F86</f>
        <v>136.44749999999999</v>
      </c>
      <c r="T28" s="166">
        <v>1</v>
      </c>
      <c r="U28" s="166">
        <v>1</v>
      </c>
      <c r="V28" s="166">
        <v>16</v>
      </c>
      <c r="W28" s="166">
        <f>IF(T28="",0,INT(1+((U28-T28)/V28)))</f>
        <v>1</v>
      </c>
      <c r="X28" s="463">
        <f>W28*S28</f>
        <v>136.44749999999999</v>
      </c>
      <c r="Y28" s="645">
        <f>X28/'Energy Inputs'!$F$16</f>
        <v>8.5279687499999994</v>
      </c>
      <c r="Z28" s="639">
        <f>'Energy Inputs'!$G86</f>
        <v>136.44749999999999</v>
      </c>
      <c r="AA28" s="166">
        <v>1</v>
      </c>
      <c r="AB28" s="166">
        <v>1</v>
      </c>
      <c r="AC28" s="166">
        <v>16</v>
      </c>
      <c r="AD28" s="166">
        <f>IF(AA28="",0,INT(1+((AB28-AA28)/AC28)))</f>
        <v>1</v>
      </c>
      <c r="AE28" s="463">
        <f>AD28*Z28</f>
        <v>136.44749999999999</v>
      </c>
      <c r="AF28" s="645">
        <f>AE28/'Energy Inputs'!$G$16</f>
        <v>8.5279687499999994</v>
      </c>
    </row>
    <row r="29" spans="2:32" ht="15.75" customHeight="1" x14ac:dyDescent="0.3">
      <c r="B29" s="16"/>
      <c r="C29" s="32" t="s">
        <v>83</v>
      </c>
      <c r="D29" s="23" t="s">
        <v>567</v>
      </c>
      <c r="E29" s="646">
        <f>'Energy Inputs'!D87</f>
        <v>56.499999999999993</v>
      </c>
      <c r="F29" s="166">
        <v>1</v>
      </c>
      <c r="G29" s="166">
        <v>1</v>
      </c>
      <c r="H29" s="166">
        <v>16</v>
      </c>
      <c r="I29" s="153">
        <f t="shared" si="0"/>
        <v>1</v>
      </c>
      <c r="J29" s="463">
        <f t="shared" si="2"/>
        <v>56.499999999999993</v>
      </c>
      <c r="K29" s="645">
        <f>J29/'Energy Inputs'!$D$16</f>
        <v>5.6499999999999995</v>
      </c>
      <c r="L29" s="646">
        <f>'Energy Inputs'!$E$87</f>
        <v>22.599999999999998</v>
      </c>
      <c r="M29" s="166">
        <v>1</v>
      </c>
      <c r="N29" s="166">
        <v>1</v>
      </c>
      <c r="O29" s="166">
        <v>16</v>
      </c>
      <c r="P29" s="166">
        <f t="shared" si="3"/>
        <v>1</v>
      </c>
      <c r="Q29" s="463">
        <f t="shared" si="1"/>
        <v>22.599999999999998</v>
      </c>
      <c r="R29" s="645">
        <f>Q29/'Energy Inputs'!$E$16</f>
        <v>1.4124999999999999</v>
      </c>
      <c r="S29" s="646">
        <f>'Energy Inputs'!$F87</f>
        <v>22.599999999999998</v>
      </c>
      <c r="T29" s="166">
        <v>1</v>
      </c>
      <c r="U29" s="166">
        <v>1</v>
      </c>
      <c r="V29" s="166">
        <v>16</v>
      </c>
      <c r="W29" s="166">
        <f t="shared" si="4"/>
        <v>1</v>
      </c>
      <c r="X29" s="463">
        <f t="shared" si="5"/>
        <v>22.599999999999998</v>
      </c>
      <c r="Y29" s="645">
        <f>X29/'Energy Inputs'!$F$16</f>
        <v>1.4124999999999999</v>
      </c>
      <c r="Z29" s="646">
        <f>'Energy Inputs'!$G87</f>
        <v>22.599999999999998</v>
      </c>
      <c r="AA29" s="166">
        <v>1</v>
      </c>
      <c r="AB29" s="166">
        <v>1</v>
      </c>
      <c r="AC29" s="166">
        <v>16</v>
      </c>
      <c r="AD29" s="166">
        <f t="shared" si="6"/>
        <v>1</v>
      </c>
      <c r="AE29" s="463">
        <f t="shared" si="7"/>
        <v>22.599999999999998</v>
      </c>
      <c r="AF29" s="645">
        <f>AE29/'Energy Inputs'!$G$16</f>
        <v>1.4124999999999999</v>
      </c>
    </row>
    <row r="30" spans="2:32" ht="15.75" customHeight="1" x14ac:dyDescent="0.3">
      <c r="B30" s="16"/>
      <c r="C30" s="81" t="s">
        <v>12</v>
      </c>
      <c r="D30" s="18" t="s">
        <v>571</v>
      </c>
      <c r="E30" s="780">
        <f>'Arable Inputs'!$D$34</f>
        <v>0.73675999999999997</v>
      </c>
      <c r="F30" s="781"/>
      <c r="G30" s="781"/>
      <c r="H30" s="781"/>
      <c r="I30" s="781"/>
      <c r="J30" s="781"/>
      <c r="K30" s="782"/>
      <c r="L30" s="780">
        <f>'Arable Inputs'!$D$34</f>
        <v>0.73675999999999997</v>
      </c>
      <c r="M30" s="781"/>
      <c r="N30" s="781"/>
      <c r="O30" s="781"/>
      <c r="P30" s="781"/>
      <c r="Q30" s="781"/>
      <c r="R30" s="782"/>
      <c r="S30" s="780">
        <f>'Arable Inputs'!$D$34</f>
        <v>0.73675999999999997</v>
      </c>
      <c r="T30" s="781"/>
      <c r="U30" s="781"/>
      <c r="V30" s="781"/>
      <c r="W30" s="781"/>
      <c r="X30" s="781"/>
      <c r="Y30" s="782"/>
      <c r="Z30" s="780">
        <f>'Arable Inputs'!$D$34</f>
        <v>0.73675999999999997</v>
      </c>
      <c r="AA30" s="781"/>
      <c r="AB30" s="781"/>
      <c r="AC30" s="781"/>
      <c r="AD30" s="781"/>
      <c r="AE30" s="781"/>
      <c r="AF30" s="782"/>
    </row>
    <row r="31" spans="2:32" ht="15.75" customHeight="1" x14ac:dyDescent="0.3">
      <c r="B31" s="16"/>
      <c r="C31" s="33" t="s">
        <v>13</v>
      </c>
      <c r="D31" s="30" t="s">
        <v>90</v>
      </c>
      <c r="E31" s="639">
        <f>'Energy Inputs'!D71</f>
        <v>90</v>
      </c>
      <c r="F31" s="10"/>
      <c r="G31" s="10"/>
      <c r="H31" s="10"/>
      <c r="I31" s="166"/>
      <c r="J31" s="532"/>
      <c r="K31" s="660"/>
      <c r="L31" s="639">
        <f>'Energy Inputs'!E71</f>
        <v>84</v>
      </c>
      <c r="M31" s="10"/>
      <c r="N31" s="10"/>
      <c r="O31" s="10"/>
      <c r="P31" s="166"/>
      <c r="Q31" s="532"/>
      <c r="R31" s="660"/>
      <c r="S31" s="639">
        <f>'Energy Inputs'!F71</f>
        <v>100</v>
      </c>
      <c r="T31" s="10"/>
      <c r="U31" s="10"/>
      <c r="V31" s="10"/>
      <c r="W31" s="166"/>
      <c r="X31" s="532"/>
      <c r="Y31" s="660"/>
      <c r="Z31" s="639">
        <f>'Energy Inputs'!G71</f>
        <v>120</v>
      </c>
      <c r="AA31" s="10"/>
      <c r="AB31" s="10"/>
      <c r="AC31" s="10"/>
      <c r="AD31" s="166"/>
      <c r="AE31" s="532"/>
      <c r="AF31" s="660"/>
    </row>
    <row r="32" spans="2:32" ht="15.75" customHeight="1" x14ac:dyDescent="0.3">
      <c r="B32" s="16"/>
      <c r="C32" s="180" t="s">
        <v>263</v>
      </c>
      <c r="D32" s="30" t="s">
        <v>567</v>
      </c>
      <c r="E32" s="663"/>
      <c r="F32" s="10">
        <v>1</v>
      </c>
      <c r="G32" s="10">
        <v>1</v>
      </c>
      <c r="H32" s="10">
        <v>16</v>
      </c>
      <c r="I32" s="166">
        <f>IF(F32="",0,INT(1+((G32-F32)/H32)))</f>
        <v>1</v>
      </c>
      <c r="J32" s="532">
        <f>E30*E31*I32</f>
        <v>66.308399999999992</v>
      </c>
      <c r="K32" s="660">
        <f>J32/15</f>
        <v>4.4205599999999992</v>
      </c>
      <c r="L32" s="663"/>
      <c r="M32" s="10">
        <v>1</v>
      </c>
      <c r="N32" s="10">
        <v>1</v>
      </c>
      <c r="O32" s="10">
        <v>16</v>
      </c>
      <c r="P32" s="166">
        <f>IF(M32="",0,INT(1+((N32-M32)/O32)))</f>
        <v>1</v>
      </c>
      <c r="Q32" s="532">
        <f>L30*L31*P32</f>
        <v>61.887839999999997</v>
      </c>
      <c r="R32" s="660">
        <f>Q32/15</f>
        <v>4.1258559999999997</v>
      </c>
      <c r="S32" s="663"/>
      <c r="T32" s="10">
        <v>1</v>
      </c>
      <c r="U32" s="10">
        <v>1</v>
      </c>
      <c r="V32" s="10">
        <v>16</v>
      </c>
      <c r="W32" s="166">
        <f>IF(T32="",0,INT(1+((U32-T32)/V32)))</f>
        <v>1</v>
      </c>
      <c r="X32" s="532">
        <f>S30*S31*W32</f>
        <v>73.676000000000002</v>
      </c>
      <c r="Y32" s="660">
        <f>X32/15</f>
        <v>4.9117333333333333</v>
      </c>
      <c r="Z32" s="663"/>
      <c r="AA32" s="10">
        <v>1</v>
      </c>
      <c r="AB32" s="10">
        <v>1</v>
      </c>
      <c r="AC32" s="10">
        <v>16</v>
      </c>
      <c r="AD32" s="166">
        <f>IF(AA32="",0,INT(1+((AB32-AA32)/AC32)))</f>
        <v>1</v>
      </c>
      <c r="AE32" s="532">
        <f>Z30*Z31*AD32</f>
        <v>88.411199999999994</v>
      </c>
      <c r="AF32" s="660">
        <f>AE32/15</f>
        <v>5.8940799999999998</v>
      </c>
    </row>
    <row r="33" spans="2:32" ht="15.75" customHeight="1" x14ac:dyDescent="0.3">
      <c r="B33" s="16"/>
      <c r="C33" s="32" t="s">
        <v>14</v>
      </c>
      <c r="D33" s="30" t="s">
        <v>571</v>
      </c>
      <c r="E33" s="665">
        <f>'Arable Inputs'!$D$35</f>
        <v>0.72432999999999992</v>
      </c>
      <c r="F33" s="105"/>
      <c r="G33" s="105"/>
      <c r="H33" s="105"/>
      <c r="I33" s="105"/>
      <c r="J33" s="105"/>
      <c r="K33" s="783"/>
      <c r="L33" s="665">
        <f>'Arable Inputs'!$D$35</f>
        <v>0.72432999999999992</v>
      </c>
      <c r="M33" s="105"/>
      <c r="N33" s="105"/>
      <c r="O33" s="105"/>
      <c r="P33" s="105"/>
      <c r="Q33" s="105"/>
      <c r="R33" s="783"/>
      <c r="S33" s="665">
        <f>'Arable Inputs'!$D$35</f>
        <v>0.72432999999999992</v>
      </c>
      <c r="T33" s="105"/>
      <c r="U33" s="105"/>
      <c r="V33" s="105"/>
      <c r="W33" s="105"/>
      <c r="X33" s="105"/>
      <c r="Y33" s="783"/>
      <c r="Z33" s="665">
        <f>'Arable Inputs'!$D$35</f>
        <v>0.72432999999999992</v>
      </c>
      <c r="AA33" s="105"/>
      <c r="AB33" s="105"/>
      <c r="AC33" s="105"/>
      <c r="AD33" s="105"/>
      <c r="AE33" s="105"/>
      <c r="AF33" s="783"/>
    </row>
    <row r="34" spans="2:32" ht="15.75" customHeight="1" x14ac:dyDescent="0.3">
      <c r="B34" s="16"/>
      <c r="C34" s="33" t="s">
        <v>15</v>
      </c>
      <c r="D34" s="30" t="s">
        <v>90</v>
      </c>
      <c r="E34" s="639">
        <f>'Energy Inputs'!D72</f>
        <v>55</v>
      </c>
      <c r="F34" s="10"/>
      <c r="G34" s="10"/>
      <c r="H34" s="10"/>
      <c r="I34" s="166"/>
      <c r="J34" s="532"/>
      <c r="K34" s="660"/>
      <c r="L34" s="639">
        <f>'Energy Inputs'!E72</f>
        <v>14</v>
      </c>
      <c r="M34" s="10"/>
      <c r="N34" s="10"/>
      <c r="O34" s="10"/>
      <c r="P34" s="166"/>
      <c r="Q34" s="532"/>
      <c r="R34" s="660"/>
      <c r="S34" s="639">
        <f>'Energy Inputs'!F72</f>
        <v>92</v>
      </c>
      <c r="T34" s="10"/>
      <c r="U34" s="10"/>
      <c r="V34" s="10"/>
      <c r="W34" s="166"/>
      <c r="X34" s="532"/>
      <c r="Y34" s="660"/>
      <c r="Z34" s="639">
        <f>'Energy Inputs'!G72</f>
        <v>92</v>
      </c>
      <c r="AA34" s="10"/>
      <c r="AB34" s="10"/>
      <c r="AC34" s="10"/>
      <c r="AD34" s="166"/>
      <c r="AE34" s="532"/>
      <c r="AF34" s="660"/>
    </row>
    <row r="35" spans="2:32" ht="15.75" customHeight="1" x14ac:dyDescent="0.3">
      <c r="B35" s="16"/>
      <c r="C35" s="180" t="s">
        <v>264</v>
      </c>
      <c r="D35" s="30" t="s">
        <v>567</v>
      </c>
      <c r="E35" s="663"/>
      <c r="F35" s="10">
        <v>1</v>
      </c>
      <c r="G35" s="10">
        <v>1</v>
      </c>
      <c r="H35" s="10">
        <v>16</v>
      </c>
      <c r="I35" s="166">
        <f>IF(F35="",0,INT(1+((G35-F35)/H35)))</f>
        <v>1</v>
      </c>
      <c r="J35" s="532">
        <f>E33*E34*I35</f>
        <v>39.838149999999999</v>
      </c>
      <c r="K35" s="660">
        <f>J35/15</f>
        <v>2.6558766666666664</v>
      </c>
      <c r="L35" s="663"/>
      <c r="M35" s="10">
        <v>1</v>
      </c>
      <c r="N35" s="10">
        <v>1</v>
      </c>
      <c r="O35" s="10">
        <v>16</v>
      </c>
      <c r="P35" s="166">
        <f>IF(M35="",0,INT(1+((N35-M35)/O35)))</f>
        <v>1</v>
      </c>
      <c r="Q35" s="532">
        <f>L33*L34*P35</f>
        <v>10.140619999999998</v>
      </c>
      <c r="R35" s="660">
        <f>Q35/15</f>
        <v>0.67604133333333327</v>
      </c>
      <c r="S35" s="663"/>
      <c r="T35" s="10">
        <v>1</v>
      </c>
      <c r="U35" s="10">
        <v>1</v>
      </c>
      <c r="V35" s="10">
        <v>16</v>
      </c>
      <c r="W35" s="166">
        <f>IF(T35="",0,INT(1+((U35-T35)/V35)))</f>
        <v>1</v>
      </c>
      <c r="X35" s="532">
        <f>S33*S34*W35</f>
        <v>66.638359999999992</v>
      </c>
      <c r="Y35" s="660">
        <f>X35/15</f>
        <v>4.4425573333333324</v>
      </c>
      <c r="Z35" s="663"/>
      <c r="AA35" s="10">
        <v>1</v>
      </c>
      <c r="AB35" s="10">
        <v>1</v>
      </c>
      <c r="AC35" s="10">
        <v>16</v>
      </c>
      <c r="AD35" s="166">
        <f>IF(AA35="",0,INT(1+((AB35-AA35)/AC35)))</f>
        <v>1</v>
      </c>
      <c r="AE35" s="532">
        <f>Z33*Z34*AD35</f>
        <v>66.638359999999992</v>
      </c>
      <c r="AF35" s="660">
        <f>AE35/15</f>
        <v>4.4425573333333324</v>
      </c>
    </row>
    <row r="36" spans="2:32" ht="15.75" customHeight="1" x14ac:dyDescent="0.3">
      <c r="B36" s="16"/>
      <c r="C36" s="32" t="s">
        <v>16</v>
      </c>
      <c r="D36" s="30" t="s">
        <v>571</v>
      </c>
      <c r="E36" s="665">
        <f>'Arable Inputs'!$D$36</f>
        <v>0.50849999999999995</v>
      </c>
      <c r="F36" s="105"/>
      <c r="G36" s="105"/>
      <c r="H36" s="105"/>
      <c r="I36" s="105"/>
      <c r="J36" s="105"/>
      <c r="K36" s="783"/>
      <c r="L36" s="665">
        <f>'Arable Inputs'!$D$36</f>
        <v>0.50849999999999995</v>
      </c>
      <c r="M36" s="105"/>
      <c r="N36" s="105"/>
      <c r="O36" s="105"/>
      <c r="P36" s="105"/>
      <c r="Q36" s="105"/>
      <c r="R36" s="783"/>
      <c r="S36" s="665">
        <f>'Arable Inputs'!$D$36</f>
        <v>0.50849999999999995</v>
      </c>
      <c r="T36" s="105"/>
      <c r="U36" s="105"/>
      <c r="V36" s="105"/>
      <c r="W36" s="105"/>
      <c r="X36" s="105"/>
      <c r="Y36" s="783"/>
      <c r="Z36" s="665">
        <f>'Arable Inputs'!$D$36</f>
        <v>0.50849999999999995</v>
      </c>
      <c r="AA36" s="105"/>
      <c r="AB36" s="105"/>
      <c r="AC36" s="105"/>
      <c r="AD36" s="105"/>
      <c r="AE36" s="105"/>
      <c r="AF36" s="783"/>
    </row>
    <row r="37" spans="2:32" ht="15.75" customHeight="1" x14ac:dyDescent="0.3">
      <c r="B37" s="16"/>
      <c r="C37" s="33" t="s">
        <v>17</v>
      </c>
      <c r="D37" s="30" t="s">
        <v>90</v>
      </c>
      <c r="E37" s="639">
        <f>'Energy Inputs'!D73</f>
        <v>72</v>
      </c>
      <c r="F37" s="10"/>
      <c r="G37" s="10"/>
      <c r="H37" s="10"/>
      <c r="I37" s="166"/>
      <c r="J37" s="532"/>
      <c r="K37" s="660"/>
      <c r="L37" s="639">
        <f>'Energy Inputs'!E73</f>
        <v>120</v>
      </c>
      <c r="M37" s="10"/>
      <c r="N37" s="10"/>
      <c r="O37" s="10"/>
      <c r="P37" s="166"/>
      <c r="Q37" s="532"/>
      <c r="R37" s="660"/>
      <c r="S37" s="639">
        <f>'Energy Inputs'!F73</f>
        <v>84</v>
      </c>
      <c r="T37" s="10"/>
      <c r="U37" s="10"/>
      <c r="V37" s="10"/>
      <c r="W37" s="166"/>
      <c r="X37" s="532"/>
      <c r="Y37" s="660"/>
      <c r="Z37" s="639">
        <f>'Energy Inputs'!G73</f>
        <v>90</v>
      </c>
      <c r="AA37" s="10"/>
      <c r="AB37" s="10"/>
      <c r="AC37" s="10"/>
      <c r="AD37" s="166"/>
      <c r="AE37" s="532"/>
      <c r="AF37" s="660"/>
    </row>
    <row r="38" spans="2:32" ht="15.75" customHeight="1" x14ac:dyDescent="0.3">
      <c r="B38" s="16"/>
      <c r="C38" s="181" t="s">
        <v>265</v>
      </c>
      <c r="D38" s="23" t="s">
        <v>567</v>
      </c>
      <c r="E38" s="784"/>
      <c r="F38" s="10">
        <v>1</v>
      </c>
      <c r="G38" s="10">
        <v>1</v>
      </c>
      <c r="H38" s="10">
        <v>16</v>
      </c>
      <c r="I38" s="166">
        <f>IF(F38="",0,INT(1+((G38-F38)/H38)))</f>
        <v>1</v>
      </c>
      <c r="J38" s="532">
        <f>E36*E37*I38</f>
        <v>36.611999999999995</v>
      </c>
      <c r="K38" s="660">
        <f>J38/15</f>
        <v>2.4407999999999999</v>
      </c>
      <c r="L38" s="784"/>
      <c r="M38" s="10">
        <v>1</v>
      </c>
      <c r="N38" s="10">
        <v>1</v>
      </c>
      <c r="O38" s="10">
        <v>16</v>
      </c>
      <c r="P38" s="166">
        <f>IF(M38="",0,INT(1+((N38-M38)/O38)))</f>
        <v>1</v>
      </c>
      <c r="Q38" s="532">
        <f>L36*L37*P38</f>
        <v>61.019999999999996</v>
      </c>
      <c r="R38" s="660">
        <f>Q38/15</f>
        <v>4.0679999999999996</v>
      </c>
      <c r="S38" s="784"/>
      <c r="T38" s="10">
        <v>1</v>
      </c>
      <c r="U38" s="10">
        <v>1</v>
      </c>
      <c r="V38" s="10">
        <v>16</v>
      </c>
      <c r="W38" s="166">
        <f>IF(T38="",0,INT(1+((U38-T38)/V38)))</f>
        <v>1</v>
      </c>
      <c r="X38" s="532">
        <f>S36*S37*W38</f>
        <v>42.713999999999999</v>
      </c>
      <c r="Y38" s="660">
        <f>X38/15</f>
        <v>2.8475999999999999</v>
      </c>
      <c r="Z38" s="784"/>
      <c r="AA38" s="10">
        <v>1</v>
      </c>
      <c r="AB38" s="10">
        <v>1</v>
      </c>
      <c r="AC38" s="10">
        <v>16</v>
      </c>
      <c r="AD38" s="166">
        <f>IF(AA38="",0,INT(1+((AB38-AA38)/AC38)))</f>
        <v>1</v>
      </c>
      <c r="AE38" s="532">
        <f>Z36*Z37*AD38</f>
        <v>45.764999999999993</v>
      </c>
      <c r="AF38" s="660">
        <f>AE38/15</f>
        <v>3.0509999999999997</v>
      </c>
    </row>
    <row r="39" spans="2:32" ht="15.75" customHeight="1" x14ac:dyDescent="0.3">
      <c r="B39" s="16"/>
      <c r="C39" s="28" t="s">
        <v>506</v>
      </c>
      <c r="D39" s="157" t="s">
        <v>569</v>
      </c>
      <c r="E39" s="626"/>
      <c r="F39" s="640"/>
      <c r="G39" s="640"/>
      <c r="H39" s="410"/>
      <c r="I39" s="640"/>
      <c r="J39" s="885"/>
      <c r="K39" s="616">
        <f>K40/K10</f>
        <v>0.68633918269230754</v>
      </c>
      <c r="L39" s="626"/>
      <c r="M39" s="640"/>
      <c r="N39" s="640"/>
      <c r="O39" s="410"/>
      <c r="P39" s="640"/>
      <c r="Q39" s="885"/>
      <c r="R39" s="616">
        <f>R40/R10</f>
        <v>0.74476453301239909</v>
      </c>
      <c r="S39" s="626"/>
      <c r="T39" s="640"/>
      <c r="U39" s="640"/>
      <c r="V39" s="410"/>
      <c r="W39" s="640"/>
      <c r="X39" s="615"/>
      <c r="Y39" s="616">
        <f>Y40/Y10</f>
        <v>1.2342894300735496</v>
      </c>
      <c r="Z39" s="626"/>
      <c r="AA39" s="640"/>
      <c r="AB39" s="640"/>
      <c r="AC39" s="410"/>
      <c r="AD39" s="640"/>
      <c r="AE39" s="615"/>
      <c r="AF39" s="616">
        <f>AF40/AF10</f>
        <v>0.9247852318124028</v>
      </c>
    </row>
    <row r="40" spans="2:32" ht="15.75" customHeight="1" x14ac:dyDescent="0.3">
      <c r="B40" s="16"/>
      <c r="C40" s="31"/>
      <c r="D40" s="34" t="s">
        <v>567</v>
      </c>
      <c r="E40" s="642"/>
      <c r="F40" s="643"/>
      <c r="G40" s="643"/>
      <c r="H40" s="643"/>
      <c r="I40" s="643"/>
      <c r="J40" s="886">
        <f>SUM(J30:J38)</f>
        <v>142.75854999999999</v>
      </c>
      <c r="K40" s="644">
        <f>J40/'Energy Inputs'!$D$16</f>
        <v>14.275854999999998</v>
      </c>
      <c r="L40" s="642"/>
      <c r="M40" s="643"/>
      <c r="N40" s="643"/>
      <c r="O40" s="643"/>
      <c r="P40" s="643"/>
      <c r="Q40" s="886">
        <f>SUM(Q30:Q38)</f>
        <v>133.04845999999998</v>
      </c>
      <c r="R40" s="644">
        <f>Q40/'Energy Inputs'!$E$16</f>
        <v>8.3155287499999986</v>
      </c>
      <c r="S40" s="642"/>
      <c r="T40" s="643"/>
      <c r="U40" s="643"/>
      <c r="V40" s="643"/>
      <c r="W40" s="643"/>
      <c r="X40" s="619">
        <f>X32+X35+X38</f>
        <v>183.02835999999999</v>
      </c>
      <c r="Y40" s="644">
        <f>X40/'Energy Inputs'!$F$16</f>
        <v>11.4392725</v>
      </c>
      <c r="Z40" s="642"/>
      <c r="AA40" s="887"/>
      <c r="AB40" s="643"/>
      <c r="AC40" s="643"/>
      <c r="AD40" s="643"/>
      <c r="AE40" s="619">
        <f>AE32+AE35+AE38</f>
        <v>200.81455999999997</v>
      </c>
      <c r="AF40" s="644">
        <f>AE40/'Energy Inputs'!$G$16</f>
        <v>12.550909999999998</v>
      </c>
    </row>
    <row r="41" spans="2:32" ht="15" customHeight="1" x14ac:dyDescent="0.3">
      <c r="B41" s="175" t="s">
        <v>84</v>
      </c>
      <c r="C41" s="35"/>
      <c r="D41" s="18" t="s">
        <v>569</v>
      </c>
      <c r="E41" s="647"/>
      <c r="F41" s="648"/>
      <c r="G41" s="648"/>
      <c r="H41" s="648"/>
      <c r="I41" s="648"/>
      <c r="J41" s="834"/>
      <c r="K41" s="650">
        <f>K42/K10</f>
        <v>8.8444574551282038</v>
      </c>
      <c r="L41" s="651"/>
      <c r="M41" s="648"/>
      <c r="N41" s="648"/>
      <c r="O41" s="648"/>
      <c r="P41" s="648"/>
      <c r="Q41" s="834"/>
      <c r="R41" s="650">
        <f>R42/R10</f>
        <v>12.671460949555454</v>
      </c>
      <c r="S41" s="651"/>
      <c r="T41" s="648"/>
      <c r="U41" s="648"/>
      <c r="V41" s="648"/>
      <c r="W41" s="648"/>
      <c r="X41" s="834"/>
      <c r="Y41" s="650">
        <f>Y42/Y10</f>
        <v>38.81650295928312</v>
      </c>
      <c r="Z41" s="651"/>
      <c r="AA41" s="648"/>
      <c r="AB41" s="648"/>
      <c r="AC41" s="648"/>
      <c r="AD41" s="648"/>
      <c r="AE41" s="834"/>
      <c r="AF41" s="650">
        <f>AF42/AF10</f>
        <v>12.816531726439706</v>
      </c>
    </row>
    <row r="42" spans="2:32" x14ac:dyDescent="0.3">
      <c r="B42" s="82"/>
      <c r="C42" s="36"/>
      <c r="D42" s="179" t="s">
        <v>567</v>
      </c>
      <c r="E42" s="652"/>
      <c r="F42" s="653"/>
      <c r="G42" s="653"/>
      <c r="H42" s="653"/>
      <c r="I42" s="653"/>
      <c r="J42" s="654">
        <f>J22+SUM(J23:J38)</f>
        <v>1887.233334</v>
      </c>
      <c r="K42" s="655">
        <f>K22+SUM(K23:K38)</f>
        <v>183.96471506666666</v>
      </c>
      <c r="L42" s="656"/>
      <c r="M42" s="653"/>
      <c r="N42" s="653"/>
      <c r="O42" s="653"/>
      <c r="P42" s="653"/>
      <c r="Q42" s="654">
        <f>Q22+SUM(Q23:Q38)</f>
        <v>2254.8232439999997</v>
      </c>
      <c r="R42" s="655">
        <f>R22+SUM(R23:R38)</f>
        <v>141.48082133333332</v>
      </c>
      <c r="S42" s="656"/>
      <c r="T42" s="653"/>
      <c r="U42" s="653"/>
      <c r="V42" s="653"/>
      <c r="W42" s="653"/>
      <c r="X42" s="654">
        <f>X22+SUM(X23:X38)</f>
        <v>5743.7583439999999</v>
      </c>
      <c r="Y42" s="655">
        <f>Y22+SUM(Y23:Y38)</f>
        <v>359.74751466666669</v>
      </c>
      <c r="Z42" s="656"/>
      <c r="AA42" s="653"/>
      <c r="AB42" s="653"/>
      <c r="AC42" s="653"/>
      <c r="AD42" s="653"/>
      <c r="AE42" s="654">
        <f>AE22+SUM(AE23:AE38)</f>
        <v>2769.6868439999998</v>
      </c>
      <c r="AF42" s="655">
        <f>AF22+SUM(AF23:AF38)</f>
        <v>173.94215508333335</v>
      </c>
    </row>
    <row r="43" spans="2:32" x14ac:dyDescent="0.3">
      <c r="B43" s="95" t="s">
        <v>85</v>
      </c>
      <c r="C43" s="81" t="s">
        <v>249</v>
      </c>
      <c r="D43" s="30" t="s">
        <v>567</v>
      </c>
      <c r="E43" s="659"/>
      <c r="F43" s="164"/>
      <c r="G43" s="164"/>
      <c r="H43" s="164"/>
      <c r="I43" s="164"/>
      <c r="J43" s="538"/>
      <c r="K43" s="657"/>
      <c r="L43" s="658"/>
      <c r="M43" s="164"/>
      <c r="N43" s="164"/>
      <c r="O43" s="164"/>
      <c r="P43" s="164"/>
      <c r="Q43" s="538"/>
      <c r="R43" s="657"/>
      <c r="S43" s="658"/>
      <c r="T43" s="164"/>
      <c r="U43" s="164"/>
      <c r="V43" s="164"/>
      <c r="W43" s="164"/>
      <c r="X43" s="538"/>
      <c r="Y43" s="657"/>
      <c r="Z43" s="658"/>
      <c r="AA43" s="164"/>
      <c r="AB43" s="164"/>
      <c r="AC43" s="164"/>
      <c r="AD43" s="164"/>
      <c r="AE43" s="538"/>
      <c r="AF43" s="657"/>
    </row>
    <row r="44" spans="2:32" x14ac:dyDescent="0.3">
      <c r="B44" s="95"/>
      <c r="C44" s="33" t="s">
        <v>250</v>
      </c>
      <c r="D44" s="30" t="s">
        <v>567</v>
      </c>
      <c r="E44" s="659"/>
      <c r="F44" s="10"/>
      <c r="G44" s="10"/>
      <c r="H44" s="10"/>
      <c r="I44" s="166"/>
      <c r="J44" s="532"/>
      <c r="K44" s="660"/>
      <c r="L44" s="659"/>
      <c r="M44" s="10"/>
      <c r="N44" s="10"/>
      <c r="O44" s="10"/>
      <c r="P44" s="166"/>
      <c r="Q44" s="532"/>
      <c r="R44" s="660"/>
      <c r="S44" s="634">
        <f>'Energy Inputs'!$F$92</f>
        <v>181.92999999999998</v>
      </c>
      <c r="T44" s="10">
        <v>2</v>
      </c>
      <c r="U44" s="10">
        <v>3</v>
      </c>
      <c r="V44" s="10">
        <v>1</v>
      </c>
      <c r="W44" s="166">
        <f>IF(T44="",0,INT(1+((U44-T44)/V44)))</f>
        <v>2</v>
      </c>
      <c r="X44" s="532">
        <f>W44*S44</f>
        <v>363.85999999999996</v>
      </c>
      <c r="Y44" s="660">
        <f>X44/15</f>
        <v>24.257333333333332</v>
      </c>
      <c r="Z44" s="634">
        <f>'Energy Inputs'!$G$92</f>
        <v>181.92999999999998</v>
      </c>
      <c r="AA44" s="10">
        <v>2</v>
      </c>
      <c r="AB44" s="10">
        <v>3</v>
      </c>
      <c r="AC44" s="10">
        <v>1</v>
      </c>
      <c r="AD44" s="166">
        <f>IF(AA44="",0,INT(1+((AB44-AA44)/AC44)))</f>
        <v>2</v>
      </c>
      <c r="AE44" s="532">
        <f>AD44*Z44</f>
        <v>363.85999999999996</v>
      </c>
      <c r="AF44" s="645">
        <f>AE44/'Energy Inputs'!$G$16</f>
        <v>22.741249999999997</v>
      </c>
    </row>
    <row r="45" spans="2:32" x14ac:dyDescent="0.3">
      <c r="B45" s="95"/>
      <c r="C45" s="33" t="s">
        <v>32</v>
      </c>
      <c r="D45" s="30" t="s">
        <v>567</v>
      </c>
      <c r="E45" s="634">
        <f>'Energy Inputs'!D94</f>
        <v>45.538999999999994</v>
      </c>
      <c r="F45" s="10">
        <v>2</v>
      </c>
      <c r="G45" s="10">
        <v>3</v>
      </c>
      <c r="H45" s="10">
        <v>1</v>
      </c>
      <c r="I45" s="166">
        <f>IF(F45="",0,INT(1+((G45-F45)/H45)))</f>
        <v>2</v>
      </c>
      <c r="J45" s="532">
        <f>I45*E45</f>
        <v>91.077999999999989</v>
      </c>
      <c r="K45" s="660">
        <f>J45/15</f>
        <v>6.0718666666666659</v>
      </c>
      <c r="L45" s="634">
        <f>'Energy Inputs'!$E$94</f>
        <v>45.538999999999994</v>
      </c>
      <c r="M45" s="10">
        <v>2</v>
      </c>
      <c r="N45" s="10">
        <v>3</v>
      </c>
      <c r="O45" s="10">
        <v>1</v>
      </c>
      <c r="P45" s="166">
        <f>IF(M45="",0,INT(1+((N45-M45)/O45)))</f>
        <v>2</v>
      </c>
      <c r="Q45" s="532">
        <f>P45*L45</f>
        <v>91.077999999999989</v>
      </c>
      <c r="R45" s="660">
        <f>Q45/15</f>
        <v>6.0718666666666659</v>
      </c>
      <c r="S45" s="659"/>
      <c r="T45" s="10"/>
      <c r="U45" s="10"/>
      <c r="V45" s="10"/>
      <c r="W45" s="166"/>
      <c r="X45" s="532"/>
      <c r="Y45" s="660"/>
      <c r="Z45" s="659"/>
      <c r="AA45" s="10"/>
      <c r="AB45" s="10"/>
      <c r="AC45" s="10"/>
      <c r="AD45" s="166"/>
      <c r="AE45" s="532"/>
      <c r="AF45" s="660"/>
    </row>
    <row r="46" spans="2:32" x14ac:dyDescent="0.3">
      <c r="B46" s="95"/>
      <c r="C46" s="33" t="s">
        <v>520</v>
      </c>
      <c r="D46" s="30" t="s">
        <v>567</v>
      </c>
      <c r="E46" s="965">
        <f>'Energy Inputs'!D93</f>
        <v>65</v>
      </c>
      <c r="F46" s="10">
        <v>2</v>
      </c>
      <c r="G46" s="10">
        <v>3</v>
      </c>
      <c r="H46" s="10">
        <v>1</v>
      </c>
      <c r="I46" s="166">
        <f>IF(F46="",0,INT(1+((G46-F46)/H46)))</f>
        <v>2</v>
      </c>
      <c r="J46" s="532">
        <f>I46*E46</f>
        <v>130</v>
      </c>
      <c r="K46" s="660">
        <f>J46/15</f>
        <v>8.6666666666666661</v>
      </c>
      <c r="L46" s="965">
        <f>'Energy Inputs'!E93</f>
        <v>67.8</v>
      </c>
      <c r="M46" s="10">
        <v>2</v>
      </c>
      <c r="N46" s="10">
        <v>3</v>
      </c>
      <c r="O46" s="10">
        <v>1</v>
      </c>
      <c r="P46" s="166">
        <f>IF(M46="",0,INT(1+((N46-M46)/O46)))</f>
        <v>2</v>
      </c>
      <c r="Q46" s="532">
        <f>P46*L46</f>
        <v>135.6</v>
      </c>
      <c r="R46" s="660">
        <f>Q46/15</f>
        <v>9.0399999999999991</v>
      </c>
      <c r="S46" s="659"/>
      <c r="T46" s="10"/>
      <c r="U46" s="10"/>
      <c r="V46" s="10"/>
      <c r="W46" s="166"/>
      <c r="X46" s="532"/>
      <c r="Y46" s="660"/>
      <c r="Z46" s="659"/>
      <c r="AA46" s="10"/>
      <c r="AB46" s="10"/>
      <c r="AC46" s="10"/>
      <c r="AD46" s="166"/>
      <c r="AE46" s="532"/>
      <c r="AF46" s="660"/>
    </row>
    <row r="47" spans="2:32" x14ac:dyDescent="0.3">
      <c r="B47" s="16"/>
      <c r="C47" s="33" t="s">
        <v>144</v>
      </c>
      <c r="D47" s="30" t="s">
        <v>567</v>
      </c>
      <c r="E47" s="634">
        <f>'Energy Inputs'!D91</f>
        <v>19.974783999999993</v>
      </c>
      <c r="F47" s="10">
        <v>2</v>
      </c>
      <c r="G47" s="10">
        <v>16</v>
      </c>
      <c r="H47" s="10">
        <v>2</v>
      </c>
      <c r="I47" s="166">
        <f>IF(F47="",0,INT(1+((G47-F47)/H47)))</f>
        <v>8</v>
      </c>
      <c r="J47" s="532">
        <f>I47*E47</f>
        <v>159.79827199999994</v>
      </c>
      <c r="K47" s="660">
        <f>J47/15</f>
        <v>10.653218133333329</v>
      </c>
      <c r="L47" s="634">
        <f>'Energy Inputs'!E91</f>
        <v>19.974783999999993</v>
      </c>
      <c r="M47" s="10">
        <v>2</v>
      </c>
      <c r="N47" s="10">
        <v>16</v>
      </c>
      <c r="O47" s="10">
        <v>1</v>
      </c>
      <c r="P47" s="166">
        <f>IF(M47="",0,INT(1+((N47-M47)/O47)))</f>
        <v>15</v>
      </c>
      <c r="Q47" s="532">
        <f>P47*L47</f>
        <v>299.62175999999988</v>
      </c>
      <c r="R47" s="660">
        <f>Q47/15</f>
        <v>19.974783999999993</v>
      </c>
      <c r="S47" s="634">
        <f>'Energy Inputs'!F91</f>
        <v>19.974783999999993</v>
      </c>
      <c r="T47" s="10">
        <v>2</v>
      </c>
      <c r="U47" s="10">
        <v>16</v>
      </c>
      <c r="V47" s="10">
        <v>1</v>
      </c>
      <c r="W47" s="166">
        <f>IF(T47="",0,INT(1+((U47-T47)/V47)))</f>
        <v>15</v>
      </c>
      <c r="X47" s="532">
        <f>W47*S47</f>
        <v>299.62175999999988</v>
      </c>
      <c r="Y47" s="660">
        <f>X47/15</f>
        <v>19.974783999999993</v>
      </c>
      <c r="Z47" s="634">
        <f>'Energy Inputs'!G91</f>
        <v>19.974783999999993</v>
      </c>
      <c r="AA47" s="10">
        <v>2</v>
      </c>
      <c r="AB47" s="10">
        <v>16</v>
      </c>
      <c r="AC47" s="10">
        <v>1</v>
      </c>
      <c r="AD47" s="166">
        <f>IF(AA47="",0,INT(1+((AB47-AA47)/AC47)))</f>
        <v>15</v>
      </c>
      <c r="AE47" s="532">
        <f>AD47*Z47</f>
        <v>299.62175999999988</v>
      </c>
      <c r="AF47" s="660">
        <f>AE47/15</f>
        <v>19.974783999999993</v>
      </c>
    </row>
    <row r="48" spans="2:32" x14ac:dyDescent="0.3">
      <c r="B48" s="16"/>
      <c r="C48" s="81" t="s">
        <v>12</v>
      </c>
      <c r="D48" s="18" t="s">
        <v>571</v>
      </c>
      <c r="E48" s="780">
        <f>'Arable Inputs'!$D$34</f>
        <v>0.73675999999999997</v>
      </c>
      <c r="F48" s="661"/>
      <c r="G48" s="661"/>
      <c r="H48" s="661"/>
      <c r="I48" s="661"/>
      <c r="J48" s="534"/>
      <c r="K48" s="662"/>
      <c r="L48" s="780">
        <f>'Arable Inputs'!$D$34</f>
        <v>0.73675999999999997</v>
      </c>
      <c r="M48" s="661"/>
      <c r="N48" s="661"/>
      <c r="O48" s="661"/>
      <c r="P48" s="661"/>
      <c r="Q48" s="534"/>
      <c r="R48" s="662"/>
      <c r="S48" s="780">
        <f>'Arable Inputs'!$D$34</f>
        <v>0.73675999999999997</v>
      </c>
      <c r="T48" s="781"/>
      <c r="U48" s="781"/>
      <c r="V48" s="781"/>
      <c r="W48" s="781"/>
      <c r="X48" s="781"/>
      <c r="Y48" s="782"/>
      <c r="Z48" s="780">
        <f>'Arable Inputs'!$D$34</f>
        <v>0.73675999999999997</v>
      </c>
      <c r="AA48" s="781"/>
      <c r="AB48" s="781"/>
      <c r="AC48" s="781"/>
      <c r="AD48" s="781"/>
      <c r="AE48" s="781"/>
      <c r="AF48" s="782"/>
    </row>
    <row r="49" spans="2:32" x14ac:dyDescent="0.3">
      <c r="B49" s="16"/>
      <c r="C49" s="33" t="s">
        <v>13</v>
      </c>
      <c r="D49" s="30" t="s">
        <v>90</v>
      </c>
      <c r="E49" s="639">
        <f>'Energy Inputs'!D71</f>
        <v>90</v>
      </c>
      <c r="F49" s="637"/>
      <c r="G49" s="637"/>
      <c r="H49" s="637"/>
      <c r="I49" s="637"/>
      <c r="J49" s="637"/>
      <c r="K49" s="638"/>
      <c r="L49" s="639">
        <f>'Energy Inputs'!E71</f>
        <v>84</v>
      </c>
      <c r="M49" s="637"/>
      <c r="N49" s="637"/>
      <c r="O49" s="637"/>
      <c r="P49" s="637"/>
      <c r="Q49" s="637"/>
      <c r="R49" s="638"/>
      <c r="S49" s="639">
        <f>'Energy Inputs'!F71</f>
        <v>100</v>
      </c>
      <c r="T49" s="10"/>
      <c r="U49" s="10"/>
      <c r="V49" s="10"/>
      <c r="W49" s="166"/>
      <c r="X49" s="532"/>
      <c r="Y49" s="660"/>
      <c r="Z49" s="639">
        <f>'Energy Inputs'!G71</f>
        <v>120</v>
      </c>
      <c r="AA49" s="10"/>
      <c r="AB49" s="10"/>
      <c r="AC49" s="10"/>
      <c r="AD49" s="166"/>
      <c r="AE49" s="532"/>
      <c r="AF49" s="660"/>
    </row>
    <row r="50" spans="2:32" x14ac:dyDescent="0.3">
      <c r="B50" s="16"/>
      <c r="C50" s="180" t="s">
        <v>263</v>
      </c>
      <c r="D50" s="30" t="s">
        <v>567</v>
      </c>
      <c r="E50" s="980">
        <f>E48*E49</f>
        <v>66.308399999999992</v>
      </c>
      <c r="F50" s="10">
        <v>2</v>
      </c>
      <c r="G50" s="10">
        <v>16</v>
      </c>
      <c r="H50" s="10">
        <v>2</v>
      </c>
      <c r="I50" s="166">
        <f>IF(F50="",0,INT(1+((G50-F50)/H50)))</f>
        <v>8</v>
      </c>
      <c r="J50" s="532">
        <f>E48*E49*I50</f>
        <v>530.46719999999993</v>
      </c>
      <c r="K50" s="660">
        <f>J50/15</f>
        <v>35.364479999999993</v>
      </c>
      <c r="L50" s="980">
        <f>L48*L49</f>
        <v>61.887839999999997</v>
      </c>
      <c r="M50" s="10">
        <v>2</v>
      </c>
      <c r="N50" s="10">
        <v>16</v>
      </c>
      <c r="O50" s="10">
        <v>1</v>
      </c>
      <c r="P50" s="166">
        <f>IF(M50="",0,INT(1+((N50-M50)/O50)))</f>
        <v>15</v>
      </c>
      <c r="Q50" s="532">
        <f>L48*L49*P50</f>
        <v>928.31759999999997</v>
      </c>
      <c r="R50" s="660">
        <f>Q50/15</f>
        <v>61.887839999999997</v>
      </c>
      <c r="S50" s="980">
        <f>S48*S49</f>
        <v>73.676000000000002</v>
      </c>
      <c r="T50" s="10">
        <v>2</v>
      </c>
      <c r="U50" s="10">
        <v>16</v>
      </c>
      <c r="V50" s="10">
        <v>1</v>
      </c>
      <c r="W50" s="166">
        <f>IF(T50="",0,INT(1+((U50-T50)/V50)))</f>
        <v>15</v>
      </c>
      <c r="X50" s="532">
        <f>S48*S49*W50</f>
        <v>1105.1400000000001</v>
      </c>
      <c r="Y50" s="660">
        <f>X50/15</f>
        <v>73.676000000000002</v>
      </c>
      <c r="Z50" s="980">
        <f>Z48*Z49</f>
        <v>88.411199999999994</v>
      </c>
      <c r="AA50" s="10">
        <v>2</v>
      </c>
      <c r="AB50" s="10">
        <v>16</v>
      </c>
      <c r="AC50" s="10">
        <v>1</v>
      </c>
      <c r="AD50" s="166">
        <f>IF(AA50="",0,INT(1+((AB50-AA50)/AC50)))</f>
        <v>15</v>
      </c>
      <c r="AE50" s="532">
        <f>Z48*Z49*AD50</f>
        <v>1326.1679999999999</v>
      </c>
      <c r="AF50" s="660">
        <f>AE50/15</f>
        <v>88.411199999999994</v>
      </c>
    </row>
    <row r="51" spans="2:32" x14ac:dyDescent="0.3">
      <c r="B51" s="16"/>
      <c r="C51" s="32" t="s">
        <v>14</v>
      </c>
      <c r="D51" s="30" t="s">
        <v>571</v>
      </c>
      <c r="E51" s="665">
        <f>'Arable Inputs'!$D$35</f>
        <v>0.72432999999999992</v>
      </c>
      <c r="F51" s="664"/>
      <c r="G51" s="664"/>
      <c r="H51" s="664"/>
      <c r="I51" s="664"/>
      <c r="J51" s="532"/>
      <c r="K51" s="660"/>
      <c r="L51" s="665">
        <f>'Arable Inputs'!$D$35</f>
        <v>0.72432999999999992</v>
      </c>
      <c r="M51" s="664"/>
      <c r="N51" s="664"/>
      <c r="O51" s="664"/>
      <c r="P51" s="664"/>
      <c r="Q51" s="532"/>
      <c r="R51" s="660"/>
      <c r="S51" s="665">
        <f>'Arable Inputs'!$D$35</f>
        <v>0.72432999999999992</v>
      </c>
      <c r="T51" s="664"/>
      <c r="U51" s="664"/>
      <c r="V51" s="664"/>
      <c r="W51" s="664"/>
      <c r="X51" s="532"/>
      <c r="Y51" s="660"/>
      <c r="Z51" s="665">
        <f>'Arable Inputs'!$D$35</f>
        <v>0.72432999999999992</v>
      </c>
      <c r="AA51" s="664"/>
      <c r="AB51" s="664"/>
      <c r="AC51" s="664"/>
      <c r="AD51" s="664"/>
      <c r="AE51" s="532"/>
      <c r="AF51" s="660"/>
    </row>
    <row r="52" spans="2:32" x14ac:dyDescent="0.3">
      <c r="B52" s="16"/>
      <c r="C52" s="33" t="s">
        <v>15</v>
      </c>
      <c r="D52" s="30" t="s">
        <v>90</v>
      </c>
      <c r="E52" s="639">
        <f>'Energy Inputs'!D72</f>
        <v>55</v>
      </c>
      <c r="F52" s="637"/>
      <c r="G52" s="637"/>
      <c r="H52" s="637"/>
      <c r="I52" s="637"/>
      <c r="J52" s="637"/>
      <c r="K52" s="638"/>
      <c r="L52" s="639">
        <f>'Energy Inputs'!E72</f>
        <v>14</v>
      </c>
      <c r="M52" s="637"/>
      <c r="N52" s="637"/>
      <c r="O52" s="637"/>
      <c r="P52" s="637"/>
      <c r="Q52" s="637"/>
      <c r="R52" s="638"/>
      <c r="S52" s="639">
        <f>'Energy Inputs'!F72</f>
        <v>92</v>
      </c>
      <c r="T52" s="637"/>
      <c r="U52" s="637"/>
      <c r="V52" s="637"/>
      <c r="W52" s="637"/>
      <c r="X52" s="637"/>
      <c r="Y52" s="638"/>
      <c r="Z52" s="639">
        <f>'Energy Inputs'!G72</f>
        <v>92</v>
      </c>
      <c r="AA52" s="637"/>
      <c r="AB52" s="637"/>
      <c r="AC52" s="637"/>
      <c r="AD52" s="637"/>
      <c r="AE52" s="637"/>
      <c r="AF52" s="638"/>
    </row>
    <row r="53" spans="2:32" x14ac:dyDescent="0.3">
      <c r="B53" s="16"/>
      <c r="C53" s="180" t="s">
        <v>264</v>
      </c>
      <c r="D53" s="30" t="s">
        <v>567</v>
      </c>
      <c r="E53" s="980">
        <f>E51*E52</f>
        <v>39.838149999999999</v>
      </c>
      <c r="F53" s="10">
        <v>2</v>
      </c>
      <c r="G53" s="10">
        <v>16</v>
      </c>
      <c r="H53" s="10">
        <v>2</v>
      </c>
      <c r="I53" s="166">
        <f>IF(F53="",0,INT(1+((G53-F53)/H53)))</f>
        <v>8</v>
      </c>
      <c r="J53" s="532">
        <f>E51*E52*I53</f>
        <v>318.70519999999999</v>
      </c>
      <c r="K53" s="660">
        <f>J53/15</f>
        <v>21.247013333333332</v>
      </c>
      <c r="L53" s="980">
        <f>L51*L52</f>
        <v>10.140619999999998</v>
      </c>
      <c r="M53" s="10">
        <v>2</v>
      </c>
      <c r="N53" s="10">
        <v>16</v>
      </c>
      <c r="O53" s="10">
        <v>1</v>
      </c>
      <c r="P53" s="166">
        <f>IF(M53="",0,INT(1+((N53-M53)/O53)))</f>
        <v>15</v>
      </c>
      <c r="Q53" s="532">
        <f>L51*L52*P53</f>
        <v>152.10929999999996</v>
      </c>
      <c r="R53" s="660">
        <f>Q53/15</f>
        <v>10.140619999999997</v>
      </c>
      <c r="S53" s="980">
        <f>S51*S52</f>
        <v>66.638359999999992</v>
      </c>
      <c r="T53" s="10">
        <v>2</v>
      </c>
      <c r="U53" s="10">
        <v>16</v>
      </c>
      <c r="V53" s="10">
        <v>1</v>
      </c>
      <c r="W53" s="166">
        <f>IF(T53="",0,INT(1+((U53-T53)/V53)))</f>
        <v>15</v>
      </c>
      <c r="X53" s="532">
        <f>S51*S52*W53</f>
        <v>999.57539999999983</v>
      </c>
      <c r="Y53" s="660">
        <f>X53/15</f>
        <v>66.638359999999992</v>
      </c>
      <c r="Z53" s="980">
        <f>Z51*Z52</f>
        <v>66.638359999999992</v>
      </c>
      <c r="AA53" s="10">
        <v>2</v>
      </c>
      <c r="AB53" s="10">
        <v>16</v>
      </c>
      <c r="AC53" s="10">
        <v>1</v>
      </c>
      <c r="AD53" s="166">
        <f>IF(AA53="",0,INT(1+((AB53-AA53)/AC53)))</f>
        <v>15</v>
      </c>
      <c r="AE53" s="532">
        <f>Z51*Z52*AD53</f>
        <v>999.57539999999983</v>
      </c>
      <c r="AF53" s="660">
        <f>AE53/15</f>
        <v>66.638359999999992</v>
      </c>
    </row>
    <row r="54" spans="2:32" x14ac:dyDescent="0.3">
      <c r="B54" s="16"/>
      <c r="C54" s="32" t="s">
        <v>16</v>
      </c>
      <c r="D54" s="30" t="s">
        <v>571</v>
      </c>
      <c r="E54" s="665">
        <f>'Arable Inputs'!$D$36</f>
        <v>0.50849999999999995</v>
      </c>
      <c r="F54" s="664"/>
      <c r="G54" s="664"/>
      <c r="H54" s="664"/>
      <c r="I54" s="664"/>
      <c r="J54" s="532"/>
      <c r="K54" s="660"/>
      <c r="L54" s="665">
        <f>'Arable Inputs'!$D$36</f>
        <v>0.50849999999999995</v>
      </c>
      <c r="M54" s="664"/>
      <c r="N54" s="664"/>
      <c r="O54" s="664"/>
      <c r="P54" s="664"/>
      <c r="Q54" s="532"/>
      <c r="R54" s="660"/>
      <c r="S54" s="665">
        <f>'Arable Inputs'!$D$36</f>
        <v>0.50849999999999995</v>
      </c>
      <c r="T54" s="664"/>
      <c r="U54" s="664"/>
      <c r="V54" s="664"/>
      <c r="W54" s="664"/>
      <c r="X54" s="532"/>
      <c r="Y54" s="660"/>
      <c r="Z54" s="665">
        <f>'Arable Inputs'!$D$36</f>
        <v>0.50849999999999995</v>
      </c>
      <c r="AA54" s="664"/>
      <c r="AB54" s="664"/>
      <c r="AC54" s="664"/>
      <c r="AD54" s="664"/>
      <c r="AE54" s="532"/>
      <c r="AF54" s="660"/>
    </row>
    <row r="55" spans="2:32" x14ac:dyDescent="0.3">
      <c r="B55" s="16"/>
      <c r="C55" s="33" t="s">
        <v>17</v>
      </c>
      <c r="D55" s="30" t="s">
        <v>90</v>
      </c>
      <c r="E55" s="639">
        <f>'Energy Inputs'!D73</f>
        <v>72</v>
      </c>
      <c r="F55" s="637"/>
      <c r="G55" s="637"/>
      <c r="H55" s="637"/>
      <c r="I55" s="637"/>
      <c r="J55" s="637"/>
      <c r="K55" s="638"/>
      <c r="L55" s="639">
        <f>'Energy Inputs'!E73</f>
        <v>120</v>
      </c>
      <c r="M55" s="637"/>
      <c r="N55" s="637"/>
      <c r="O55" s="637"/>
      <c r="P55" s="637"/>
      <c r="Q55" s="637"/>
      <c r="R55" s="638"/>
      <c r="S55" s="639">
        <f>'Energy Inputs'!F73</f>
        <v>84</v>
      </c>
      <c r="T55" s="637"/>
      <c r="U55" s="637"/>
      <c r="V55" s="637"/>
      <c r="W55" s="637"/>
      <c r="X55" s="637"/>
      <c r="Y55" s="638"/>
      <c r="Z55" s="639">
        <f>'Energy Inputs'!G73</f>
        <v>90</v>
      </c>
      <c r="AA55" s="637"/>
      <c r="AB55" s="637"/>
      <c r="AC55" s="637"/>
      <c r="AD55" s="637"/>
      <c r="AE55" s="637"/>
      <c r="AF55" s="638"/>
    </row>
    <row r="56" spans="2:32" x14ac:dyDescent="0.3">
      <c r="B56" s="16"/>
      <c r="C56" s="181" t="s">
        <v>265</v>
      </c>
      <c r="D56" s="23" t="s">
        <v>567</v>
      </c>
      <c r="E56" s="980">
        <f>E54*E55</f>
        <v>36.611999999999995</v>
      </c>
      <c r="F56" s="22">
        <v>2</v>
      </c>
      <c r="G56" s="22">
        <v>16</v>
      </c>
      <c r="H56" s="22">
        <v>2</v>
      </c>
      <c r="I56" s="153">
        <f>IF(F56="",0,INT(1+((G56-F56)/H56)))</f>
        <v>8</v>
      </c>
      <c r="J56" s="536">
        <f>E54*E55*I56</f>
        <v>292.89599999999996</v>
      </c>
      <c r="K56" s="667">
        <f>J56/15</f>
        <v>19.526399999999999</v>
      </c>
      <c r="L56" s="980">
        <f>L54*L55</f>
        <v>61.019999999999996</v>
      </c>
      <c r="M56" s="22">
        <v>2</v>
      </c>
      <c r="N56" s="22">
        <v>16</v>
      </c>
      <c r="O56" s="22">
        <v>1</v>
      </c>
      <c r="P56" s="153">
        <f>IF(M56="",0,INT(1+((N56-M56)/O56)))</f>
        <v>15</v>
      </c>
      <c r="Q56" s="536">
        <f>L54*L55*P56</f>
        <v>915.3</v>
      </c>
      <c r="R56" s="667">
        <f>Q56/15</f>
        <v>61.019999999999996</v>
      </c>
      <c r="S56" s="980">
        <f>S54*S55</f>
        <v>42.713999999999999</v>
      </c>
      <c r="T56" s="22">
        <v>2</v>
      </c>
      <c r="U56" s="22">
        <v>16</v>
      </c>
      <c r="V56" s="22">
        <v>1</v>
      </c>
      <c r="W56" s="153">
        <f>IF(T56="",0,INT(1+((U56-T56)/V56)))</f>
        <v>15</v>
      </c>
      <c r="X56" s="536">
        <f>S54*S55*W56</f>
        <v>640.71</v>
      </c>
      <c r="Y56" s="667">
        <f>X56/15</f>
        <v>42.714000000000006</v>
      </c>
      <c r="Z56" s="980">
        <f>Z54*Z55</f>
        <v>45.764999999999993</v>
      </c>
      <c r="AA56" s="22">
        <v>2</v>
      </c>
      <c r="AB56" s="22">
        <v>16</v>
      </c>
      <c r="AC56" s="22">
        <v>1</v>
      </c>
      <c r="AD56" s="153">
        <f>IF(AA56="",0,INT(1+((AB56-AA56)/AC56)))</f>
        <v>15</v>
      </c>
      <c r="AE56" s="536">
        <f>Z54*Z55*AD56</f>
        <v>686.47499999999991</v>
      </c>
      <c r="AF56" s="667">
        <f>AE56/15</f>
        <v>45.764999999999993</v>
      </c>
    </row>
    <row r="57" spans="2:32" x14ac:dyDescent="0.3">
      <c r="B57" s="16"/>
      <c r="C57" s="28" t="s">
        <v>507</v>
      </c>
      <c r="D57" s="157" t="s">
        <v>569</v>
      </c>
      <c r="E57" s="626"/>
      <c r="F57" s="640"/>
      <c r="G57" s="640"/>
      <c r="H57" s="410"/>
      <c r="I57" s="640"/>
      <c r="J57" s="615"/>
      <c r="K57" s="616">
        <f>K58/K10</f>
        <v>3.4316959134615379</v>
      </c>
      <c r="L57" s="626"/>
      <c r="M57" s="640"/>
      <c r="N57" s="640"/>
      <c r="O57" s="410"/>
      <c r="P57" s="640"/>
      <c r="Q57" s="615"/>
      <c r="R57" s="616">
        <f>R58/R10</f>
        <v>11.171467995185987</v>
      </c>
      <c r="S57" s="626"/>
      <c r="T57" s="640"/>
      <c r="U57" s="640"/>
      <c r="V57" s="410"/>
      <c r="W57" s="640"/>
      <c r="X57" s="615"/>
      <c r="Y57" s="616">
        <f>Y58/Y10</f>
        <v>18.514341451103245</v>
      </c>
      <c r="Z57" s="626"/>
      <c r="AA57" s="640"/>
      <c r="AB57" s="640"/>
      <c r="AC57" s="410"/>
      <c r="AD57" s="640"/>
      <c r="AE57" s="615"/>
      <c r="AF57" s="616">
        <f>AF58/AF10</f>
        <v>13.871778477186043</v>
      </c>
    </row>
    <row r="58" spans="2:32" x14ac:dyDescent="0.3">
      <c r="B58" s="16"/>
      <c r="C58" s="31"/>
      <c r="D58" s="34" t="s">
        <v>567</v>
      </c>
      <c r="E58" s="642"/>
      <c r="F58" s="643"/>
      <c r="G58" s="643"/>
      <c r="H58" s="643"/>
      <c r="I58" s="643"/>
      <c r="J58" s="619">
        <f>J50+J53+J56</f>
        <v>1142.0683999999999</v>
      </c>
      <c r="K58" s="644">
        <f>J58/'Energy Inputs'!$E$16</f>
        <v>71.379274999999993</v>
      </c>
      <c r="L58" s="642"/>
      <c r="M58" s="643"/>
      <c r="N58" s="643"/>
      <c r="O58" s="643"/>
      <c r="P58" s="643"/>
      <c r="Q58" s="619">
        <f>Q50+Q53+Q56</f>
        <v>1995.7268999999999</v>
      </c>
      <c r="R58" s="644">
        <f>Q58/'Energy Inputs'!$E$16</f>
        <v>124.73293124999999</v>
      </c>
      <c r="S58" s="642"/>
      <c r="T58" s="643"/>
      <c r="U58" s="643"/>
      <c r="V58" s="643"/>
      <c r="W58" s="643"/>
      <c r="X58" s="619">
        <f>X50+X53+X56</f>
        <v>2745.4254000000001</v>
      </c>
      <c r="Y58" s="644">
        <f>X58/'Energy Inputs'!$F$16</f>
        <v>171.58908750000001</v>
      </c>
      <c r="Z58" s="642"/>
      <c r="AA58" s="643"/>
      <c r="AB58" s="643"/>
      <c r="AC58" s="643"/>
      <c r="AD58" s="643"/>
      <c r="AE58" s="619">
        <f>AE50+AE53+AE56</f>
        <v>3012.2183999999997</v>
      </c>
      <c r="AF58" s="644">
        <f>AE58/'Energy Inputs'!$G$16</f>
        <v>188.26364999999998</v>
      </c>
    </row>
    <row r="59" spans="2:32" x14ac:dyDescent="0.3">
      <c r="B59" s="16"/>
      <c r="C59" s="33" t="s">
        <v>177</v>
      </c>
      <c r="D59" s="30" t="s">
        <v>567</v>
      </c>
      <c r="E59" s="634">
        <f>'Energy Inputs'!$D$95</f>
        <v>475</v>
      </c>
      <c r="F59" s="166">
        <v>2</v>
      </c>
      <c r="G59" s="166">
        <v>16</v>
      </c>
      <c r="H59" s="166">
        <v>2</v>
      </c>
      <c r="I59" s="166">
        <f>IF(F59="",0,INT(1+((G59-F59)/H59)))</f>
        <v>8</v>
      </c>
      <c r="J59" s="532">
        <f>I59*E59</f>
        <v>3800</v>
      </c>
      <c r="K59" s="660">
        <f>J59/15</f>
        <v>253.33333333333334</v>
      </c>
      <c r="L59" s="659"/>
      <c r="M59" s="166"/>
      <c r="N59" s="166"/>
      <c r="O59" s="166"/>
      <c r="P59" s="166"/>
      <c r="Q59" s="532"/>
      <c r="R59" s="660"/>
      <c r="S59" s="634">
        <f>'Energy Inputs'!$F$95</f>
        <v>112.99999999999999</v>
      </c>
      <c r="T59" s="166">
        <v>1</v>
      </c>
      <c r="U59" s="166">
        <v>15</v>
      </c>
      <c r="V59" s="166">
        <v>1</v>
      </c>
      <c r="W59" s="166">
        <f>IF(T59="",0,INT(1+((U59-T59)/V59)))</f>
        <v>15</v>
      </c>
      <c r="X59" s="532">
        <f>W59*S59</f>
        <v>1694.9999999999998</v>
      </c>
      <c r="Y59" s="660">
        <f>X59/15</f>
        <v>112.99999999999999</v>
      </c>
      <c r="Z59" s="659"/>
      <c r="AA59" s="166"/>
      <c r="AB59" s="166"/>
      <c r="AC59" s="166"/>
      <c r="AD59" s="166"/>
      <c r="AE59" s="532"/>
      <c r="AF59" s="660"/>
    </row>
    <row r="60" spans="2:32" x14ac:dyDescent="0.3">
      <c r="B60" s="16"/>
      <c r="C60" s="33" t="s">
        <v>462</v>
      </c>
      <c r="D60" s="30" t="s">
        <v>567</v>
      </c>
      <c r="E60" s="659"/>
      <c r="F60" s="166"/>
      <c r="G60" s="166"/>
      <c r="H60" s="166"/>
      <c r="I60" s="166"/>
      <c r="J60" s="532"/>
      <c r="K60" s="660"/>
      <c r="L60" s="634">
        <f>'Energy Inputs'!$E$96</f>
        <v>270.5</v>
      </c>
      <c r="M60" s="166">
        <v>2</v>
      </c>
      <c r="N60" s="166">
        <v>16</v>
      </c>
      <c r="O60" s="166">
        <v>1</v>
      </c>
      <c r="P60" s="166">
        <f>IF(M60="",0,INT(1+((N60-M60)/O60)))</f>
        <v>15</v>
      </c>
      <c r="Q60" s="532">
        <f>P60*L60</f>
        <v>4057.5</v>
      </c>
      <c r="R60" s="660">
        <f>Q60/15</f>
        <v>270.5</v>
      </c>
      <c r="S60" s="659"/>
      <c r="T60" s="166"/>
      <c r="U60" s="166"/>
      <c r="V60" s="166"/>
      <c r="W60" s="166"/>
      <c r="X60" s="532"/>
      <c r="Y60" s="660"/>
      <c r="Z60" s="659"/>
      <c r="AA60" s="166"/>
      <c r="AB60" s="166"/>
      <c r="AC60" s="166"/>
      <c r="AD60" s="166"/>
      <c r="AE60" s="532"/>
      <c r="AF60" s="660"/>
    </row>
    <row r="61" spans="2:32" x14ac:dyDescent="0.3">
      <c r="B61" s="16"/>
      <c r="C61" s="32" t="s">
        <v>463</v>
      </c>
      <c r="D61" s="30" t="s">
        <v>567</v>
      </c>
      <c r="E61" s="659"/>
      <c r="F61" s="166"/>
      <c r="G61" s="166"/>
      <c r="H61" s="166"/>
      <c r="I61" s="166"/>
      <c r="J61" s="532"/>
      <c r="K61" s="660"/>
      <c r="L61" s="659"/>
      <c r="M61" s="166"/>
      <c r="N61" s="166"/>
      <c r="O61" s="166"/>
      <c r="P61" s="166"/>
      <c r="Q61" s="532"/>
      <c r="R61" s="660"/>
      <c r="S61" s="659"/>
      <c r="T61" s="166"/>
      <c r="U61" s="166"/>
      <c r="V61" s="166"/>
      <c r="W61" s="166"/>
      <c r="X61" s="532"/>
      <c r="Y61" s="660"/>
      <c r="Z61" s="634">
        <f>'Energy Inputs'!$G$97</f>
        <v>197.74999999999997</v>
      </c>
      <c r="AA61" s="166">
        <v>2</v>
      </c>
      <c r="AB61" s="166">
        <v>16</v>
      </c>
      <c r="AC61" s="166">
        <v>1</v>
      </c>
      <c r="AD61" s="166">
        <f>IF(AA61="",0,INT(1+((AB61-AA61)/AC61)))</f>
        <v>15</v>
      </c>
      <c r="AE61" s="532">
        <f>AD61*Z61</f>
        <v>2966.2499999999995</v>
      </c>
      <c r="AF61" s="660">
        <f>AE61/15</f>
        <v>197.74999999999997</v>
      </c>
    </row>
    <row r="62" spans="2:32" x14ac:dyDescent="0.3">
      <c r="B62" s="7"/>
      <c r="C62" s="125" t="s">
        <v>464</v>
      </c>
      <c r="D62" s="23" t="s">
        <v>569</v>
      </c>
      <c r="E62" s="659"/>
      <c r="F62" s="166"/>
      <c r="G62" s="166"/>
      <c r="H62" s="166"/>
      <c r="I62" s="166"/>
      <c r="J62" s="532"/>
      <c r="K62" s="660"/>
      <c r="L62" s="666"/>
      <c r="M62" s="153"/>
      <c r="N62" s="153"/>
      <c r="O62" s="153"/>
      <c r="P62" s="153"/>
      <c r="Q62" s="536"/>
      <c r="R62" s="667"/>
      <c r="S62" s="666"/>
      <c r="T62" s="153"/>
      <c r="U62" s="153"/>
      <c r="V62" s="153"/>
      <c r="W62" s="153"/>
      <c r="X62" s="536"/>
      <c r="Y62" s="667"/>
      <c r="Z62" s="666"/>
      <c r="AA62" s="153"/>
      <c r="AB62" s="153"/>
      <c r="AC62" s="153"/>
      <c r="AD62" s="153"/>
      <c r="AE62" s="536"/>
      <c r="AF62" s="667"/>
    </row>
    <row r="63" spans="2:32" x14ac:dyDescent="0.3">
      <c r="B63" s="175" t="s">
        <v>86</v>
      </c>
      <c r="C63" s="35"/>
      <c r="D63" s="18" t="s">
        <v>569</v>
      </c>
      <c r="E63" s="647"/>
      <c r="F63" s="648"/>
      <c r="G63" s="648"/>
      <c r="H63" s="648"/>
      <c r="I63" s="648"/>
      <c r="J63" s="649"/>
      <c r="K63" s="650">
        <f>K64/K10</f>
        <v>17.060720102564101</v>
      </c>
      <c r="L63" s="651"/>
      <c r="M63" s="648"/>
      <c r="N63" s="648"/>
      <c r="O63" s="648"/>
      <c r="P63" s="648"/>
      <c r="Q63" s="649"/>
      <c r="R63" s="650">
        <f>R64/R10</f>
        <v>39.285520281377423</v>
      </c>
      <c r="S63" s="651"/>
      <c r="T63" s="648"/>
      <c r="U63" s="648"/>
      <c r="V63" s="648"/>
      <c r="W63" s="648"/>
      <c r="X63" s="649"/>
      <c r="Y63" s="650">
        <f>Y64/Y10</f>
        <v>36.71386538298777</v>
      </c>
      <c r="Z63" s="651"/>
      <c r="AA63" s="648"/>
      <c r="AB63" s="648"/>
      <c r="AC63" s="648"/>
      <c r="AD63" s="648"/>
      <c r="AE63" s="649"/>
      <c r="AF63" s="650">
        <f>AF64/AF10</f>
        <v>32.514756015030372</v>
      </c>
    </row>
    <row r="64" spans="2:32" x14ac:dyDescent="0.3">
      <c r="B64" s="82"/>
      <c r="C64" s="36"/>
      <c r="D64" s="179" t="s">
        <v>567</v>
      </c>
      <c r="E64" s="652"/>
      <c r="F64" s="653"/>
      <c r="G64" s="653"/>
      <c r="H64" s="653"/>
      <c r="I64" s="653"/>
      <c r="J64" s="654">
        <f>SUM(J43:J47)+J58+SUM(J59:J62)</f>
        <v>5322.9446719999996</v>
      </c>
      <c r="K64" s="655">
        <f>SUM(K43:K56)+SUM(K59:K62)</f>
        <v>354.86297813333334</v>
      </c>
      <c r="L64" s="656"/>
      <c r="M64" s="653"/>
      <c r="N64" s="653"/>
      <c r="O64" s="653"/>
      <c r="P64" s="653"/>
      <c r="Q64" s="654">
        <f>SUM(Q43:Q47)+Q58+SUM(Q59:Q62)</f>
        <v>6579.5266599999995</v>
      </c>
      <c r="R64" s="655">
        <f>SUM(R43:R56)+SUM(R59:R62)</f>
        <v>438.63511066666666</v>
      </c>
      <c r="S64" s="656"/>
      <c r="T64" s="653"/>
      <c r="U64" s="653"/>
      <c r="V64" s="653"/>
      <c r="W64" s="653"/>
      <c r="X64" s="654">
        <f>SUM(X43:X47)+X58+SUM(X59:X62)</f>
        <v>5103.9071599999997</v>
      </c>
      <c r="Y64" s="655">
        <f>SUM(Y43:Y56)+SUM(Y59:Y62)</f>
        <v>340.26047733333331</v>
      </c>
      <c r="Z64" s="656"/>
      <c r="AA64" s="653"/>
      <c r="AB64" s="653"/>
      <c r="AC64" s="653"/>
      <c r="AD64" s="653"/>
      <c r="AE64" s="654">
        <f>SUM(AE43:AE47)+AE58+SUM(AE59:AE62)</f>
        <v>6641.9501599999985</v>
      </c>
      <c r="AF64" s="655">
        <f>SUM(AF43:AF56)+SUM(AF59:AF62)</f>
        <v>441.28059399999995</v>
      </c>
    </row>
    <row r="65" spans="2:32" x14ac:dyDescent="0.3">
      <c r="B65" s="95" t="s">
        <v>261</v>
      </c>
      <c r="C65" s="177" t="s">
        <v>252</v>
      </c>
      <c r="D65" s="20" t="s">
        <v>567</v>
      </c>
      <c r="E65" s="646">
        <f>'Energy Inputs'!$D$98</f>
        <v>500</v>
      </c>
      <c r="F65" s="153">
        <v>16</v>
      </c>
      <c r="G65" s="153">
        <v>16</v>
      </c>
      <c r="H65" s="153">
        <v>1</v>
      </c>
      <c r="I65" s="153">
        <f>IF(F65="",0,INT(1+((G65-F65)/H65)))</f>
        <v>1</v>
      </c>
      <c r="J65" s="536">
        <f>I65*E65</f>
        <v>500</v>
      </c>
      <c r="K65" s="625">
        <f>J65/'Energy Inputs'!$D$16</f>
        <v>50</v>
      </c>
      <c r="L65" s="646">
        <f>'Energy Inputs'!$E$98</f>
        <v>192.1</v>
      </c>
      <c r="M65" s="153">
        <v>16</v>
      </c>
      <c r="N65" s="153">
        <v>16</v>
      </c>
      <c r="O65" s="153">
        <v>1</v>
      </c>
      <c r="P65" s="153">
        <f>IF(M65="",0,INT(1+((N65-M65)/O65)))</f>
        <v>1</v>
      </c>
      <c r="Q65" s="536">
        <f>P65*L65</f>
        <v>192.1</v>
      </c>
      <c r="R65" s="625">
        <f>Q65/'Energy Inputs'!$E$16</f>
        <v>12.00625</v>
      </c>
      <c r="S65" s="646">
        <f>'Energy Inputs'!$F$98</f>
        <v>192.1</v>
      </c>
      <c r="T65" s="153">
        <v>16</v>
      </c>
      <c r="U65" s="153">
        <v>16</v>
      </c>
      <c r="V65" s="153">
        <v>1</v>
      </c>
      <c r="W65" s="153">
        <f>IF(T65="",0,INT(1+((U65-T65)/V65)))</f>
        <v>1</v>
      </c>
      <c r="X65" s="536">
        <f>W65*S65</f>
        <v>192.1</v>
      </c>
      <c r="Y65" s="625">
        <f>X65/'Energy Inputs'!$F$16</f>
        <v>12.00625</v>
      </c>
      <c r="Z65" s="646">
        <f>'Energy Inputs'!$G$98</f>
        <v>192.1</v>
      </c>
      <c r="AA65" s="153">
        <v>16</v>
      </c>
      <c r="AB65" s="153">
        <v>16</v>
      </c>
      <c r="AC65" s="153">
        <v>1</v>
      </c>
      <c r="AD65" s="153">
        <f>IF(AA65="",0,INT(1+((AB65-AA65)/AC65)))</f>
        <v>1</v>
      </c>
      <c r="AE65" s="536">
        <f>AD65*Z65</f>
        <v>192.1</v>
      </c>
      <c r="AF65" s="625">
        <f>AE65/'Energy Inputs'!$G$16</f>
        <v>12.00625</v>
      </c>
    </row>
    <row r="66" spans="2:32" x14ac:dyDescent="0.3">
      <c r="B66" s="175" t="s">
        <v>262</v>
      </c>
      <c r="C66" s="35"/>
      <c r="D66" s="18" t="s">
        <v>569</v>
      </c>
      <c r="E66" s="663"/>
      <c r="F66" s="166"/>
      <c r="G66" s="166"/>
      <c r="H66" s="166"/>
      <c r="I66" s="166"/>
      <c r="J66" s="532"/>
      <c r="K66" s="660">
        <f>K67/K10</f>
        <v>2.4038461538461537</v>
      </c>
      <c r="L66" s="663"/>
      <c r="M66" s="166"/>
      <c r="N66" s="166"/>
      <c r="O66" s="166"/>
      <c r="P66" s="166"/>
      <c r="Q66" s="532"/>
      <c r="R66" s="660">
        <f>R67/R10</f>
        <v>1.075316969408604</v>
      </c>
      <c r="S66" s="663"/>
      <c r="T66" s="166"/>
      <c r="U66" s="166"/>
      <c r="V66" s="166"/>
      <c r="W66" s="166"/>
      <c r="X66" s="532"/>
      <c r="Y66" s="660">
        <f>Y67/Y10</f>
        <v>1.2954659022084276</v>
      </c>
      <c r="Z66" s="663"/>
      <c r="AA66" s="166"/>
      <c r="AB66" s="166"/>
      <c r="AC66" s="166"/>
      <c r="AD66" s="166"/>
      <c r="AE66" s="532"/>
      <c r="AF66" s="660">
        <f>AF67/AF10</f>
        <v>0.88465319960446398</v>
      </c>
    </row>
    <row r="67" spans="2:32" x14ac:dyDescent="0.3">
      <c r="B67" s="32"/>
      <c r="C67" s="177"/>
      <c r="D67" s="20" t="s">
        <v>567</v>
      </c>
      <c r="E67" s="668"/>
      <c r="F67" s="166"/>
      <c r="G67" s="166"/>
      <c r="H67" s="166"/>
      <c r="I67" s="166"/>
      <c r="J67" s="669">
        <f>J65</f>
        <v>500</v>
      </c>
      <c r="K67" s="670">
        <f>K65</f>
        <v>50</v>
      </c>
      <c r="L67" s="668"/>
      <c r="M67" s="166"/>
      <c r="N67" s="166"/>
      <c r="O67" s="166"/>
      <c r="P67" s="166"/>
      <c r="Q67" s="669">
        <f>Q65</f>
        <v>192.1</v>
      </c>
      <c r="R67" s="670">
        <f>R65</f>
        <v>12.00625</v>
      </c>
      <c r="S67" s="668"/>
      <c r="T67" s="166"/>
      <c r="U67" s="166"/>
      <c r="V67" s="166"/>
      <c r="W67" s="166"/>
      <c r="X67" s="669">
        <f>X65</f>
        <v>192.1</v>
      </c>
      <c r="Y67" s="670">
        <f>Y65</f>
        <v>12.00625</v>
      </c>
      <c r="Z67" s="668"/>
      <c r="AA67" s="166"/>
      <c r="AB67" s="166"/>
      <c r="AC67" s="166"/>
      <c r="AD67" s="166"/>
      <c r="AE67" s="669">
        <f>AE65</f>
        <v>192.1</v>
      </c>
      <c r="AF67" s="670">
        <f>AF65</f>
        <v>12.00625</v>
      </c>
    </row>
    <row r="68" spans="2:32" x14ac:dyDescent="0.3">
      <c r="B68" s="178" t="s">
        <v>87</v>
      </c>
      <c r="C68" s="311"/>
      <c r="D68" s="18" t="s">
        <v>569</v>
      </c>
      <c r="E68" s="671"/>
      <c r="F68" s="99"/>
      <c r="G68" s="99"/>
      <c r="H68" s="99"/>
      <c r="I68" s="99"/>
      <c r="J68" s="538"/>
      <c r="K68" s="662">
        <f>K69/K10</f>
        <v>28.309023711538462</v>
      </c>
      <c r="L68" s="671"/>
      <c r="M68" s="99"/>
      <c r="N68" s="99"/>
      <c r="O68" s="99"/>
      <c r="P68" s="99"/>
      <c r="Q68" s="538"/>
      <c r="R68" s="662">
        <f>R69/R10</f>
        <v>53.032298200341479</v>
      </c>
      <c r="S68" s="671"/>
      <c r="T68" s="99"/>
      <c r="U68" s="99"/>
      <c r="V68" s="99"/>
      <c r="W68" s="99"/>
      <c r="X68" s="538"/>
      <c r="Y68" s="662">
        <f>Y69/Y10</f>
        <v>76.825834244479324</v>
      </c>
      <c r="Z68" s="671"/>
      <c r="AA68" s="99"/>
      <c r="AB68" s="99"/>
      <c r="AC68" s="99"/>
      <c r="AD68" s="99"/>
      <c r="AE68" s="538"/>
      <c r="AF68" s="662">
        <f>AF69/AF10</f>
        <v>46.215940941074543</v>
      </c>
    </row>
    <row r="69" spans="2:32" x14ac:dyDescent="0.3">
      <c r="B69" s="629"/>
      <c r="C69" s="312"/>
      <c r="D69" s="179" t="s">
        <v>567</v>
      </c>
      <c r="E69" s="672"/>
      <c r="F69" s="100"/>
      <c r="G69" s="100"/>
      <c r="H69" s="100"/>
      <c r="I69" s="100"/>
      <c r="J69" s="540">
        <f>J42+J64+J67</f>
        <v>7710.1780060000001</v>
      </c>
      <c r="K69" s="673">
        <f>K42+K64+K67</f>
        <v>588.8276932</v>
      </c>
      <c r="L69" s="672"/>
      <c r="M69" s="100"/>
      <c r="N69" s="100"/>
      <c r="O69" s="100"/>
      <c r="P69" s="100"/>
      <c r="Q69" s="540">
        <f>Q42+Q64+Q67</f>
        <v>9026.4499039999992</v>
      </c>
      <c r="R69" s="673">
        <f>R42+R64+R67</f>
        <v>592.12218199999995</v>
      </c>
      <c r="S69" s="672"/>
      <c r="T69" s="100"/>
      <c r="U69" s="100"/>
      <c r="V69" s="100"/>
      <c r="W69" s="100"/>
      <c r="X69" s="540">
        <f>X42+X64+X67</f>
        <v>11039.765504000001</v>
      </c>
      <c r="Y69" s="673">
        <f>Y42+Y64+Y67</f>
        <v>712.01424200000008</v>
      </c>
      <c r="Z69" s="672"/>
      <c r="AA69" s="100"/>
      <c r="AB69" s="100"/>
      <c r="AC69" s="100"/>
      <c r="AD69" s="100"/>
      <c r="AE69" s="540">
        <f>AE42+AE64+AE67</f>
        <v>9603.7370039999987</v>
      </c>
      <c r="AF69" s="673">
        <f>AF42+AF64+AF67</f>
        <v>627.22899908333329</v>
      </c>
    </row>
    <row r="70" spans="2:32" x14ac:dyDescent="0.3">
      <c r="B70" s="178" t="s">
        <v>26</v>
      </c>
      <c r="C70" s="311"/>
      <c r="D70" s="18" t="s">
        <v>569</v>
      </c>
      <c r="E70" s="647"/>
      <c r="F70" s="674"/>
      <c r="G70" s="674"/>
      <c r="H70" s="674"/>
      <c r="I70" s="674"/>
      <c r="J70" s="649"/>
      <c r="K70" s="650">
        <f>K71/K10</f>
        <v>31.306360903846151</v>
      </c>
      <c r="L70" s="647"/>
      <c r="M70" s="674"/>
      <c r="N70" s="674"/>
      <c r="O70" s="674"/>
      <c r="P70" s="674"/>
      <c r="Q70" s="649"/>
      <c r="R70" s="650">
        <f>R71/R10</f>
        <v>20.273524800582152</v>
      </c>
      <c r="S70" s="647"/>
      <c r="T70" s="674"/>
      <c r="U70" s="674"/>
      <c r="V70" s="674"/>
      <c r="W70" s="674"/>
      <c r="X70" s="649"/>
      <c r="Y70" s="650">
        <f>Y71/Y10</f>
        <v>2.5309328750443449</v>
      </c>
      <c r="Z70" s="647"/>
      <c r="AA70" s="674"/>
      <c r="AB70" s="674"/>
      <c r="AC70" s="674"/>
      <c r="AD70" s="674"/>
      <c r="AE70" s="649"/>
      <c r="AF70" s="650">
        <f>AF71/AF10</f>
        <v>21.84935782993832</v>
      </c>
    </row>
    <row r="71" spans="2:32" x14ac:dyDescent="0.3">
      <c r="B71" s="629"/>
      <c r="C71" s="313"/>
      <c r="D71" s="179" t="s">
        <v>567</v>
      </c>
      <c r="E71" s="652"/>
      <c r="F71" s="675"/>
      <c r="G71" s="675"/>
      <c r="H71" s="675"/>
      <c r="I71" s="675"/>
      <c r="J71" s="654">
        <f>J18-J69</f>
        <v>4689.8219939999999</v>
      </c>
      <c r="K71" s="655">
        <f>K18-K69</f>
        <v>651.1723068</v>
      </c>
      <c r="L71" s="652"/>
      <c r="M71" s="675"/>
      <c r="N71" s="675"/>
      <c r="O71" s="675"/>
      <c r="P71" s="675"/>
      <c r="Q71" s="654">
        <f>Q18-Q69</f>
        <v>4069.2688459999972</v>
      </c>
      <c r="R71" s="655">
        <f>R18-R69</f>
        <v>226.36023987499982</v>
      </c>
      <c r="S71" s="652"/>
      <c r="T71" s="675"/>
      <c r="U71" s="675"/>
      <c r="V71" s="675"/>
      <c r="W71" s="675"/>
      <c r="X71" s="654">
        <f>X18-X69</f>
        <v>727.76534159983748</v>
      </c>
      <c r="Y71" s="655">
        <f>Y18-Y69</f>
        <v>23.456435849989816</v>
      </c>
      <c r="Z71" s="652"/>
      <c r="AA71" s="675"/>
      <c r="AB71" s="675"/>
      <c r="AC71" s="675"/>
      <c r="AD71" s="675"/>
      <c r="AE71" s="654">
        <f>AE18-AE69</f>
        <v>5176.4547137914124</v>
      </c>
      <c r="AF71" s="655">
        <f>AF18-AF69</f>
        <v>296.5329832786299</v>
      </c>
    </row>
    <row r="72" spans="2:32" x14ac:dyDescent="0.3">
      <c r="B72" s="441"/>
      <c r="C72" s="441"/>
      <c r="D72" s="441"/>
      <c r="E72" s="441"/>
      <c r="F72" s="441"/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</row>
    <row r="73" spans="2:32" x14ac:dyDescent="0.3">
      <c r="B73" s="441"/>
      <c r="C73" s="441"/>
      <c r="D73" s="441"/>
      <c r="E73" s="441"/>
      <c r="F73" s="441"/>
      <c r="G73" s="441"/>
      <c r="H73" s="441"/>
      <c r="I73" s="441"/>
      <c r="J73" s="441"/>
      <c r="K73" s="441"/>
      <c r="L73" s="441"/>
      <c r="M73" s="441"/>
      <c r="N73" s="441"/>
      <c r="O73" s="441"/>
      <c r="P73" s="441"/>
      <c r="Q73" s="441"/>
      <c r="R73" s="441"/>
      <c r="S73" s="441"/>
      <c r="T73" s="441"/>
      <c r="U73" s="441"/>
      <c r="V73" s="441"/>
      <c r="W73" s="441"/>
      <c r="X73" s="441"/>
      <c r="Y73" s="441"/>
      <c r="Z73" s="441"/>
      <c r="AA73" s="441"/>
      <c r="AB73" s="441"/>
      <c r="AC73" s="441"/>
      <c r="AD73" s="441"/>
      <c r="AE73" s="441"/>
      <c r="AF73" s="441"/>
    </row>
    <row r="74" spans="2:32" x14ac:dyDescent="0.3">
      <c r="B74" s="572"/>
      <c r="C74" s="676" t="s">
        <v>371</v>
      </c>
      <c r="D74" s="441"/>
      <c r="E74" s="441"/>
      <c r="F74" s="441"/>
      <c r="G74" s="441"/>
      <c r="H74" s="441"/>
      <c r="I74" s="441"/>
      <c r="J74" s="441"/>
      <c r="K74" s="441"/>
      <c r="L74" s="441"/>
      <c r="M74" s="441"/>
      <c r="N74" s="441"/>
      <c r="O74" s="441"/>
      <c r="P74" s="441"/>
      <c r="Q74" s="441"/>
      <c r="R74" s="441"/>
      <c r="S74" s="441"/>
      <c r="T74" s="441"/>
      <c r="U74" s="441"/>
      <c r="V74" s="441"/>
      <c r="W74" s="441"/>
      <c r="X74" s="441"/>
      <c r="Y74" s="441"/>
      <c r="Z74" s="441"/>
      <c r="AA74" s="441"/>
      <c r="AB74" s="441"/>
      <c r="AC74" s="441"/>
      <c r="AD74" s="441"/>
      <c r="AE74" s="441"/>
      <c r="AF74" s="441"/>
    </row>
    <row r="75" spans="2:32" x14ac:dyDescent="0.3">
      <c r="B75" s="571"/>
      <c r="C75" s="676" t="s">
        <v>370</v>
      </c>
      <c r="D75" s="441"/>
      <c r="E75" s="441"/>
      <c r="F75" s="441"/>
      <c r="G75" s="441"/>
      <c r="H75" s="441"/>
      <c r="I75" s="441"/>
      <c r="J75" s="441"/>
      <c r="K75" s="441"/>
      <c r="L75" s="441"/>
      <c r="M75" s="441"/>
      <c r="N75" s="441"/>
      <c r="O75" s="441"/>
      <c r="P75" s="441"/>
      <c r="Q75" s="441"/>
      <c r="R75" s="441"/>
      <c r="S75" s="441"/>
      <c r="T75" s="441"/>
      <c r="U75" s="441"/>
      <c r="V75" s="441"/>
      <c r="W75" s="441"/>
      <c r="X75" s="441"/>
      <c r="Y75" s="441"/>
      <c r="Z75" s="441"/>
      <c r="AA75" s="441"/>
      <c r="AB75" s="441"/>
      <c r="AC75" s="441"/>
      <c r="AD75" s="441"/>
      <c r="AE75" s="441"/>
      <c r="AF75" s="441"/>
    </row>
    <row r="76" spans="2:32" x14ac:dyDescent="0.3"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</row>
    <row r="77" spans="2:32" x14ac:dyDescent="0.3"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</row>
    <row r="78" spans="2:32" x14ac:dyDescent="0.3">
      <c r="B78" s="186"/>
      <c r="C78" s="24" t="s">
        <v>269</v>
      </c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</row>
    <row r="79" spans="2:32" x14ac:dyDescent="0.3"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</row>
    <row r="80" spans="2:32" x14ac:dyDescent="0.3"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</row>
    <row r="81" spans="2:32" x14ac:dyDescent="0.3"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</row>
    <row r="82" spans="2:32" x14ac:dyDescent="0.3"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</row>
    <row r="83" spans="2:32" x14ac:dyDescent="0.3"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</row>
    <row r="84" spans="2:32" x14ac:dyDescent="0.3"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</row>
    <row r="85" spans="2:32" x14ac:dyDescent="0.3"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</row>
    <row r="86" spans="2:32" x14ac:dyDescent="0.3"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</row>
    <row r="87" spans="2:32" x14ac:dyDescent="0.3"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</row>
    <row r="88" spans="2:32" x14ac:dyDescent="0.3"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</row>
    <row r="89" spans="2:32" x14ac:dyDescent="0.3"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</row>
    <row r="90" spans="2:32" x14ac:dyDescent="0.3"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</row>
    <row r="91" spans="2:32" x14ac:dyDescent="0.3"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</row>
    <row r="92" spans="2:32" x14ac:dyDescent="0.3"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</row>
    <row r="93" spans="2:32" x14ac:dyDescent="0.3"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</row>
    <row r="94" spans="2:32" x14ac:dyDescent="0.3"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</row>
    <row r="95" spans="2:32" x14ac:dyDescent="0.3"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</row>
  </sheetData>
  <mergeCells count="28">
    <mergeCell ref="V8:V9"/>
    <mergeCell ref="N8:N9"/>
    <mergeCell ref="U8:U9"/>
    <mergeCell ref="AE8:AE9"/>
    <mergeCell ref="AF8:AF9"/>
    <mergeCell ref="W8:W9"/>
    <mergeCell ref="X8:X9"/>
    <mergeCell ref="Y8:Y9"/>
    <mergeCell ref="AA8:AA9"/>
    <mergeCell ref="AC8:AC9"/>
    <mergeCell ref="AD8:AD9"/>
    <mergeCell ref="AB8:AB9"/>
    <mergeCell ref="AA7:AD7"/>
    <mergeCell ref="M8:M9"/>
    <mergeCell ref="F8:F9"/>
    <mergeCell ref="H8:H9"/>
    <mergeCell ref="I8:I9"/>
    <mergeCell ref="J8:J9"/>
    <mergeCell ref="K8:K9"/>
    <mergeCell ref="G8:G9"/>
    <mergeCell ref="F7:I7"/>
    <mergeCell ref="M7:P7"/>
    <mergeCell ref="T7:W7"/>
    <mergeCell ref="O8:O9"/>
    <mergeCell ref="P8:P9"/>
    <mergeCell ref="Q8:Q9"/>
    <mergeCell ref="R8:R9"/>
    <mergeCell ref="T8:T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X51"/>
  <sheetViews>
    <sheetView topLeftCell="A13" workbookViewId="0">
      <selection activeCell="E24" sqref="E24"/>
    </sheetView>
  </sheetViews>
  <sheetFormatPr defaultColWidth="9" defaultRowHeight="14" x14ac:dyDescent="0.3"/>
  <cols>
    <col min="2" max="2" width="32.58203125" customWidth="1"/>
    <col min="3" max="3" width="19.25" customWidth="1"/>
    <col min="5" max="9" width="11" bestFit="1" customWidth="1"/>
    <col min="13" max="13" width="33.83203125" customWidth="1"/>
  </cols>
  <sheetData>
    <row r="2" spans="1:24" ht="14.5" thickBot="1" x14ac:dyDescent="0.35">
      <c r="A2" s="366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</row>
    <row r="3" spans="1:24" ht="14.5" thickBot="1" x14ac:dyDescent="0.35">
      <c r="A3" s="366"/>
      <c r="B3" s="420" t="s">
        <v>580</v>
      </c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</row>
    <row r="4" spans="1:24" x14ac:dyDescent="0.3">
      <c r="A4" s="366"/>
      <c r="B4" s="366"/>
      <c r="C4" s="366"/>
      <c r="D4" s="366"/>
      <c r="E4" s="366"/>
      <c r="F4" s="366"/>
      <c r="G4" s="366"/>
      <c r="H4" s="366"/>
      <c r="I4" s="366"/>
      <c r="J4" s="366"/>
      <c r="K4" s="366"/>
      <c r="L4" s="366"/>
      <c r="M4" s="511"/>
      <c r="N4" s="366"/>
      <c r="O4" s="366"/>
      <c r="P4" s="366"/>
      <c r="Q4" s="366"/>
      <c r="R4" s="366"/>
      <c r="S4" s="366"/>
      <c r="T4" s="366"/>
      <c r="U4" s="366"/>
      <c r="V4" s="366"/>
      <c r="W4" s="366"/>
      <c r="X4" s="366"/>
    </row>
    <row r="5" spans="1:24" x14ac:dyDescent="0.3">
      <c r="A5" s="366"/>
      <c r="B5" s="366"/>
      <c r="C5" s="366"/>
      <c r="D5" s="366"/>
      <c r="E5" s="366"/>
      <c r="F5" s="366"/>
      <c r="G5" s="366"/>
      <c r="H5" s="366"/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</row>
    <row r="6" spans="1:24" x14ac:dyDescent="0.3">
      <c r="A6" s="366"/>
      <c r="B6" s="679" t="s">
        <v>335</v>
      </c>
      <c r="C6" s="680"/>
      <c r="D6" s="680"/>
      <c r="E6" s="680"/>
      <c r="F6" s="680"/>
      <c r="G6" s="680"/>
      <c r="H6" s="680"/>
      <c r="I6" s="681"/>
      <c r="J6" s="366"/>
      <c r="K6" s="366"/>
      <c r="L6" s="366"/>
      <c r="M6" s="679" t="s">
        <v>336</v>
      </c>
      <c r="N6" s="680"/>
      <c r="O6" s="680"/>
      <c r="P6" s="680"/>
      <c r="Q6" s="680"/>
      <c r="R6" s="680"/>
      <c r="S6" s="680"/>
      <c r="T6" s="680"/>
      <c r="U6" s="680"/>
      <c r="V6" s="680"/>
      <c r="W6" s="681"/>
      <c r="X6" s="366"/>
    </row>
    <row r="7" spans="1:24" ht="15" customHeight="1" x14ac:dyDescent="0.3">
      <c r="A7" s="366"/>
      <c r="B7" s="682"/>
      <c r="C7" s="683"/>
      <c r="D7" s="683"/>
      <c r="E7" s="684" t="str">
        <f>'Arable margins'!$E$12</f>
        <v>Wheat</v>
      </c>
      <c r="F7" s="684" t="str">
        <f>'Arable margins'!$F$12</f>
        <v>Soya</v>
      </c>
      <c r="G7" s="684" t="str">
        <f>'Arable margins'!$G$12</f>
        <v>OSR</v>
      </c>
      <c r="H7" s="684" t="str">
        <f>'Arable margins'!$H$12</f>
        <v>Sunflower</v>
      </c>
      <c r="I7" s="684" t="str">
        <f>'Arable margins'!$I$12</f>
        <v>Forage maize</v>
      </c>
      <c r="J7" s="366"/>
      <c r="K7" s="366"/>
      <c r="L7" s="366"/>
      <c r="M7" s="685"/>
      <c r="N7" s="417"/>
      <c r="O7" s="417"/>
      <c r="P7" s="686" t="str">
        <f>'Energy margins'!E6</f>
        <v>SRC</v>
      </c>
      <c r="Q7" s="687"/>
      <c r="R7" s="686" t="str">
        <f>'Energy margins'!L6</f>
        <v>Miscanthus</v>
      </c>
      <c r="S7" s="687"/>
      <c r="T7" s="688" t="str">
        <f>'Energy margins'!S6</f>
        <v>Sida</v>
      </c>
      <c r="U7" s="687"/>
      <c r="V7" s="688" t="str">
        <f>'Energy margins'!Z6</f>
        <v>Silphie</v>
      </c>
      <c r="W7" s="687"/>
      <c r="X7" s="366"/>
    </row>
    <row r="8" spans="1:24" ht="15" customHeight="1" x14ac:dyDescent="0.3">
      <c r="A8" s="366"/>
      <c r="B8" s="323" t="s">
        <v>266</v>
      </c>
      <c r="C8" s="314" t="s">
        <v>2</v>
      </c>
      <c r="D8" s="320" t="s">
        <v>569</v>
      </c>
      <c r="E8" s="343">
        <f>'Arable margins'!$E$16</f>
        <v>210</v>
      </c>
      <c r="F8" s="343">
        <f>'Arable margins'!$F$16</f>
        <v>310.75</v>
      </c>
      <c r="G8" s="343">
        <f>'Arable margins'!$G$16</f>
        <v>196.99</v>
      </c>
      <c r="H8" s="343">
        <f>'Arable margins'!$H$16</f>
        <v>235.55</v>
      </c>
      <c r="I8" s="343">
        <f>'Arable margins'!$I$16</f>
        <v>94.285714285714292</v>
      </c>
      <c r="J8" s="366"/>
      <c r="K8" s="366"/>
      <c r="L8" s="366"/>
      <c r="M8" s="418"/>
      <c r="N8" s="417"/>
      <c r="O8" s="417"/>
      <c r="P8" s="1105" t="s">
        <v>260</v>
      </c>
      <c r="Q8" s="1102" t="s">
        <v>73</v>
      </c>
      <c r="R8" s="1105" t="s">
        <v>260</v>
      </c>
      <c r="S8" s="1102" t="s">
        <v>73</v>
      </c>
      <c r="T8" s="1105" t="s">
        <v>260</v>
      </c>
      <c r="U8" s="1102" t="s">
        <v>73</v>
      </c>
      <c r="V8" s="1105" t="s">
        <v>260</v>
      </c>
      <c r="W8" s="1102" t="s">
        <v>73</v>
      </c>
      <c r="X8" s="366"/>
    </row>
    <row r="9" spans="1:24" ht="15" customHeight="1" x14ac:dyDescent="0.3">
      <c r="A9" s="366"/>
      <c r="B9" s="324"/>
      <c r="C9" s="315" t="s">
        <v>3</v>
      </c>
      <c r="D9" s="321" t="s">
        <v>569</v>
      </c>
      <c r="E9" s="344">
        <f>'Arable margins'!$E$17</f>
        <v>73.449999999999989</v>
      </c>
      <c r="F9" s="344">
        <f>'Arable margins'!$F$17</f>
        <v>0</v>
      </c>
      <c r="G9" s="344">
        <f>'Arable margins'!$G$17</f>
        <v>42.374999999999993</v>
      </c>
      <c r="H9" s="319"/>
      <c r="I9" s="319"/>
      <c r="J9" s="366"/>
      <c r="K9" s="366"/>
      <c r="L9" s="366"/>
      <c r="M9" s="418"/>
      <c r="N9" s="417"/>
      <c r="O9" s="417"/>
      <c r="P9" s="1106"/>
      <c r="Q9" s="1103"/>
      <c r="R9" s="1106"/>
      <c r="S9" s="1103"/>
      <c r="T9" s="1106"/>
      <c r="U9" s="1103"/>
      <c r="V9" s="1106"/>
      <c r="W9" s="1103"/>
      <c r="X9" s="366"/>
    </row>
    <row r="10" spans="1:24" ht="15" customHeight="1" x14ac:dyDescent="0.3">
      <c r="A10" s="366"/>
      <c r="B10" s="324"/>
      <c r="C10" s="314" t="s">
        <v>2</v>
      </c>
      <c r="D10" s="322" t="s">
        <v>567</v>
      </c>
      <c r="E10" s="343">
        <f>'Arable margins'!$E$16*'Arable margins'!$E$13</f>
        <v>1155</v>
      </c>
      <c r="F10" s="343">
        <f>'Arable margins'!$F$16*'Arable margins'!$F$13</f>
        <v>963.32500000000005</v>
      </c>
      <c r="G10" s="343">
        <f>'Arable margins'!$G$16*'Arable margins'!$G$13</f>
        <v>512.17400000000009</v>
      </c>
      <c r="H10" s="343">
        <f>'Arable margins'!$H$16*'Arable margins'!$H$13</f>
        <v>494.65500000000003</v>
      </c>
      <c r="I10" s="343">
        <f>'Arable margins'!$I$16*'Arable margins'!$I$13</f>
        <v>886.28571428571433</v>
      </c>
      <c r="J10" s="366"/>
      <c r="K10" s="366"/>
      <c r="L10" s="366"/>
      <c r="M10" s="689"/>
      <c r="N10" s="417"/>
      <c r="O10" s="417"/>
      <c r="P10" s="1107"/>
      <c r="Q10" s="1104"/>
      <c r="R10" s="1107"/>
      <c r="S10" s="1104"/>
      <c r="T10" s="1107"/>
      <c r="U10" s="1104"/>
      <c r="V10" s="1107"/>
      <c r="W10" s="1104"/>
      <c r="X10" s="366"/>
    </row>
    <row r="11" spans="1:24" ht="15" customHeight="1" x14ac:dyDescent="0.3">
      <c r="A11" s="366"/>
      <c r="B11" s="324"/>
      <c r="C11" s="315" t="s">
        <v>3</v>
      </c>
      <c r="D11" s="322" t="s">
        <v>567</v>
      </c>
      <c r="E11" s="344">
        <f>'Arable margins'!$E$17*'Arable margins'!$E$14</f>
        <v>286.45499999999993</v>
      </c>
      <c r="F11" s="344">
        <f>'Arable margins'!$F$17*'Arable margins'!$F$14</f>
        <v>0</v>
      </c>
      <c r="G11" s="344">
        <f>'Arable margins'!$G$17*'Arable margins'!$G$14</f>
        <v>110.17499999999998</v>
      </c>
      <c r="H11" s="319"/>
      <c r="I11" s="319"/>
      <c r="J11" s="366"/>
      <c r="K11" s="366"/>
      <c r="L11" s="366"/>
      <c r="M11" s="184" t="s">
        <v>266</v>
      </c>
      <c r="N11" s="187"/>
      <c r="O11" s="117" t="s">
        <v>569</v>
      </c>
      <c r="P11" s="690"/>
      <c r="Q11" s="691">
        <f>'Energy margins'!$E$12</f>
        <v>43.75</v>
      </c>
      <c r="R11" s="692"/>
      <c r="S11" s="691">
        <f>'Energy margins'!$L$12</f>
        <v>43.75</v>
      </c>
      <c r="T11" s="692"/>
      <c r="U11" s="691">
        <f>'Energy margins'!$S$12</f>
        <v>43.75</v>
      </c>
      <c r="V11" s="692"/>
      <c r="W11" s="691">
        <f>'Energy margins'!$Z$12</f>
        <v>43.75</v>
      </c>
      <c r="X11" s="366"/>
    </row>
    <row r="12" spans="1:24" ht="15" customHeight="1" x14ac:dyDescent="0.3">
      <c r="A12" s="366"/>
      <c r="B12" s="693"/>
      <c r="C12" s="331" t="s">
        <v>9</v>
      </c>
      <c r="D12" s="333" t="s">
        <v>567</v>
      </c>
      <c r="E12" s="694">
        <f>E10+E11</f>
        <v>1441.4549999999999</v>
      </c>
      <c r="F12" s="694">
        <f>F10+F11</f>
        <v>963.32500000000005</v>
      </c>
      <c r="G12" s="694">
        <f>G10+G11</f>
        <v>622.34900000000005</v>
      </c>
      <c r="H12" s="694">
        <f>H10+H11</f>
        <v>494.65500000000003</v>
      </c>
      <c r="I12" s="694">
        <f>I10+I11</f>
        <v>886.28571428571433</v>
      </c>
      <c r="J12" s="366"/>
      <c r="K12" s="366"/>
      <c r="L12" s="366"/>
      <c r="M12" s="695"/>
      <c r="N12" s="190"/>
      <c r="O12" s="351" t="s">
        <v>567</v>
      </c>
      <c r="P12" s="696">
        <f>'Energy margins'!$J$14</f>
        <v>9100</v>
      </c>
      <c r="Q12" s="696">
        <f>'Energy margins'!$K$14</f>
        <v>910</v>
      </c>
      <c r="R12" s="696">
        <f>'Energy margins'!$Q$14</f>
        <v>7815.7187499999964</v>
      </c>
      <c r="S12" s="696">
        <f>'Energy margins'!$R$14</f>
        <v>488.48242187499977</v>
      </c>
      <c r="T12" s="696">
        <f>'Energy margins'!$X$14</f>
        <v>6487.5308455998393</v>
      </c>
      <c r="U12" s="696">
        <f>'Energy margins'!$Y$14</f>
        <v>405.47067784998995</v>
      </c>
      <c r="V12" s="696">
        <f>'Energy margins'!$AE$14</f>
        <v>9500.1917177914111</v>
      </c>
      <c r="W12" s="696">
        <f>'Energy margins'!$AF$14</f>
        <v>593.76198236196319</v>
      </c>
      <c r="X12" s="366"/>
    </row>
    <row r="13" spans="1:24" ht="15" customHeight="1" x14ac:dyDescent="0.3">
      <c r="A13" s="366"/>
      <c r="B13" s="325" t="str">
        <f>'Arable margins'!C18</f>
        <v>CAP</v>
      </c>
      <c r="C13" s="316"/>
      <c r="D13" s="333" t="s">
        <v>567</v>
      </c>
      <c r="E13" s="697">
        <f>'Arable margins'!$E$18</f>
        <v>330</v>
      </c>
      <c r="F13" s="697">
        <f>'Arable margins'!$F$18</f>
        <v>330</v>
      </c>
      <c r="G13" s="697">
        <f>'Arable margins'!$G$18</f>
        <v>330</v>
      </c>
      <c r="H13" s="697">
        <f>'Arable margins'!$H$18</f>
        <v>330</v>
      </c>
      <c r="I13" s="697">
        <f>'Arable margins'!$I$18</f>
        <v>330</v>
      </c>
      <c r="J13" s="366"/>
      <c r="K13" s="366"/>
      <c r="L13" s="366"/>
      <c r="M13" s="189" t="str">
        <f>'Energy margins'!C15</f>
        <v>Planting subsidy</v>
      </c>
      <c r="N13" s="698"/>
      <c r="O13" s="774" t="s">
        <v>567</v>
      </c>
      <c r="P13" s="699">
        <f>'Energy margins'!$J$15</f>
        <v>0</v>
      </c>
      <c r="Q13" s="699">
        <f>'Energy margins'!$K$15</f>
        <v>0</v>
      </c>
      <c r="R13" s="700">
        <f>'Energy margins'!$Q$15</f>
        <v>0</v>
      </c>
      <c r="S13" s="701">
        <f>'Energy margins'!$R$15</f>
        <v>0</v>
      </c>
      <c r="T13" s="701">
        <f>'Energy margins'!$X$15</f>
        <v>0</v>
      </c>
      <c r="U13" s="701">
        <f>'Energy margins'!$Y$15</f>
        <v>0</v>
      </c>
      <c r="V13" s="701">
        <f>'Energy margins'!$AE$15</f>
        <v>0</v>
      </c>
      <c r="W13" s="701">
        <f>'Energy margins'!$AF$15</f>
        <v>0</v>
      </c>
      <c r="X13" s="366"/>
    </row>
    <row r="14" spans="1:24" ht="15" customHeight="1" x14ac:dyDescent="0.3">
      <c r="A14" s="366"/>
      <c r="B14" s="323" t="s">
        <v>673</v>
      </c>
      <c r="C14" s="317" t="s">
        <v>2</v>
      </c>
      <c r="D14" s="320" t="s">
        <v>569</v>
      </c>
      <c r="E14" s="343">
        <f>'Arable margins'!$E$19</f>
        <v>270</v>
      </c>
      <c r="F14" s="343">
        <f>'Arable margins'!$F$19</f>
        <v>417.20161290322579</v>
      </c>
      <c r="G14" s="343">
        <f>'Arable margins'!$G$19</f>
        <v>323.91307692307697</v>
      </c>
      <c r="H14" s="343">
        <f>'Arable margins'!$H$19</f>
        <v>392.69285714285712</v>
      </c>
      <c r="I14" s="343">
        <f>'Arable margins'!$I$19</f>
        <v>129.39209726443767</v>
      </c>
      <c r="J14" s="366"/>
      <c r="K14" s="366"/>
      <c r="L14" s="366"/>
      <c r="M14" s="191" t="str">
        <f>'Energy margins'!C16</f>
        <v>CAP</v>
      </c>
      <c r="N14" s="698"/>
      <c r="O14" s="350" t="s">
        <v>567</v>
      </c>
      <c r="P14" s="702">
        <f>'Energy margins'!$J$16</f>
        <v>3300</v>
      </c>
      <c r="Q14" s="702">
        <f>'Energy margins'!$K$16</f>
        <v>330</v>
      </c>
      <c r="R14" s="703">
        <f>'Energy margins'!$Q$16</f>
        <v>5280</v>
      </c>
      <c r="S14" s="704">
        <f>'Energy margins'!$R$16</f>
        <v>330</v>
      </c>
      <c r="T14" s="704">
        <f>'Energy margins'!$X$16</f>
        <v>5280</v>
      </c>
      <c r="U14" s="704">
        <f>'Energy margins'!$Y$16</f>
        <v>330</v>
      </c>
      <c r="V14" s="704">
        <f>'Energy margins'!$AE$16</f>
        <v>5280</v>
      </c>
      <c r="W14" s="704">
        <f>'Energy margins'!$AF$16</f>
        <v>330</v>
      </c>
      <c r="X14" s="366"/>
    </row>
    <row r="15" spans="1:24" ht="15" customHeight="1" x14ac:dyDescent="0.3">
      <c r="A15" s="366"/>
      <c r="B15" s="324"/>
      <c r="C15" s="317" t="s">
        <v>3</v>
      </c>
      <c r="D15" s="321" t="s">
        <v>569</v>
      </c>
      <c r="E15" s="705">
        <f>'Arable margins'!$E$20</f>
        <v>73.449999999999989</v>
      </c>
      <c r="F15" s="705">
        <f>'Arable margins'!$F$20</f>
        <v>0</v>
      </c>
      <c r="G15" s="705">
        <f>'Arable margins'!G20</f>
        <v>42.374999999999993</v>
      </c>
      <c r="H15" s="706"/>
      <c r="I15" s="706"/>
      <c r="J15" s="366"/>
      <c r="K15" s="366"/>
      <c r="L15" s="366"/>
      <c r="M15" s="707"/>
      <c r="N15" s="708"/>
      <c r="O15" s="708"/>
      <c r="P15" s="708"/>
      <c r="Q15" s="708"/>
      <c r="R15" s="708"/>
      <c r="S15" s="708"/>
      <c r="T15" s="707"/>
      <c r="U15" s="708"/>
      <c r="V15" s="708"/>
      <c r="W15" s="709"/>
      <c r="X15" s="366"/>
    </row>
    <row r="16" spans="1:24" ht="15" customHeight="1" x14ac:dyDescent="0.3">
      <c r="A16" s="366"/>
      <c r="B16" s="324"/>
      <c r="C16" s="314" t="s">
        <v>2</v>
      </c>
      <c r="D16" s="322" t="s">
        <v>567</v>
      </c>
      <c r="E16" s="344">
        <f>'Arable margins'!$E$21</f>
        <v>1485</v>
      </c>
      <c r="F16" s="344">
        <f>'Arable margins'!$F$21</f>
        <v>1293.325</v>
      </c>
      <c r="G16" s="344">
        <f>'Arable margins'!$G$21</f>
        <v>842.17400000000009</v>
      </c>
      <c r="H16" s="344">
        <f>'Arable margins'!$H$21</f>
        <v>824.65499999999997</v>
      </c>
      <c r="I16" s="344">
        <f>'Arable margins'!$I$21</f>
        <v>1216.2857142857142</v>
      </c>
      <c r="J16" s="366"/>
      <c r="K16" s="366"/>
      <c r="L16" s="366"/>
      <c r="M16" s="184" t="s">
        <v>673</v>
      </c>
      <c r="N16" s="187"/>
      <c r="O16" s="117" t="s">
        <v>569</v>
      </c>
      <c r="P16" s="692"/>
      <c r="Q16" s="691">
        <f>'Energy margins'!$K$17</f>
        <v>59.615384615384613</v>
      </c>
      <c r="R16" s="692"/>
      <c r="S16" s="691">
        <f>'Energy margins'!$R$17</f>
        <v>73.305823000923624</v>
      </c>
      <c r="T16" s="692"/>
      <c r="U16" s="691">
        <f>'Energy margins'!$Y$17</f>
        <v>79.356767119523667</v>
      </c>
      <c r="V16" s="692"/>
      <c r="W16" s="691">
        <f>'Energy margins'!$AF$17</f>
        <v>68.065298771012863</v>
      </c>
      <c r="X16" s="366"/>
    </row>
    <row r="17" spans="1:24" ht="15" customHeight="1" x14ac:dyDescent="0.3">
      <c r="A17" s="366"/>
      <c r="B17" s="324"/>
      <c r="C17" s="315" t="s">
        <v>3</v>
      </c>
      <c r="D17" s="322" t="s">
        <v>567</v>
      </c>
      <c r="E17" s="344">
        <f>'Arable margins'!$E$22</f>
        <v>286.45499999999993</v>
      </c>
      <c r="F17" s="344">
        <f>'Arable margins'!$F$22</f>
        <v>0</v>
      </c>
      <c r="G17" s="344">
        <f>'Arable margins'!$G$22</f>
        <v>110.17499999999998</v>
      </c>
      <c r="H17" s="319"/>
      <c r="I17" s="319"/>
      <c r="J17" s="366"/>
      <c r="K17" s="366"/>
      <c r="L17" s="366"/>
      <c r="M17" s="695"/>
      <c r="N17" s="188"/>
      <c r="O17" s="351" t="s">
        <v>567</v>
      </c>
      <c r="P17" s="710">
        <f>'Energy margins'!$J$18</f>
        <v>12400</v>
      </c>
      <c r="Q17" s="710">
        <f>'Energy margins'!$K$18</f>
        <v>1240</v>
      </c>
      <c r="R17" s="710">
        <f>'Energy margins'!$Q$18</f>
        <v>13095.718749999996</v>
      </c>
      <c r="S17" s="710">
        <f>'Energy margins'!$R$18</f>
        <v>818.48242187499977</v>
      </c>
      <c r="T17" s="710">
        <f>'Energy margins'!$X$18</f>
        <v>11767.530845599838</v>
      </c>
      <c r="U17" s="710">
        <f>'Energy margins'!$Y$18</f>
        <v>735.4706778499899</v>
      </c>
      <c r="V17" s="710">
        <f>'Energy margins'!$AE$18</f>
        <v>14780.191717791411</v>
      </c>
      <c r="W17" s="710">
        <f>'Energy margins'!$AF$18</f>
        <v>923.76198236196319</v>
      </c>
      <c r="X17" s="366"/>
    </row>
    <row r="18" spans="1:24" ht="15" customHeight="1" x14ac:dyDescent="0.3">
      <c r="A18" s="366"/>
      <c r="B18" s="693"/>
      <c r="C18" s="331" t="s">
        <v>9</v>
      </c>
      <c r="D18" s="333" t="s">
        <v>567</v>
      </c>
      <c r="E18" s="346">
        <f>'Arable margins'!$E$23</f>
        <v>1771.4549999999999</v>
      </c>
      <c r="F18" s="346">
        <f>'Arable margins'!$F$23</f>
        <v>1293.325</v>
      </c>
      <c r="G18" s="346">
        <f>'Arable margins'!$G$23</f>
        <v>952.34900000000005</v>
      </c>
      <c r="H18" s="346">
        <f>'Arable margins'!$H$23</f>
        <v>824.65499999999997</v>
      </c>
      <c r="I18" s="346">
        <f>'Arable margins'!$I$23</f>
        <v>1216.2857142857142</v>
      </c>
      <c r="J18" s="366"/>
      <c r="K18" s="366"/>
      <c r="L18" s="366"/>
      <c r="M18" s="711"/>
      <c r="N18" s="712"/>
      <c r="O18" s="712"/>
      <c r="P18" s="712"/>
      <c r="Q18" s="712"/>
      <c r="R18" s="712"/>
      <c r="S18" s="712"/>
      <c r="T18" s="712"/>
      <c r="U18" s="712"/>
      <c r="V18" s="712"/>
      <c r="W18" s="713"/>
      <c r="X18" s="366"/>
    </row>
    <row r="19" spans="1:24" ht="15" customHeight="1" x14ac:dyDescent="0.3">
      <c r="A19" s="366"/>
      <c r="B19" s="714"/>
      <c r="C19" s="715"/>
      <c r="D19" s="716"/>
      <c r="E19" s="716"/>
      <c r="F19" s="716"/>
      <c r="G19" s="716"/>
      <c r="H19" s="716"/>
      <c r="I19" s="717"/>
      <c r="J19" s="366"/>
      <c r="K19" s="366"/>
      <c r="L19" s="366"/>
      <c r="M19" s="192" t="str">
        <f>'Energy margins'!B41</f>
        <v>Total establishment costs</v>
      </c>
      <c r="N19" s="115"/>
      <c r="O19" s="117" t="s">
        <v>569</v>
      </c>
      <c r="P19" s="692"/>
      <c r="Q19" s="691">
        <f>'Energy margins'!$K$41</f>
        <v>8.8444574551282038</v>
      </c>
      <c r="R19" s="692"/>
      <c r="S19" s="691">
        <f>'Energy margins'!$R$41</f>
        <v>12.671460949555454</v>
      </c>
      <c r="T19" s="692"/>
      <c r="U19" s="691">
        <f>'Energy margins'!$Y$41</f>
        <v>38.81650295928312</v>
      </c>
      <c r="V19" s="692"/>
      <c r="W19" s="691">
        <f>'Energy margins'!$AF$41</f>
        <v>12.816531726439706</v>
      </c>
      <c r="X19" s="366"/>
    </row>
    <row r="20" spans="1:24" ht="15" customHeight="1" x14ac:dyDescent="0.3">
      <c r="A20" s="366"/>
      <c r="B20" s="326" t="s">
        <v>233</v>
      </c>
      <c r="C20" s="314" t="str">
        <f>'Arable margins'!C43</f>
        <v>Main crop</v>
      </c>
      <c r="D20" s="320" t="s">
        <v>569</v>
      </c>
      <c r="E20" s="334">
        <f>'Arable margins'!$E$43</f>
        <v>110.34956478468899</v>
      </c>
      <c r="F20" s="334">
        <f>'Arable margins'!$F$43</f>
        <v>96.88000848896435</v>
      </c>
      <c r="G20" s="334">
        <f>'Arable margins'!$G$43</f>
        <v>122.11208253828551</v>
      </c>
      <c r="H20" s="334">
        <f>'Arable margins'!$H$43</f>
        <v>121.46538796992478</v>
      </c>
      <c r="I20" s="334">
        <f>'Arable margins'!I43</f>
        <v>60.288505319148925</v>
      </c>
      <c r="J20" s="366"/>
      <c r="K20" s="366"/>
      <c r="L20" s="366"/>
      <c r="M20" s="185"/>
      <c r="N20" s="116"/>
      <c r="O20" s="351" t="s">
        <v>567</v>
      </c>
      <c r="P20" s="710">
        <f>'Energy margins'!$J$42</f>
        <v>1887.233334</v>
      </c>
      <c r="Q20" s="710">
        <f>'Energy margins'!$K$42</f>
        <v>183.96471506666666</v>
      </c>
      <c r="R20" s="710">
        <f>'Energy margins'!$Q$42</f>
        <v>2254.8232439999997</v>
      </c>
      <c r="S20" s="710">
        <f>'Energy margins'!$R$42</f>
        <v>141.48082133333332</v>
      </c>
      <c r="T20" s="710">
        <f>'Energy margins'!$X$42</f>
        <v>5743.7583439999999</v>
      </c>
      <c r="U20" s="710">
        <f>'Energy margins'!$Y$42</f>
        <v>359.74751466666669</v>
      </c>
      <c r="V20" s="710">
        <f>'Energy margins'!$AE$42</f>
        <v>2769.6868439999998</v>
      </c>
      <c r="W20" s="710">
        <f>'Energy margins'!$AF$42</f>
        <v>173.94215508333335</v>
      </c>
      <c r="X20" s="366"/>
    </row>
    <row r="21" spans="1:24" ht="15" customHeight="1" x14ac:dyDescent="0.3">
      <c r="A21" s="366"/>
      <c r="B21" s="327"/>
      <c r="C21" s="318" t="str">
        <f>'Arable margins'!C44</f>
        <v>Straw</v>
      </c>
      <c r="D21" s="321" t="s">
        <v>569</v>
      </c>
      <c r="E21" s="335">
        <f>'Arable margins'!$E$44</f>
        <v>3.9549999999999996</v>
      </c>
      <c r="F21" s="335">
        <f>'Arable margins'!$F$44</f>
        <v>0</v>
      </c>
      <c r="G21" s="335">
        <f>'Arable margins'!$G$44</f>
        <v>3.9549999999999996</v>
      </c>
      <c r="H21" s="338"/>
      <c r="I21" s="338"/>
      <c r="J21" s="366"/>
      <c r="K21" s="366"/>
      <c r="L21" s="366"/>
      <c r="M21" s="192" t="str">
        <f>'Energy margins'!B63</f>
        <v>Total recurring costs</v>
      </c>
      <c r="N21" s="115"/>
      <c r="O21" s="117" t="s">
        <v>569</v>
      </c>
      <c r="P21" s="692"/>
      <c r="Q21" s="691">
        <f>'Energy margins'!$K$63</f>
        <v>17.060720102564101</v>
      </c>
      <c r="R21" s="692"/>
      <c r="S21" s="691">
        <f>'Energy margins'!$R$63</f>
        <v>39.285520281377423</v>
      </c>
      <c r="T21" s="692"/>
      <c r="U21" s="691">
        <f>'Energy margins'!$Y$63</f>
        <v>36.71386538298777</v>
      </c>
      <c r="V21" s="692"/>
      <c r="W21" s="691">
        <f>'Energy margins'!$AF$63</f>
        <v>32.514756015030372</v>
      </c>
      <c r="X21" s="366"/>
    </row>
    <row r="22" spans="1:24" ht="15" customHeight="1" x14ac:dyDescent="0.3">
      <c r="A22" s="366"/>
      <c r="B22" s="327"/>
      <c r="C22" s="314" t="str">
        <f>'Arable margins'!C45</f>
        <v>Main crop</v>
      </c>
      <c r="D22" s="322" t="s">
        <v>567</v>
      </c>
      <c r="E22" s="334">
        <f>'Arable margins'!$E$45</f>
        <v>606.92260631578949</v>
      </c>
      <c r="F22" s="334">
        <f>'Arable margins'!$F$45</f>
        <v>300.32802631578949</v>
      </c>
      <c r="G22" s="334">
        <f>'Arable margins'!$G$45</f>
        <v>317.49141459954234</v>
      </c>
      <c r="H22" s="334">
        <f>'Arable margins'!$H$45</f>
        <v>255.07731473684206</v>
      </c>
      <c r="I22" s="334">
        <f>'Arable margins'!$I$45</f>
        <v>566.71194999999989</v>
      </c>
      <c r="J22" s="366"/>
      <c r="K22" s="366"/>
      <c r="L22" s="366"/>
      <c r="M22" s="185"/>
      <c r="N22" s="116"/>
      <c r="O22" s="351" t="s">
        <v>567</v>
      </c>
      <c r="P22" s="710">
        <f>'Energy margins'!$J$64</f>
        <v>5322.9446719999996</v>
      </c>
      <c r="Q22" s="710">
        <f>'Energy margins'!$K$64</f>
        <v>354.86297813333334</v>
      </c>
      <c r="R22" s="710">
        <f>'Energy margins'!$Q$64</f>
        <v>6579.5266599999995</v>
      </c>
      <c r="S22" s="710">
        <f>'Energy margins'!$R$64</f>
        <v>438.63511066666666</v>
      </c>
      <c r="T22" s="710">
        <f>'Energy margins'!$X$64</f>
        <v>5103.9071599999997</v>
      </c>
      <c r="U22" s="710">
        <f>'Energy margins'!$Y$64</f>
        <v>340.26047733333331</v>
      </c>
      <c r="V22" s="710">
        <f>'Energy margins'!$AE$64</f>
        <v>6641.9501599999985</v>
      </c>
      <c r="W22" s="710">
        <f>'Energy margins'!$AF$64</f>
        <v>441.28059399999995</v>
      </c>
      <c r="X22" s="366"/>
    </row>
    <row r="23" spans="1:24" ht="15" customHeight="1" x14ac:dyDescent="0.3">
      <c r="A23" s="366"/>
      <c r="B23" s="327"/>
      <c r="C23" s="315" t="str">
        <f>'Arable margins'!C46</f>
        <v>Straw</v>
      </c>
      <c r="D23" s="322" t="s">
        <v>567</v>
      </c>
      <c r="E23" s="336">
        <f>'Arable margins'!$E$46</f>
        <v>15.424499999999998</v>
      </c>
      <c r="F23" s="336">
        <f>'Arable margins'!$F$46</f>
        <v>0</v>
      </c>
      <c r="G23" s="336">
        <f>'Arable margins'!$G$46</f>
        <v>10.282999999999999</v>
      </c>
      <c r="H23" s="337"/>
      <c r="I23" s="337"/>
      <c r="J23" s="366"/>
      <c r="K23" s="366"/>
      <c r="L23" s="366"/>
      <c r="M23" s="184" t="str">
        <f>'Energy margins'!B68</f>
        <v>Total costs</v>
      </c>
      <c r="N23" s="187"/>
      <c r="O23" s="117" t="s">
        <v>569</v>
      </c>
      <c r="P23" s="692"/>
      <c r="Q23" s="691">
        <f>'Energy margins'!$K$68</f>
        <v>28.309023711538462</v>
      </c>
      <c r="R23" s="692"/>
      <c r="S23" s="691">
        <f>'Energy margins'!$R$68</f>
        <v>53.032298200341479</v>
      </c>
      <c r="T23" s="692"/>
      <c r="U23" s="691">
        <f>'Energy margins'!$Y$68</f>
        <v>76.825834244479324</v>
      </c>
      <c r="V23" s="692"/>
      <c r="W23" s="691">
        <f>'Energy margins'!$AF$68</f>
        <v>46.215940941074543</v>
      </c>
      <c r="X23" s="366"/>
    </row>
    <row r="24" spans="1:24" ht="15" customHeight="1" x14ac:dyDescent="0.3">
      <c r="A24" s="366"/>
      <c r="B24" s="718"/>
      <c r="C24" s="328" t="str">
        <f>'Arable margins'!C47</f>
        <v>Total</v>
      </c>
      <c r="D24" s="333" t="s">
        <v>567</v>
      </c>
      <c r="E24" s="349">
        <f>'Arable margins'!$E$47</f>
        <v>622.34710631578946</v>
      </c>
      <c r="F24" s="349">
        <f>'Arable margins'!$F$47</f>
        <v>300.32802631578949</v>
      </c>
      <c r="G24" s="349">
        <f>'Arable margins'!$G$47</f>
        <v>327.77441459954235</v>
      </c>
      <c r="H24" s="349">
        <f>'Arable margins'!$H$47</f>
        <v>255.07731473684206</v>
      </c>
      <c r="I24" s="349">
        <f>'Arable margins'!$I$47</f>
        <v>566.71194999999989</v>
      </c>
      <c r="J24" s="366"/>
      <c r="K24" s="366"/>
      <c r="L24" s="366"/>
      <c r="M24" s="695"/>
      <c r="N24" s="188"/>
      <c r="O24" s="351" t="s">
        <v>567</v>
      </c>
      <c r="P24" s="710">
        <f>'Energy margins'!$J$69</f>
        <v>7710.1780060000001</v>
      </c>
      <c r="Q24" s="710">
        <f>'Energy margins'!$K$69</f>
        <v>588.8276932</v>
      </c>
      <c r="R24" s="710">
        <f>'Energy margins'!$Q$69</f>
        <v>9026.4499039999992</v>
      </c>
      <c r="S24" s="710">
        <f>'Energy margins'!$R$69</f>
        <v>592.12218199999995</v>
      </c>
      <c r="T24" s="710">
        <f>'Energy margins'!$X$69</f>
        <v>11039.765504000001</v>
      </c>
      <c r="U24" s="710">
        <f>'Energy margins'!$Y$69</f>
        <v>712.01424200000008</v>
      </c>
      <c r="V24" s="710">
        <f>'Energy margins'!$AE$69</f>
        <v>9603.7370039999987</v>
      </c>
      <c r="W24" s="710">
        <f>'Energy margins'!$AF$69</f>
        <v>627.22899908333329</v>
      </c>
      <c r="X24" s="366"/>
    </row>
    <row r="25" spans="1:24" ht="15" customHeight="1" x14ac:dyDescent="0.3">
      <c r="A25" s="366"/>
      <c r="B25" s="323" t="s">
        <v>236</v>
      </c>
      <c r="C25" s="317" t="str">
        <f>'Arable margins'!C72</f>
        <v>Main crop</v>
      </c>
      <c r="D25" s="320" t="s">
        <v>569</v>
      </c>
      <c r="E25" s="339">
        <f>'Arable margins'!$E$72</f>
        <v>146.85735199999999</v>
      </c>
      <c r="F25" s="339">
        <f>'Arable margins'!$F$72</f>
        <v>176.65305935483869</v>
      </c>
      <c r="G25" s="339">
        <f>'Arable margins'!$G$72</f>
        <v>221.60160923076921</v>
      </c>
      <c r="H25" s="339">
        <f>'Arable margins'!$H$72</f>
        <v>370.80017523809516</v>
      </c>
      <c r="I25" s="339">
        <f>'Arable margins'!$I$72</f>
        <v>73.560546382978714</v>
      </c>
      <c r="J25" s="366"/>
      <c r="K25" s="366"/>
      <c r="L25" s="366"/>
      <c r="M25" s="707"/>
      <c r="N25" s="708"/>
      <c r="O25" s="708"/>
      <c r="P25" s="719"/>
      <c r="Q25" s="719"/>
      <c r="R25" s="719"/>
      <c r="S25" s="719"/>
      <c r="T25" s="719"/>
      <c r="U25" s="719"/>
      <c r="V25" s="719"/>
      <c r="W25" s="720"/>
      <c r="X25" s="366"/>
    </row>
    <row r="26" spans="1:24" ht="15" customHeight="1" x14ac:dyDescent="0.3">
      <c r="A26" s="366"/>
      <c r="B26" s="324"/>
      <c r="C26" s="317" t="str">
        <f>'Arable margins'!C73</f>
        <v>Straw</v>
      </c>
      <c r="D26" s="321" t="s">
        <v>569</v>
      </c>
      <c r="E26" s="340">
        <f>'Arable margins'!$E$73</f>
        <v>34.688948717948719</v>
      </c>
      <c r="F26" s="340" t="e">
        <f>'Arable margins'!$F$73</f>
        <v>#DIV/0!</v>
      </c>
      <c r="G26" s="340">
        <f>'Arable margins'!$G$73</f>
        <v>49.518862637362638</v>
      </c>
      <c r="H26" s="341"/>
      <c r="I26" s="341"/>
      <c r="J26" s="366"/>
      <c r="K26" s="366"/>
      <c r="L26" s="366"/>
      <c r="M26" s="184" t="s">
        <v>267</v>
      </c>
      <c r="N26" s="187"/>
      <c r="O26" s="117" t="s">
        <v>569</v>
      </c>
      <c r="P26" s="692"/>
      <c r="Q26" s="691">
        <f>Q27/'Energy margins'!$K$10</f>
        <v>15.440976288461538</v>
      </c>
      <c r="R26" s="692"/>
      <c r="S26" s="691">
        <f>S27/'Energy margins'!$R$10</f>
        <v>-9.2822982003414793</v>
      </c>
      <c r="T26" s="692"/>
      <c r="U26" s="691">
        <f>U27/'Energy margins'!$Y$10</f>
        <v>-33.075834244479331</v>
      </c>
      <c r="V26" s="692"/>
      <c r="W26" s="691">
        <f>W27/'Energy margins'!$AF$10</f>
        <v>-2.4659409410745368</v>
      </c>
      <c r="X26" s="366"/>
    </row>
    <row r="27" spans="1:24" ht="15" customHeight="1" x14ac:dyDescent="0.3">
      <c r="A27" s="366"/>
      <c r="B27" s="324"/>
      <c r="C27" s="314" t="str">
        <f>'Arable margins'!C74</f>
        <v>Main crop</v>
      </c>
      <c r="D27" s="322" t="s">
        <v>567</v>
      </c>
      <c r="E27" s="339">
        <f>'Arable margins'!$E$74</f>
        <v>807.71543599999995</v>
      </c>
      <c r="F27" s="339">
        <f>'Arable margins'!$F$74</f>
        <v>547.62448399999994</v>
      </c>
      <c r="G27" s="339">
        <f>'Arable margins'!$G$74</f>
        <v>576.16418399999998</v>
      </c>
      <c r="H27" s="339">
        <f>'Arable margins'!$H$74</f>
        <v>778.68036799999993</v>
      </c>
      <c r="I27" s="339">
        <f>'Arable margins'!$I$74</f>
        <v>691.46913599999993</v>
      </c>
      <c r="J27" s="366"/>
      <c r="K27" s="366"/>
      <c r="L27" s="366"/>
      <c r="M27" s="695"/>
      <c r="N27" s="188"/>
      <c r="O27" s="351" t="s">
        <v>567</v>
      </c>
      <c r="P27" s="721">
        <f t="shared" ref="P27:W27" si="0">P29-SUM(P13:P14)</f>
        <v>1389.8219939999999</v>
      </c>
      <c r="Q27" s="721">
        <f t="shared" si="0"/>
        <v>321.1723068</v>
      </c>
      <c r="R27" s="721">
        <f t="shared" si="0"/>
        <v>-1210.7311540000028</v>
      </c>
      <c r="S27" s="721">
        <f t="shared" si="0"/>
        <v>-103.63976012500018</v>
      </c>
      <c r="T27" s="721">
        <f t="shared" si="0"/>
        <v>-4552.2346584001625</v>
      </c>
      <c r="U27" s="721">
        <f t="shared" si="0"/>
        <v>-306.54356415001018</v>
      </c>
      <c r="V27" s="721">
        <f t="shared" si="0"/>
        <v>-103.54528620858764</v>
      </c>
      <c r="W27" s="721">
        <f t="shared" si="0"/>
        <v>-33.467016721370101</v>
      </c>
      <c r="X27" s="366"/>
    </row>
    <row r="28" spans="1:24" ht="15" customHeight="1" x14ac:dyDescent="0.3">
      <c r="A28" s="366"/>
      <c r="B28" s="324"/>
      <c r="C28" s="315" t="str">
        <f>'Arable margins'!C75</f>
        <v>Straw</v>
      </c>
      <c r="D28" s="322" t="s">
        <v>567</v>
      </c>
      <c r="E28" s="340">
        <f>'Arable margins'!$E$75</f>
        <v>135.2869</v>
      </c>
      <c r="F28" s="340">
        <f>'Arable margins'!$F$75</f>
        <v>0</v>
      </c>
      <c r="G28" s="340">
        <f>'Arable margins'!$G$75</f>
        <v>128.74904285714285</v>
      </c>
      <c r="H28" s="341"/>
      <c r="I28" s="341"/>
      <c r="J28" s="366"/>
      <c r="K28" s="366"/>
      <c r="L28" s="366"/>
      <c r="M28" s="184" t="s">
        <v>268</v>
      </c>
      <c r="N28" s="187"/>
      <c r="O28" s="117" t="s">
        <v>569</v>
      </c>
      <c r="P28" s="692"/>
      <c r="Q28" s="691">
        <f>'Energy margins'!$K$70</f>
        <v>31.306360903846151</v>
      </c>
      <c r="R28" s="692"/>
      <c r="S28" s="691">
        <f>'Energy margins'!$R$70</f>
        <v>20.273524800582152</v>
      </c>
      <c r="T28" s="692"/>
      <c r="U28" s="691">
        <f>'Energy margins'!$Y$70</f>
        <v>2.5309328750443449</v>
      </c>
      <c r="V28" s="692"/>
      <c r="W28" s="691">
        <f>'Energy margins'!$AF$70</f>
        <v>21.84935782993832</v>
      </c>
      <c r="X28" s="366"/>
    </row>
    <row r="29" spans="1:24" ht="15" customHeight="1" x14ac:dyDescent="0.3">
      <c r="A29" s="366"/>
      <c r="B29" s="693"/>
      <c r="C29" s="328" t="str">
        <f>'Arable margins'!C76</f>
        <v>Total</v>
      </c>
      <c r="D29" s="333" t="s">
        <v>567</v>
      </c>
      <c r="E29" s="342">
        <f>'Arable margins'!$E$76</f>
        <v>943.00233600000001</v>
      </c>
      <c r="F29" s="342">
        <f>'Arable margins'!$F$76</f>
        <v>547.62448399999994</v>
      </c>
      <c r="G29" s="342">
        <f>'Arable margins'!$G$76</f>
        <v>704.91322685714283</v>
      </c>
      <c r="H29" s="342">
        <f>'Arable margins'!$H$76</f>
        <v>778.68036799999993</v>
      </c>
      <c r="I29" s="342">
        <f>'Arable margins'!$I$76</f>
        <v>691.46913599999993</v>
      </c>
      <c r="J29" s="366"/>
      <c r="K29" s="366"/>
      <c r="L29" s="366"/>
      <c r="M29" s="695"/>
      <c r="N29" s="188"/>
      <c r="O29" s="351" t="s">
        <v>567</v>
      </c>
      <c r="P29" s="710">
        <f>'Energy margins'!$J$71</f>
        <v>4689.8219939999999</v>
      </c>
      <c r="Q29" s="710">
        <f>'Energy margins'!$K$71</f>
        <v>651.1723068</v>
      </c>
      <c r="R29" s="710">
        <f>'Energy margins'!$Q$71</f>
        <v>4069.2688459999972</v>
      </c>
      <c r="S29" s="710">
        <f>'Energy margins'!$R$71</f>
        <v>226.36023987499982</v>
      </c>
      <c r="T29" s="710">
        <f>'Energy margins'!$X$71</f>
        <v>727.76534159983748</v>
      </c>
      <c r="U29" s="710">
        <f>'Energy margins'!$Y$71</f>
        <v>23.456435849989816</v>
      </c>
      <c r="V29" s="710">
        <f>'Energy margins'!$AE$71</f>
        <v>5176.4547137914124</v>
      </c>
      <c r="W29" s="710">
        <f>'Energy margins'!$AF$71</f>
        <v>296.5329832786299</v>
      </c>
      <c r="X29" s="366"/>
    </row>
    <row r="30" spans="1:24" ht="15" customHeight="1" x14ac:dyDescent="0.3">
      <c r="A30" s="366"/>
      <c r="B30" s="326" t="str">
        <f>'Arable margins'!B79</f>
        <v>Total costs</v>
      </c>
      <c r="C30" s="329" t="str">
        <f>'Arable margins'!C79</f>
        <v>Main crop</v>
      </c>
      <c r="D30" s="320" t="s">
        <v>569</v>
      </c>
      <c r="E30" s="343">
        <f>'Arable margins'!$E$79</f>
        <v>257.20691678468899</v>
      </c>
      <c r="F30" s="343">
        <f>'Arable margins'!$F$79</f>
        <v>273.53306784380305</v>
      </c>
      <c r="G30" s="343">
        <f>'Arable margins'!$G$79</f>
        <v>343.71369176905472</v>
      </c>
      <c r="H30" s="343">
        <f>'Arable margins'!$H$79</f>
        <v>492.26556320801996</v>
      </c>
      <c r="I30" s="343">
        <f>'Arable margins'!$I$79</f>
        <v>133.84905170212764</v>
      </c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366"/>
      <c r="V30" s="366"/>
      <c r="W30" s="366"/>
      <c r="X30" s="366"/>
    </row>
    <row r="31" spans="1:24" ht="15" customHeight="1" x14ac:dyDescent="0.3">
      <c r="A31" s="366"/>
      <c r="B31" s="327"/>
      <c r="C31" s="330" t="str">
        <f>'Arable margins'!C80</f>
        <v>Straw</v>
      </c>
      <c r="D31" s="321" t="s">
        <v>569</v>
      </c>
      <c r="E31" s="344">
        <f>'Arable margins'!$E$80</f>
        <v>38.643948717948717</v>
      </c>
      <c r="F31" s="344" t="e">
        <f>'Arable margins'!$F$80</f>
        <v>#DIV/0!</v>
      </c>
      <c r="G31" s="344">
        <f>'Arable margins'!$G$80</f>
        <v>53.473862637362636</v>
      </c>
      <c r="H31" s="345"/>
      <c r="I31" s="345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366"/>
      <c r="V31" s="366"/>
      <c r="W31" s="366"/>
      <c r="X31" s="366"/>
    </row>
    <row r="32" spans="1:24" ht="15" customHeight="1" x14ac:dyDescent="0.3">
      <c r="A32" s="366"/>
      <c r="B32" s="327"/>
      <c r="C32" s="329" t="str">
        <f>'Arable margins'!C81</f>
        <v>Main crop</v>
      </c>
      <c r="D32" s="322" t="s">
        <v>567</v>
      </c>
      <c r="E32" s="343">
        <f>'Arable margins'!$E$81</f>
        <v>1414.6380423157893</v>
      </c>
      <c r="F32" s="343">
        <f>'Arable margins'!$F$81</f>
        <v>847.95251031578937</v>
      </c>
      <c r="G32" s="343">
        <f>'Arable margins'!$G$81</f>
        <v>893.65559859954237</v>
      </c>
      <c r="H32" s="343">
        <f>'Arable margins'!$H$81</f>
        <v>1033.7576827368421</v>
      </c>
      <c r="I32" s="343">
        <f>'Arable margins'!$I$81</f>
        <v>1258.1810859999998</v>
      </c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366"/>
      <c r="V32" s="366"/>
      <c r="W32" s="366"/>
      <c r="X32" s="366"/>
    </row>
    <row r="33" spans="1:24" ht="15" customHeight="1" x14ac:dyDescent="0.3">
      <c r="A33" s="366"/>
      <c r="B33" s="327"/>
      <c r="C33" s="330" t="str">
        <f>'Arable margins'!C82</f>
        <v>Straw</v>
      </c>
      <c r="D33" s="322" t="s">
        <v>567</v>
      </c>
      <c r="E33" s="344">
        <f>'Arable margins'!$E$82</f>
        <v>150.7114</v>
      </c>
      <c r="F33" s="344">
        <f>'Arable margins'!$F$82</f>
        <v>0</v>
      </c>
      <c r="G33" s="344">
        <f>'Arable margins'!$G$82</f>
        <v>139.03204285714284</v>
      </c>
      <c r="H33" s="319"/>
      <c r="I33" s="319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366"/>
      <c r="V33" s="366"/>
      <c r="W33" s="366"/>
      <c r="X33" s="366"/>
    </row>
    <row r="34" spans="1:24" ht="15" customHeight="1" x14ac:dyDescent="0.3">
      <c r="A34" s="366"/>
      <c r="B34" s="331"/>
      <c r="C34" s="332" t="str">
        <f>'Arable margins'!C83</f>
        <v>Total</v>
      </c>
      <c r="D34" s="333" t="s">
        <v>567</v>
      </c>
      <c r="E34" s="346">
        <f>'Arable margins'!$E$83</f>
        <v>1565.3494423157895</v>
      </c>
      <c r="F34" s="346">
        <f>'Arable margins'!$F$83</f>
        <v>847.95251031578937</v>
      </c>
      <c r="G34" s="346">
        <f>'Arable margins'!$G$83</f>
        <v>1032.6876414566852</v>
      </c>
      <c r="H34" s="346">
        <f>'Arable margins'!$H$83</f>
        <v>1033.7576827368421</v>
      </c>
      <c r="I34" s="346">
        <f>'Arable margins'!$I$83</f>
        <v>1258.1810859999998</v>
      </c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366"/>
      <c r="V34" s="366"/>
      <c r="W34" s="366"/>
      <c r="X34" s="366"/>
    </row>
    <row r="35" spans="1:24" ht="15" customHeight="1" x14ac:dyDescent="0.3">
      <c r="A35" s="366"/>
      <c r="B35" s="714"/>
      <c r="C35" s="715"/>
      <c r="D35" s="716"/>
      <c r="E35" s="716"/>
      <c r="F35" s="716"/>
      <c r="G35" s="716"/>
      <c r="H35" s="716"/>
      <c r="I35" s="717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366"/>
      <c r="V35" s="366"/>
      <c r="W35" s="366"/>
      <c r="X35" s="366"/>
    </row>
    <row r="36" spans="1:24" ht="15" customHeight="1" x14ac:dyDescent="0.3">
      <c r="A36" s="366"/>
      <c r="B36" s="324" t="s">
        <v>674</v>
      </c>
      <c r="C36" s="314" t="s">
        <v>2</v>
      </c>
      <c r="D36" s="320" t="s">
        <v>569</v>
      </c>
      <c r="E36" s="722">
        <f>E8-E30</f>
        <v>-47.206916784688985</v>
      </c>
      <c r="F36" s="722">
        <f t="shared" ref="E36:I40" si="1">F8-F30</f>
        <v>37.216932156196947</v>
      </c>
      <c r="G36" s="722">
        <f t="shared" si="1"/>
        <v>-146.72369176905471</v>
      </c>
      <c r="H36" s="722">
        <f t="shared" si="1"/>
        <v>-256.71556320801994</v>
      </c>
      <c r="I36" s="722">
        <f t="shared" si="1"/>
        <v>-39.563337416413347</v>
      </c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366"/>
      <c r="V36" s="366"/>
      <c r="W36" s="366"/>
      <c r="X36" s="366"/>
    </row>
    <row r="37" spans="1:24" ht="15" customHeight="1" x14ac:dyDescent="0.3">
      <c r="A37" s="366"/>
      <c r="B37" s="324"/>
      <c r="C37" s="318" t="s">
        <v>3</v>
      </c>
      <c r="D37" s="321" t="s">
        <v>569</v>
      </c>
      <c r="E37" s="706">
        <f t="shared" si="1"/>
        <v>34.806051282051271</v>
      </c>
      <c r="F37" s="706" t="e">
        <f t="shared" si="1"/>
        <v>#DIV/0!</v>
      </c>
      <c r="G37" s="706">
        <f t="shared" si="1"/>
        <v>-11.098862637362643</v>
      </c>
      <c r="H37" s="706">
        <f t="shared" si="1"/>
        <v>0</v>
      </c>
      <c r="I37" s="706">
        <f t="shared" si="1"/>
        <v>0</v>
      </c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</row>
    <row r="38" spans="1:24" ht="15" customHeight="1" x14ac:dyDescent="0.3">
      <c r="A38" s="366"/>
      <c r="B38" s="324"/>
      <c r="C38" s="314" t="s">
        <v>2</v>
      </c>
      <c r="D38" s="322" t="s">
        <v>567</v>
      </c>
      <c r="E38" s="319">
        <f t="shared" si="1"/>
        <v>-259.63804231578933</v>
      </c>
      <c r="F38" s="319">
        <f t="shared" si="1"/>
        <v>115.37248968421068</v>
      </c>
      <c r="G38" s="319">
        <f t="shared" si="1"/>
        <v>-381.48159859954228</v>
      </c>
      <c r="H38" s="319">
        <f t="shared" si="1"/>
        <v>-539.1026827368421</v>
      </c>
      <c r="I38" s="319">
        <f t="shared" si="1"/>
        <v>-371.89537171428549</v>
      </c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</row>
    <row r="39" spans="1:24" ht="15" customHeight="1" x14ac:dyDescent="0.3">
      <c r="A39" s="366"/>
      <c r="B39" s="324"/>
      <c r="C39" s="315" t="s">
        <v>3</v>
      </c>
      <c r="D39" s="322" t="s">
        <v>567</v>
      </c>
      <c r="E39" s="319">
        <f t="shared" si="1"/>
        <v>135.74359999999993</v>
      </c>
      <c r="F39" s="319">
        <f t="shared" si="1"/>
        <v>0</v>
      </c>
      <c r="G39" s="319">
        <f t="shared" si="1"/>
        <v>-28.857042857142858</v>
      </c>
      <c r="H39" s="319">
        <f t="shared" si="1"/>
        <v>0</v>
      </c>
      <c r="I39" s="319">
        <f t="shared" si="1"/>
        <v>0</v>
      </c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</row>
    <row r="40" spans="1:24" ht="15" customHeight="1" x14ac:dyDescent="0.3">
      <c r="A40" s="366"/>
      <c r="B40" s="693"/>
      <c r="C40" s="331" t="s">
        <v>9</v>
      </c>
      <c r="D40" s="333" t="s">
        <v>567</v>
      </c>
      <c r="E40" s="694">
        <f t="shared" si="1"/>
        <v>-123.89444231578955</v>
      </c>
      <c r="F40" s="694">
        <f t="shared" si="1"/>
        <v>115.37248968421068</v>
      </c>
      <c r="G40" s="694">
        <f t="shared" si="1"/>
        <v>-410.3386414566852</v>
      </c>
      <c r="H40" s="694">
        <f t="shared" si="1"/>
        <v>-539.1026827368421</v>
      </c>
      <c r="I40" s="694">
        <f>I12-I34</f>
        <v>-371.89537171428549</v>
      </c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</row>
    <row r="41" spans="1:24" x14ac:dyDescent="0.3">
      <c r="A41" s="366"/>
      <c r="B41" s="324" t="s">
        <v>675</v>
      </c>
      <c r="C41" s="314" t="str">
        <f>'Arable margins'!C86</f>
        <v>Main crop</v>
      </c>
      <c r="D41" s="320" t="s">
        <v>569</v>
      </c>
      <c r="E41" s="339">
        <f>'Arable margins'!$E$86</f>
        <v>12.793083215311015</v>
      </c>
      <c r="F41" s="334">
        <f>'Arable margins'!$F$86</f>
        <v>143.66854505942274</v>
      </c>
      <c r="G41" s="334">
        <f>'Arable margins'!$G$86</f>
        <v>-19.800614845977748</v>
      </c>
      <c r="H41" s="334">
        <f>'Arable margins'!$H$86</f>
        <v>-99.572706065162834</v>
      </c>
      <c r="I41" s="334">
        <f>'Arable margins'!$I$86</f>
        <v>-4.4569544376899728</v>
      </c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</row>
    <row r="42" spans="1:24" x14ac:dyDescent="0.3">
      <c r="A42" s="366"/>
      <c r="B42" s="324"/>
      <c r="C42" s="318" t="str">
        <f>'Arable margins'!C87</f>
        <v>Straw</v>
      </c>
      <c r="D42" s="321" t="s">
        <v>569</v>
      </c>
      <c r="E42" s="347">
        <f>'Arable margins'!$E$87</f>
        <v>34.806051282051271</v>
      </c>
      <c r="F42" s="335" t="e">
        <f>'Arable margins'!$F$87</f>
        <v>#DIV/0!</v>
      </c>
      <c r="G42" s="335">
        <f>'Arable margins'!$G$87</f>
        <v>-11.098862637362643</v>
      </c>
      <c r="H42" s="338"/>
      <c r="I42" s="338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</row>
    <row r="43" spans="1:24" x14ac:dyDescent="0.3">
      <c r="A43" s="366"/>
      <c r="B43" s="324"/>
      <c r="C43" s="314" t="str">
        <f>'Arable margins'!C88</f>
        <v>Main crop</v>
      </c>
      <c r="D43" s="322" t="s">
        <v>567</v>
      </c>
      <c r="E43" s="339">
        <f>'Arable margins'!$E$88</f>
        <v>70.361957684210665</v>
      </c>
      <c r="F43" s="334">
        <f>'Arable margins'!$F$88</f>
        <v>445.37248968421068</v>
      </c>
      <c r="G43" s="334">
        <f>'Arable margins'!$G$88</f>
        <v>-51.481598599542281</v>
      </c>
      <c r="H43" s="334">
        <f>'Arable margins'!$H$88</f>
        <v>-209.1026827368421</v>
      </c>
      <c r="I43" s="334">
        <f>'Arable margins'!$I$88</f>
        <v>-41.895371714285602</v>
      </c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</row>
    <row r="44" spans="1:24" x14ac:dyDescent="0.3">
      <c r="A44" s="366"/>
      <c r="B44" s="324"/>
      <c r="C44" s="315" t="str">
        <f>'Arable margins'!C89</f>
        <v>Straw</v>
      </c>
      <c r="D44" s="322" t="s">
        <v>567</v>
      </c>
      <c r="E44" s="340">
        <f>'Arable margins'!$E$89</f>
        <v>135.74359999999993</v>
      </c>
      <c r="F44" s="336">
        <f>'Arable margins'!$F$89</f>
        <v>0</v>
      </c>
      <c r="G44" s="336">
        <f>'Arable margins'!$G$89</f>
        <v>-28.857042857142858</v>
      </c>
      <c r="H44" s="337"/>
      <c r="I44" s="337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</row>
    <row r="45" spans="1:24" x14ac:dyDescent="0.3">
      <c r="A45" s="366"/>
      <c r="B45" s="693"/>
      <c r="C45" s="328" t="str">
        <f>'Arable margins'!C90</f>
        <v>Total</v>
      </c>
      <c r="D45" s="333" t="s">
        <v>567</v>
      </c>
      <c r="E45" s="342">
        <f>'Arable margins'!$E$90</f>
        <v>206.10555768421045</v>
      </c>
      <c r="F45" s="348">
        <f>'Arable margins'!$F$90</f>
        <v>445.37248968421068</v>
      </c>
      <c r="G45" s="348">
        <f>'Arable margins'!$G$90</f>
        <v>-80.338641456685195</v>
      </c>
      <c r="H45" s="348">
        <f>'Arable margins'!$H$90</f>
        <v>-209.1026827368421</v>
      </c>
      <c r="I45" s="348">
        <f>'Arable margins'!$I$90</f>
        <v>-41.895371714285602</v>
      </c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</row>
    <row r="46" spans="1:24" x14ac:dyDescent="0.3">
      <c r="A46" s="366"/>
      <c r="B46" s="366"/>
      <c r="C46" s="366"/>
      <c r="D46" s="366"/>
      <c r="E46" s="366"/>
      <c r="F46" s="366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</row>
    <row r="47" spans="1:24" x14ac:dyDescent="0.3">
      <c r="A47" s="366"/>
      <c r="B47" s="366"/>
      <c r="C47" s="366"/>
      <c r="D47" s="366"/>
      <c r="E47" s="366"/>
      <c r="F47" s="366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</row>
    <row r="48" spans="1:24" x14ac:dyDescent="0.3">
      <c r="A48" s="366"/>
      <c r="B48" s="723"/>
      <c r="C48" s="367" t="s">
        <v>337</v>
      </c>
      <c r="D48" s="465"/>
      <c r="E48" s="366"/>
      <c r="F48" s="366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</row>
    <row r="49" spans="1:24" x14ac:dyDescent="0.3">
      <c r="A49" s="366"/>
      <c r="B49" s="724"/>
      <c r="C49" s="367" t="s">
        <v>338</v>
      </c>
      <c r="D49" s="366"/>
      <c r="E49" s="366"/>
      <c r="F49" s="366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</row>
    <row r="50" spans="1:24" x14ac:dyDescent="0.3">
      <c r="A50" s="366"/>
      <c r="B50" s="366"/>
      <c r="C50" s="366"/>
      <c r="D50" s="366"/>
      <c r="E50" s="366"/>
      <c r="F50" s="366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</row>
    <row r="51" spans="1:24" x14ac:dyDescent="0.3">
      <c r="A51" s="366"/>
      <c r="B51" s="366"/>
      <c r="C51" s="366"/>
      <c r="D51" s="366"/>
      <c r="E51" s="366"/>
      <c r="F51" s="366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</row>
  </sheetData>
  <mergeCells count="8">
    <mergeCell ref="U8:U10"/>
    <mergeCell ref="V8:V10"/>
    <mergeCell ref="W8:W10"/>
    <mergeCell ref="P8:P10"/>
    <mergeCell ref="Q8:Q10"/>
    <mergeCell ref="R8:R10"/>
    <mergeCell ref="S8:S10"/>
    <mergeCell ref="T8:T10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U158"/>
  <sheetViews>
    <sheetView topLeftCell="A9" zoomScale="120" zoomScaleNormal="120" workbookViewId="0">
      <selection activeCell="F13" sqref="F13"/>
    </sheetView>
  </sheetViews>
  <sheetFormatPr defaultColWidth="9" defaultRowHeight="14" x14ac:dyDescent="0.3"/>
  <cols>
    <col min="1" max="1" width="13.75" customWidth="1"/>
    <col min="2" max="2" width="9" customWidth="1"/>
  </cols>
  <sheetData>
    <row r="2" spans="2:20" ht="14.5" thickBot="1" x14ac:dyDescent="0.35"/>
    <row r="3" spans="2:20" ht="14.5" thickBot="1" x14ac:dyDescent="0.35">
      <c r="B3" s="352" t="s">
        <v>581</v>
      </c>
      <c r="C3" s="200"/>
    </row>
    <row r="6" spans="2:20" x14ac:dyDescent="0.3">
      <c r="B6" s="86" t="s">
        <v>284</v>
      </c>
      <c r="C6" s="770">
        <f>'Arable Inputs'!D9</f>
        <v>0.03</v>
      </c>
    </row>
    <row r="7" spans="2:20" x14ac:dyDescent="0.3">
      <c r="B7" s="24"/>
      <c r="C7" s="24"/>
    </row>
    <row r="9" spans="2:20" x14ac:dyDescent="0.3">
      <c r="B9" s="211" t="s">
        <v>4</v>
      </c>
      <c r="C9" s="194"/>
      <c r="D9" s="193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</row>
    <row r="10" spans="2:20" x14ac:dyDescent="0.3">
      <c r="B10" s="203"/>
      <c r="C10" s="1108"/>
      <c r="D10" s="1108"/>
      <c r="E10" s="1108"/>
      <c r="F10" s="148"/>
      <c r="G10" s="1108"/>
      <c r="H10" s="1108"/>
      <c r="I10" s="148"/>
      <c r="J10" s="148"/>
      <c r="K10" s="1109" t="s">
        <v>270</v>
      </c>
      <c r="L10" s="1110"/>
      <c r="M10" s="1110"/>
      <c r="N10" s="1110"/>
      <c r="O10" s="1111"/>
      <c r="P10" s="1109" t="s">
        <v>271</v>
      </c>
      <c r="Q10" s="1110"/>
      <c r="R10" s="1110"/>
      <c r="S10" s="1110"/>
      <c r="T10" s="1111"/>
    </row>
    <row r="11" spans="2:20" ht="51" x14ac:dyDescent="0.3">
      <c r="B11" s="204" t="s">
        <v>272</v>
      </c>
      <c r="C11" s="171" t="s">
        <v>676</v>
      </c>
      <c r="D11" s="171" t="s">
        <v>672</v>
      </c>
      <c r="E11" s="171" t="s">
        <v>677</v>
      </c>
      <c r="F11" s="205" t="s">
        <v>283</v>
      </c>
      <c r="G11" s="171" t="s">
        <v>275</v>
      </c>
      <c r="H11" s="171" t="s">
        <v>276</v>
      </c>
      <c r="I11" s="171" t="s">
        <v>678</v>
      </c>
      <c r="J11" s="171" t="s">
        <v>679</v>
      </c>
      <c r="K11" s="195" t="s">
        <v>277</v>
      </c>
      <c r="L11" s="171" t="s">
        <v>680</v>
      </c>
      <c r="M11" s="171" t="s">
        <v>294</v>
      </c>
      <c r="N11" s="171" t="s">
        <v>681</v>
      </c>
      <c r="O11" s="198" t="s">
        <v>279</v>
      </c>
      <c r="P11" s="195" t="s">
        <v>280</v>
      </c>
      <c r="Q11" s="171" t="s">
        <v>682</v>
      </c>
      <c r="R11" s="171" t="s">
        <v>295</v>
      </c>
      <c r="S11" s="171" t="s">
        <v>683</v>
      </c>
      <c r="T11" s="198" t="s">
        <v>282</v>
      </c>
    </row>
    <row r="12" spans="2:20" x14ac:dyDescent="0.3">
      <c r="B12" s="173"/>
      <c r="C12" s="201" t="s">
        <v>567</v>
      </c>
      <c r="D12" s="201" t="s">
        <v>567</v>
      </c>
      <c r="E12" s="201" t="s">
        <v>567</v>
      </c>
      <c r="F12" s="201" t="s">
        <v>567</v>
      </c>
      <c r="G12" s="201" t="s">
        <v>567</v>
      </c>
      <c r="H12" s="201" t="s">
        <v>567</v>
      </c>
      <c r="I12" s="201" t="s">
        <v>567</v>
      </c>
      <c r="J12" s="202" t="s">
        <v>567</v>
      </c>
      <c r="K12" s="201" t="s">
        <v>567</v>
      </c>
      <c r="L12" s="201" t="s">
        <v>567</v>
      </c>
      <c r="M12" s="201" t="s">
        <v>567</v>
      </c>
      <c r="N12" s="201" t="s">
        <v>567</v>
      </c>
      <c r="O12" s="202" t="s">
        <v>567</v>
      </c>
      <c r="P12" s="201" t="s">
        <v>567</v>
      </c>
      <c r="Q12" s="201" t="s">
        <v>567</v>
      </c>
      <c r="R12" s="201" t="s">
        <v>567</v>
      </c>
      <c r="S12" s="201" t="s">
        <v>567</v>
      </c>
      <c r="T12" s="202" t="s">
        <v>567</v>
      </c>
    </row>
    <row r="13" spans="2:20" x14ac:dyDescent="0.3">
      <c r="B13" s="728">
        <v>1</v>
      </c>
      <c r="C13" s="197">
        <f>'Margins summary'!$E$12</f>
        <v>1441.4549999999999</v>
      </c>
      <c r="D13" s="197">
        <f>'Margins summary'!$E$13</f>
        <v>330</v>
      </c>
      <c r="E13" s="197">
        <f>'Margins summary'!$E$18</f>
        <v>1771.4549999999999</v>
      </c>
      <c r="F13" s="197">
        <f>'Margins summary'!$E$24</f>
        <v>622.34710631578946</v>
      </c>
      <c r="G13" s="197">
        <f>'Margins summary'!$E$29</f>
        <v>943.00233600000001</v>
      </c>
      <c r="H13" s="197">
        <f>F13+G13</f>
        <v>1565.3494423157895</v>
      </c>
      <c r="I13" s="197">
        <f>C13-H13</f>
        <v>-123.89444231578955</v>
      </c>
      <c r="J13" s="197">
        <f t="shared" ref="J13:J28" si="0">E13-H13</f>
        <v>206.10555768421045</v>
      </c>
      <c r="K13" s="973">
        <f>C13/(1+$C$6)^($B13-1)</f>
        <v>1441.4549999999999</v>
      </c>
      <c r="L13" s="974">
        <f>D13/(1+$C$6)^($B13-1)</f>
        <v>330</v>
      </c>
      <c r="M13" s="974">
        <f>H13/(1+$C$6)^($B13-1)</f>
        <v>1565.3494423157895</v>
      </c>
      <c r="N13" s="974">
        <f>K13-M13</f>
        <v>-123.89444231578955</v>
      </c>
      <c r="O13" s="975">
        <f>N13+L13</f>
        <v>206.10555768421045</v>
      </c>
      <c r="P13" s="973">
        <f>K13</f>
        <v>1441.4549999999999</v>
      </c>
      <c r="Q13" s="974">
        <f>L13</f>
        <v>330</v>
      </c>
      <c r="R13" s="974">
        <f>M13</f>
        <v>1565.3494423157895</v>
      </c>
      <c r="S13" s="974">
        <f>N13</f>
        <v>-123.89444231578955</v>
      </c>
      <c r="T13" s="975">
        <f>O13</f>
        <v>206.10555768421045</v>
      </c>
    </row>
    <row r="14" spans="2:20" x14ac:dyDescent="0.3">
      <c r="B14" s="419">
        <v>2</v>
      </c>
      <c r="C14" s="197">
        <f>'Margins summary'!$E$12</f>
        <v>1441.4549999999999</v>
      </c>
      <c r="D14" s="197">
        <f>'Margins summary'!$E$13</f>
        <v>330</v>
      </c>
      <c r="E14" s="197">
        <f>'Margins summary'!$E$18</f>
        <v>1771.4549999999999</v>
      </c>
      <c r="F14" s="197">
        <f>'Margins summary'!$E$24</f>
        <v>622.34710631578946</v>
      </c>
      <c r="G14" s="197">
        <f>'Margins summary'!$E$29</f>
        <v>943.00233600000001</v>
      </c>
      <c r="H14" s="197">
        <f t="shared" ref="H14:H28" si="1">F14+G14</f>
        <v>1565.3494423157895</v>
      </c>
      <c r="I14" s="197">
        <f t="shared" ref="I14:I28" si="2">C14-H14</f>
        <v>-123.89444231578955</v>
      </c>
      <c r="J14" s="197">
        <f t="shared" si="0"/>
        <v>206.10555768421045</v>
      </c>
      <c r="K14" s="973">
        <f t="shared" ref="K14:K28" si="3">C14/(1+$C$6)^($B14-1)</f>
        <v>1399.4708737864078</v>
      </c>
      <c r="L14" s="974">
        <f t="shared" ref="L14:L28" si="4">D14/(1+$C$6)^($B14-1)</f>
        <v>320.38834951456312</v>
      </c>
      <c r="M14" s="974">
        <f t="shared" ref="M14:M28" si="5">H14/(1+$C$6)^($B14-1)</f>
        <v>1519.756740112417</v>
      </c>
      <c r="N14" s="974">
        <f t="shared" ref="N14:N28" si="6">K14-M14</f>
        <v>-120.28586632600923</v>
      </c>
      <c r="O14" s="975">
        <f t="shared" ref="O14:O28" si="7">N14+L14</f>
        <v>200.10248318855389</v>
      </c>
      <c r="P14" s="973">
        <f>P13+K14</f>
        <v>2840.9258737864075</v>
      </c>
      <c r="Q14" s="974">
        <f t="shared" ref="Q14:T28" si="8">Q13+L14</f>
        <v>650.38834951456306</v>
      </c>
      <c r="R14" s="974">
        <f t="shared" si="8"/>
        <v>3085.1061824282065</v>
      </c>
      <c r="S14" s="974">
        <f t="shared" si="8"/>
        <v>-244.18030864179877</v>
      </c>
      <c r="T14" s="975">
        <f t="shared" si="8"/>
        <v>406.20804087276434</v>
      </c>
    </row>
    <row r="15" spans="2:20" x14ac:dyDescent="0.3">
      <c r="B15" s="419">
        <v>3</v>
      </c>
      <c r="C15" s="197">
        <f>'Margins summary'!$E$12</f>
        <v>1441.4549999999999</v>
      </c>
      <c r="D15" s="197">
        <f>'Margins summary'!$E$13</f>
        <v>330</v>
      </c>
      <c r="E15" s="197">
        <f>'Margins summary'!$E$18</f>
        <v>1771.4549999999999</v>
      </c>
      <c r="F15" s="197">
        <f>'Margins summary'!$E$24</f>
        <v>622.34710631578946</v>
      </c>
      <c r="G15" s="197">
        <f>'Margins summary'!$E$29</f>
        <v>943.00233600000001</v>
      </c>
      <c r="H15" s="197">
        <f t="shared" si="1"/>
        <v>1565.3494423157895</v>
      </c>
      <c r="I15" s="197">
        <f t="shared" si="2"/>
        <v>-123.89444231578955</v>
      </c>
      <c r="J15" s="197">
        <f t="shared" si="0"/>
        <v>206.10555768421045</v>
      </c>
      <c r="K15" s="973">
        <f t="shared" si="3"/>
        <v>1358.709586200396</v>
      </c>
      <c r="L15" s="974">
        <f t="shared" si="4"/>
        <v>311.05665001413894</v>
      </c>
      <c r="M15" s="974">
        <f t="shared" si="5"/>
        <v>1475.4919806916671</v>
      </c>
      <c r="N15" s="974">
        <f t="shared" si="6"/>
        <v>-116.78239449127113</v>
      </c>
      <c r="O15" s="975">
        <f t="shared" si="7"/>
        <v>194.2742555228678</v>
      </c>
      <c r="P15" s="973">
        <f t="shared" ref="P15:P28" si="9">P14+K15</f>
        <v>4199.6354599868037</v>
      </c>
      <c r="Q15" s="974">
        <f t="shared" si="8"/>
        <v>961.44499952870206</v>
      </c>
      <c r="R15" s="974">
        <f t="shared" si="8"/>
        <v>4560.5981631198738</v>
      </c>
      <c r="S15" s="974">
        <f t="shared" si="8"/>
        <v>-360.96270313306991</v>
      </c>
      <c r="T15" s="975">
        <f t="shared" si="8"/>
        <v>600.48229639563215</v>
      </c>
    </row>
    <row r="16" spans="2:20" x14ac:dyDescent="0.3">
      <c r="B16" s="419">
        <v>4</v>
      </c>
      <c r="C16" s="197">
        <f>'Margins summary'!$E$12</f>
        <v>1441.4549999999999</v>
      </c>
      <c r="D16" s="197">
        <f>'Margins summary'!$E$13</f>
        <v>330</v>
      </c>
      <c r="E16" s="197">
        <f>'Margins summary'!$E$18</f>
        <v>1771.4549999999999</v>
      </c>
      <c r="F16" s="197">
        <f>'Margins summary'!$E$24</f>
        <v>622.34710631578946</v>
      </c>
      <c r="G16" s="197">
        <f>'Margins summary'!$E$29</f>
        <v>943.00233600000001</v>
      </c>
      <c r="H16" s="197">
        <f t="shared" si="1"/>
        <v>1565.3494423157895</v>
      </c>
      <c r="I16" s="197">
        <f t="shared" si="2"/>
        <v>-123.89444231578955</v>
      </c>
      <c r="J16" s="197">
        <f t="shared" si="0"/>
        <v>206.10555768421045</v>
      </c>
      <c r="K16" s="973">
        <f t="shared" si="3"/>
        <v>1319.1355205829086</v>
      </c>
      <c r="L16" s="974">
        <f t="shared" si="4"/>
        <v>301.99674758654265</v>
      </c>
      <c r="M16" s="974">
        <f t="shared" si="5"/>
        <v>1432.5164861084145</v>
      </c>
      <c r="N16" s="974">
        <f t="shared" si="6"/>
        <v>-113.38096552550587</v>
      </c>
      <c r="O16" s="975">
        <f t="shared" si="7"/>
        <v>188.61578206103678</v>
      </c>
      <c r="P16" s="973">
        <f t="shared" si="9"/>
        <v>5518.7709805697123</v>
      </c>
      <c r="Q16" s="974">
        <f t="shared" si="8"/>
        <v>1263.4417471152447</v>
      </c>
      <c r="R16" s="974">
        <f t="shared" si="8"/>
        <v>5993.1146492282878</v>
      </c>
      <c r="S16" s="974">
        <f t="shared" si="8"/>
        <v>-474.34366865857578</v>
      </c>
      <c r="T16" s="975">
        <f t="shared" si="8"/>
        <v>789.09807845666887</v>
      </c>
    </row>
    <row r="17" spans="2:20" x14ac:dyDescent="0.3">
      <c r="B17" s="419">
        <v>5</v>
      </c>
      <c r="C17" s="197">
        <f>'Margins summary'!$E$12</f>
        <v>1441.4549999999999</v>
      </c>
      <c r="D17" s="197">
        <f>'Margins summary'!$E$13</f>
        <v>330</v>
      </c>
      <c r="E17" s="197">
        <f>'Margins summary'!$E$18</f>
        <v>1771.4549999999999</v>
      </c>
      <c r="F17" s="197">
        <f>'Margins summary'!$E$24</f>
        <v>622.34710631578946</v>
      </c>
      <c r="G17" s="197">
        <f>'Margins summary'!$E$29</f>
        <v>943.00233600000001</v>
      </c>
      <c r="H17" s="197">
        <f t="shared" si="1"/>
        <v>1565.3494423157895</v>
      </c>
      <c r="I17" s="197">
        <f t="shared" si="2"/>
        <v>-123.89444231578955</v>
      </c>
      <c r="J17" s="197">
        <f t="shared" si="0"/>
        <v>206.10555768421045</v>
      </c>
      <c r="K17" s="973">
        <f t="shared" si="3"/>
        <v>1280.7140976533094</v>
      </c>
      <c r="L17" s="974">
        <f t="shared" si="4"/>
        <v>293.20072581217738</v>
      </c>
      <c r="M17" s="974">
        <f t="shared" si="5"/>
        <v>1390.7927049596258</v>
      </c>
      <c r="N17" s="974">
        <f t="shared" si="6"/>
        <v>-110.07860730631637</v>
      </c>
      <c r="O17" s="975">
        <f t="shared" si="7"/>
        <v>183.12211850586101</v>
      </c>
      <c r="P17" s="973">
        <f t="shared" si="9"/>
        <v>6799.4850782230214</v>
      </c>
      <c r="Q17" s="974">
        <f t="shared" si="8"/>
        <v>1556.642472927422</v>
      </c>
      <c r="R17" s="974">
        <f t="shared" si="8"/>
        <v>7383.9073541879134</v>
      </c>
      <c r="S17" s="974">
        <f t="shared" si="8"/>
        <v>-584.42227596489215</v>
      </c>
      <c r="T17" s="975">
        <f t="shared" si="8"/>
        <v>972.22019696252983</v>
      </c>
    </row>
    <row r="18" spans="2:20" x14ac:dyDescent="0.3">
      <c r="B18" s="419">
        <v>6</v>
      </c>
      <c r="C18" s="197">
        <f>'Margins summary'!$E$12</f>
        <v>1441.4549999999999</v>
      </c>
      <c r="D18" s="197">
        <f>'Margins summary'!$E$13</f>
        <v>330</v>
      </c>
      <c r="E18" s="197">
        <f>'Margins summary'!$E$18</f>
        <v>1771.4549999999999</v>
      </c>
      <c r="F18" s="197">
        <f>'Margins summary'!$E$24</f>
        <v>622.34710631578946</v>
      </c>
      <c r="G18" s="197">
        <f>'Margins summary'!$E$29</f>
        <v>943.00233600000001</v>
      </c>
      <c r="H18" s="197">
        <f t="shared" si="1"/>
        <v>1565.3494423157895</v>
      </c>
      <c r="I18" s="197">
        <f t="shared" si="2"/>
        <v>-123.89444231578955</v>
      </c>
      <c r="J18" s="197">
        <f t="shared" si="0"/>
        <v>206.10555768421045</v>
      </c>
      <c r="K18" s="973">
        <f t="shared" si="3"/>
        <v>1243.4117452944752</v>
      </c>
      <c r="L18" s="974">
        <f t="shared" si="4"/>
        <v>284.66089884677416</v>
      </c>
      <c r="M18" s="974">
        <f t="shared" si="5"/>
        <v>1350.2841795724523</v>
      </c>
      <c r="N18" s="974">
        <f t="shared" si="6"/>
        <v>-106.87243427797716</v>
      </c>
      <c r="O18" s="975">
        <f t="shared" si="7"/>
        <v>177.788464568797</v>
      </c>
      <c r="P18" s="973">
        <f t="shared" si="9"/>
        <v>8042.8968235174962</v>
      </c>
      <c r="Q18" s="974">
        <f t="shared" si="8"/>
        <v>1841.3033717741962</v>
      </c>
      <c r="R18" s="974">
        <f t="shared" si="8"/>
        <v>8734.1915337603659</v>
      </c>
      <c r="S18" s="974">
        <f t="shared" si="8"/>
        <v>-691.29471024286931</v>
      </c>
      <c r="T18" s="975">
        <f t="shared" si="8"/>
        <v>1150.0086615313269</v>
      </c>
    </row>
    <row r="19" spans="2:20" x14ac:dyDescent="0.3">
      <c r="B19" s="419">
        <v>7</v>
      </c>
      <c r="C19" s="197">
        <f>'Margins summary'!$E$12</f>
        <v>1441.4549999999999</v>
      </c>
      <c r="D19" s="197">
        <f>'Margins summary'!$E$13</f>
        <v>330</v>
      </c>
      <c r="E19" s="197">
        <f>'Margins summary'!$E$18</f>
        <v>1771.4549999999999</v>
      </c>
      <c r="F19" s="197">
        <f>'Margins summary'!$E$24</f>
        <v>622.34710631578946</v>
      </c>
      <c r="G19" s="197">
        <f>'Margins summary'!$E$29</f>
        <v>943.00233600000001</v>
      </c>
      <c r="H19" s="197">
        <f t="shared" si="1"/>
        <v>1565.3494423157895</v>
      </c>
      <c r="I19" s="197">
        <f t="shared" si="2"/>
        <v>-123.89444231578955</v>
      </c>
      <c r="J19" s="197">
        <f t="shared" si="0"/>
        <v>206.10555768421045</v>
      </c>
      <c r="K19" s="973">
        <f t="shared" si="3"/>
        <v>1207.1958692179371</v>
      </c>
      <c r="L19" s="974">
        <f t="shared" si="4"/>
        <v>276.36980470560593</v>
      </c>
      <c r="M19" s="974">
        <f t="shared" si="5"/>
        <v>1310.9555141480118</v>
      </c>
      <c r="N19" s="974">
        <f t="shared" si="6"/>
        <v>-103.75964493007473</v>
      </c>
      <c r="O19" s="975">
        <f t="shared" si="7"/>
        <v>172.6101597755312</v>
      </c>
      <c r="P19" s="973">
        <f t="shared" si="9"/>
        <v>9250.092692735434</v>
      </c>
      <c r="Q19" s="974">
        <f t="shared" si="8"/>
        <v>2117.6731764798024</v>
      </c>
      <c r="R19" s="974">
        <f t="shared" si="8"/>
        <v>10045.147047908378</v>
      </c>
      <c r="S19" s="974">
        <f t="shared" si="8"/>
        <v>-795.05435517294404</v>
      </c>
      <c r="T19" s="975">
        <f t="shared" si="8"/>
        <v>1322.6188213068581</v>
      </c>
    </row>
    <row r="20" spans="2:20" x14ac:dyDescent="0.3">
      <c r="B20" s="419">
        <v>8</v>
      </c>
      <c r="C20" s="197">
        <f>'Margins summary'!$E$12</f>
        <v>1441.4549999999999</v>
      </c>
      <c r="D20" s="197">
        <f>'Margins summary'!$E$13</f>
        <v>330</v>
      </c>
      <c r="E20" s="197">
        <f>'Margins summary'!$E$18</f>
        <v>1771.4549999999999</v>
      </c>
      <c r="F20" s="197">
        <f>'Margins summary'!$E$24</f>
        <v>622.34710631578946</v>
      </c>
      <c r="G20" s="197">
        <f>'Margins summary'!$E$29</f>
        <v>943.00233600000001</v>
      </c>
      <c r="H20" s="197">
        <f t="shared" si="1"/>
        <v>1565.3494423157895</v>
      </c>
      <c r="I20" s="197">
        <f t="shared" si="2"/>
        <v>-123.89444231578955</v>
      </c>
      <c r="J20" s="197">
        <f t="shared" si="0"/>
        <v>206.10555768421045</v>
      </c>
      <c r="K20" s="973">
        <f t="shared" si="3"/>
        <v>1172.034824483434</v>
      </c>
      <c r="L20" s="974">
        <f t="shared" si="4"/>
        <v>268.32019874330672</v>
      </c>
      <c r="M20" s="974">
        <f t="shared" si="5"/>
        <v>1272.7723438330213</v>
      </c>
      <c r="N20" s="974">
        <f t="shared" si="6"/>
        <v>-100.73751934958727</v>
      </c>
      <c r="O20" s="975">
        <f t="shared" si="7"/>
        <v>167.58267939371945</v>
      </c>
      <c r="P20" s="973">
        <f t="shared" si="9"/>
        <v>10422.127517218869</v>
      </c>
      <c r="Q20" s="974">
        <f t="shared" si="8"/>
        <v>2385.9933752231091</v>
      </c>
      <c r="R20" s="974">
        <f t="shared" si="8"/>
        <v>11317.9193917414</v>
      </c>
      <c r="S20" s="974">
        <f t="shared" si="8"/>
        <v>-895.79187452253132</v>
      </c>
      <c r="T20" s="975">
        <f t="shared" si="8"/>
        <v>1490.2015007005775</v>
      </c>
    </row>
    <row r="21" spans="2:20" x14ac:dyDescent="0.3">
      <c r="B21" s="419">
        <v>9</v>
      </c>
      <c r="C21" s="197">
        <f>'Margins summary'!$E$12</f>
        <v>1441.4549999999999</v>
      </c>
      <c r="D21" s="197">
        <f>'Margins summary'!$E$13</f>
        <v>330</v>
      </c>
      <c r="E21" s="197">
        <f>'Margins summary'!$E$18</f>
        <v>1771.4549999999999</v>
      </c>
      <c r="F21" s="197">
        <f>'Margins summary'!$E$24</f>
        <v>622.34710631578946</v>
      </c>
      <c r="G21" s="197">
        <f>'Margins summary'!$E$29</f>
        <v>943.00233600000001</v>
      </c>
      <c r="H21" s="197">
        <f t="shared" si="1"/>
        <v>1565.3494423157895</v>
      </c>
      <c r="I21" s="197">
        <f t="shared" si="2"/>
        <v>-123.89444231578955</v>
      </c>
      <c r="J21" s="197">
        <f t="shared" si="0"/>
        <v>206.10555768421045</v>
      </c>
      <c r="K21" s="973">
        <f t="shared" si="3"/>
        <v>1137.8978878479943</v>
      </c>
      <c r="L21" s="974">
        <f t="shared" si="4"/>
        <v>260.50504732359883</v>
      </c>
      <c r="M21" s="974">
        <f t="shared" si="5"/>
        <v>1235.7013046922536</v>
      </c>
      <c r="N21" s="974">
        <f t="shared" si="6"/>
        <v>-97.803416844259345</v>
      </c>
      <c r="O21" s="975">
        <f t="shared" si="7"/>
        <v>162.70163047933949</v>
      </c>
      <c r="P21" s="973">
        <f t="shared" si="9"/>
        <v>11560.025405066863</v>
      </c>
      <c r="Q21" s="974">
        <f t="shared" si="8"/>
        <v>2646.4984225467078</v>
      </c>
      <c r="R21" s="974">
        <f t="shared" si="8"/>
        <v>12553.620696433652</v>
      </c>
      <c r="S21" s="974">
        <f t="shared" si="8"/>
        <v>-993.59529136679066</v>
      </c>
      <c r="T21" s="975">
        <f t="shared" si="8"/>
        <v>1652.903131179917</v>
      </c>
    </row>
    <row r="22" spans="2:20" x14ac:dyDescent="0.3">
      <c r="B22" s="419">
        <v>10</v>
      </c>
      <c r="C22" s="197">
        <f>'Margins summary'!$E$12</f>
        <v>1441.4549999999999</v>
      </c>
      <c r="D22" s="197">
        <f>'Margins summary'!$E$13</f>
        <v>330</v>
      </c>
      <c r="E22" s="197">
        <f>'Margins summary'!$E$18</f>
        <v>1771.4549999999999</v>
      </c>
      <c r="F22" s="197">
        <f>'Margins summary'!$E$24</f>
        <v>622.34710631578946</v>
      </c>
      <c r="G22" s="197">
        <f>'Margins summary'!$E$29</f>
        <v>943.00233600000001</v>
      </c>
      <c r="H22" s="197">
        <f t="shared" si="1"/>
        <v>1565.3494423157895</v>
      </c>
      <c r="I22" s="197">
        <f t="shared" si="2"/>
        <v>-123.89444231578955</v>
      </c>
      <c r="J22" s="197">
        <f t="shared" si="0"/>
        <v>206.10555768421045</v>
      </c>
      <c r="K22" s="973">
        <f t="shared" si="3"/>
        <v>1104.7552309203827</v>
      </c>
      <c r="L22" s="974">
        <f t="shared" si="4"/>
        <v>252.91752167339689</v>
      </c>
      <c r="M22" s="974">
        <f t="shared" si="5"/>
        <v>1199.710004555586</v>
      </c>
      <c r="N22" s="974">
        <f t="shared" si="6"/>
        <v>-94.95477363520331</v>
      </c>
      <c r="O22" s="975">
        <f t="shared" si="7"/>
        <v>157.96274803819358</v>
      </c>
      <c r="P22" s="973">
        <f t="shared" si="9"/>
        <v>12664.780635987245</v>
      </c>
      <c r="Q22" s="974">
        <f t="shared" si="8"/>
        <v>2899.4159442201048</v>
      </c>
      <c r="R22" s="974">
        <f t="shared" si="8"/>
        <v>13753.330700989238</v>
      </c>
      <c r="S22" s="974">
        <f t="shared" si="8"/>
        <v>-1088.550065001994</v>
      </c>
      <c r="T22" s="975">
        <f t="shared" si="8"/>
        <v>1810.8658792181104</v>
      </c>
    </row>
    <row r="23" spans="2:20" x14ac:dyDescent="0.3">
      <c r="B23" s="419">
        <v>11</v>
      </c>
      <c r="C23" s="197">
        <f>'Margins summary'!$E$12</f>
        <v>1441.4549999999999</v>
      </c>
      <c r="D23" s="197">
        <f>'Margins summary'!$E$13</f>
        <v>330</v>
      </c>
      <c r="E23" s="197">
        <f>'Margins summary'!$E$18</f>
        <v>1771.4549999999999</v>
      </c>
      <c r="F23" s="197">
        <f>'Margins summary'!$E$24</f>
        <v>622.34710631578946</v>
      </c>
      <c r="G23" s="197">
        <f>'Margins summary'!$E$29</f>
        <v>943.00233600000001</v>
      </c>
      <c r="H23" s="197">
        <f t="shared" si="1"/>
        <v>1565.3494423157895</v>
      </c>
      <c r="I23" s="197">
        <f t="shared" si="2"/>
        <v>-123.89444231578955</v>
      </c>
      <c r="J23" s="197">
        <f t="shared" si="0"/>
        <v>206.10555768421045</v>
      </c>
      <c r="K23" s="973">
        <f t="shared" si="3"/>
        <v>1072.577894097459</v>
      </c>
      <c r="L23" s="974">
        <f t="shared" si="4"/>
        <v>245.55099191591933</v>
      </c>
      <c r="M23" s="974">
        <f t="shared" si="5"/>
        <v>1164.7669947141612</v>
      </c>
      <c r="N23" s="974">
        <f t="shared" si="6"/>
        <v>-92.189100616702262</v>
      </c>
      <c r="O23" s="975">
        <f t="shared" si="7"/>
        <v>153.36189129921706</v>
      </c>
      <c r="P23" s="973">
        <f t="shared" si="9"/>
        <v>13737.358530084704</v>
      </c>
      <c r="Q23" s="974">
        <f t="shared" si="8"/>
        <v>3144.9669361360243</v>
      </c>
      <c r="R23" s="974">
        <f t="shared" si="8"/>
        <v>14918.0976957034</v>
      </c>
      <c r="S23" s="974">
        <f t="shared" si="8"/>
        <v>-1180.7391656186962</v>
      </c>
      <c r="T23" s="975">
        <f t="shared" si="8"/>
        <v>1964.2277705173274</v>
      </c>
    </row>
    <row r="24" spans="2:20" x14ac:dyDescent="0.3">
      <c r="B24" s="419">
        <v>12</v>
      </c>
      <c r="C24" s="197">
        <f>'Margins summary'!$E$12</f>
        <v>1441.4549999999999</v>
      </c>
      <c r="D24" s="197">
        <f>'Margins summary'!$E$13</f>
        <v>330</v>
      </c>
      <c r="E24" s="197">
        <f>'Margins summary'!$E$18</f>
        <v>1771.4549999999999</v>
      </c>
      <c r="F24" s="197">
        <f>'Margins summary'!$E$24</f>
        <v>622.34710631578946</v>
      </c>
      <c r="G24" s="197">
        <f>'Margins summary'!$E$29</f>
        <v>943.00233600000001</v>
      </c>
      <c r="H24" s="197">
        <f t="shared" si="1"/>
        <v>1565.3494423157895</v>
      </c>
      <c r="I24" s="197">
        <f t="shared" si="2"/>
        <v>-123.89444231578955</v>
      </c>
      <c r="J24" s="197">
        <f t="shared" si="0"/>
        <v>206.10555768421045</v>
      </c>
      <c r="K24" s="973">
        <f t="shared" si="3"/>
        <v>1041.3377612596689</v>
      </c>
      <c r="L24" s="974">
        <f t="shared" si="4"/>
        <v>238.39902127759154</v>
      </c>
      <c r="M24" s="974">
        <f t="shared" si="5"/>
        <v>1130.8417424409333</v>
      </c>
      <c r="N24" s="974">
        <f t="shared" si="6"/>
        <v>-89.503981181264407</v>
      </c>
      <c r="O24" s="975">
        <f t="shared" si="7"/>
        <v>148.89504009632714</v>
      </c>
      <c r="P24" s="973">
        <f t="shared" si="9"/>
        <v>14778.696291344373</v>
      </c>
      <c r="Q24" s="974">
        <f t="shared" si="8"/>
        <v>3383.3659574136159</v>
      </c>
      <c r="R24" s="974">
        <f t="shared" si="8"/>
        <v>16048.939438144333</v>
      </c>
      <c r="S24" s="974">
        <f t="shared" si="8"/>
        <v>-1270.2431467999606</v>
      </c>
      <c r="T24" s="975">
        <f t="shared" si="8"/>
        <v>2113.1228106136546</v>
      </c>
    </row>
    <row r="25" spans="2:20" x14ac:dyDescent="0.3">
      <c r="B25" s="419">
        <v>13</v>
      </c>
      <c r="C25" s="197">
        <f>'Margins summary'!$E$12</f>
        <v>1441.4549999999999</v>
      </c>
      <c r="D25" s="197">
        <f>'Margins summary'!$E$13</f>
        <v>330</v>
      </c>
      <c r="E25" s="197">
        <f>'Margins summary'!$E$18</f>
        <v>1771.4549999999999</v>
      </c>
      <c r="F25" s="197">
        <f>'Margins summary'!$E$24</f>
        <v>622.34710631578946</v>
      </c>
      <c r="G25" s="197">
        <f>'Margins summary'!$E$29</f>
        <v>943.00233600000001</v>
      </c>
      <c r="H25" s="197">
        <f t="shared" si="1"/>
        <v>1565.3494423157895</v>
      </c>
      <c r="I25" s="197">
        <f t="shared" si="2"/>
        <v>-123.89444231578955</v>
      </c>
      <c r="J25" s="197">
        <f t="shared" si="0"/>
        <v>206.10555768421045</v>
      </c>
      <c r="K25" s="973">
        <f t="shared" si="3"/>
        <v>1011.0075352035622</v>
      </c>
      <c r="L25" s="974">
        <f t="shared" si="4"/>
        <v>231.45536046368116</v>
      </c>
      <c r="M25" s="974">
        <f t="shared" si="5"/>
        <v>1097.9046043115859</v>
      </c>
      <c r="N25" s="974">
        <f t="shared" si="6"/>
        <v>-86.897069108023743</v>
      </c>
      <c r="O25" s="975">
        <f t="shared" si="7"/>
        <v>144.55829135565742</v>
      </c>
      <c r="P25" s="973">
        <f t="shared" si="9"/>
        <v>15789.703826547935</v>
      </c>
      <c r="Q25" s="974">
        <f t="shared" si="8"/>
        <v>3614.8213178772971</v>
      </c>
      <c r="R25" s="974">
        <f t="shared" si="8"/>
        <v>17146.844042455919</v>
      </c>
      <c r="S25" s="974">
        <f t="shared" si="8"/>
        <v>-1357.1402159079844</v>
      </c>
      <c r="T25" s="975">
        <f t="shared" si="8"/>
        <v>2257.6811019693118</v>
      </c>
    </row>
    <row r="26" spans="2:20" x14ac:dyDescent="0.3">
      <c r="B26" s="419">
        <v>14</v>
      </c>
      <c r="C26" s="197">
        <f>'Margins summary'!$E$12</f>
        <v>1441.4549999999999</v>
      </c>
      <c r="D26" s="197">
        <f>'Margins summary'!$E$13</f>
        <v>330</v>
      </c>
      <c r="E26" s="197">
        <f>'Margins summary'!$E$18</f>
        <v>1771.4549999999999</v>
      </c>
      <c r="F26" s="197">
        <f>'Margins summary'!$E$24</f>
        <v>622.34710631578946</v>
      </c>
      <c r="G26" s="197">
        <f>'Margins summary'!$E$29</f>
        <v>943.00233600000001</v>
      </c>
      <c r="H26" s="197">
        <f t="shared" si="1"/>
        <v>1565.3494423157895</v>
      </c>
      <c r="I26" s="197">
        <f t="shared" si="2"/>
        <v>-123.89444231578955</v>
      </c>
      <c r="J26" s="197">
        <f t="shared" si="0"/>
        <v>206.10555768421045</v>
      </c>
      <c r="K26" s="973">
        <f t="shared" si="3"/>
        <v>981.56071378986621</v>
      </c>
      <c r="L26" s="974">
        <f t="shared" si="4"/>
        <v>224.71394219774871</v>
      </c>
      <c r="M26" s="974">
        <f t="shared" si="5"/>
        <v>1065.9268003025106</v>
      </c>
      <c r="N26" s="974">
        <f t="shared" si="6"/>
        <v>-84.366086512644415</v>
      </c>
      <c r="O26" s="975">
        <f t="shared" si="7"/>
        <v>140.34785568510429</v>
      </c>
      <c r="P26" s="973">
        <f t="shared" si="9"/>
        <v>16771.264540337801</v>
      </c>
      <c r="Q26" s="974">
        <f t="shared" si="8"/>
        <v>3839.5352600750457</v>
      </c>
      <c r="R26" s="974">
        <f t="shared" si="8"/>
        <v>18212.770842758429</v>
      </c>
      <c r="S26" s="974">
        <f t="shared" si="8"/>
        <v>-1441.5063024206288</v>
      </c>
      <c r="T26" s="975">
        <f t="shared" si="8"/>
        <v>2398.028957654416</v>
      </c>
    </row>
    <row r="27" spans="2:20" x14ac:dyDescent="0.3">
      <c r="B27" s="419">
        <v>15</v>
      </c>
      <c r="C27" s="197">
        <f>'Margins summary'!$E$12</f>
        <v>1441.4549999999999</v>
      </c>
      <c r="D27" s="197">
        <f>'Margins summary'!$E$13</f>
        <v>330</v>
      </c>
      <c r="E27" s="197">
        <f>'Margins summary'!$E$18</f>
        <v>1771.4549999999999</v>
      </c>
      <c r="F27" s="197">
        <f>'Margins summary'!$E$24</f>
        <v>622.34710631578946</v>
      </c>
      <c r="G27" s="197">
        <f>'Margins summary'!$E$29</f>
        <v>943.00233600000001</v>
      </c>
      <c r="H27" s="197">
        <f t="shared" si="1"/>
        <v>1565.3494423157895</v>
      </c>
      <c r="I27" s="197">
        <f t="shared" si="2"/>
        <v>-123.89444231578955</v>
      </c>
      <c r="J27" s="197">
        <f t="shared" si="0"/>
        <v>206.10555768421045</v>
      </c>
      <c r="K27" s="973">
        <f t="shared" si="3"/>
        <v>952.97156678627778</v>
      </c>
      <c r="L27" s="974">
        <f t="shared" si="4"/>
        <v>218.16887592014436</v>
      </c>
      <c r="M27" s="974">
        <f t="shared" si="5"/>
        <v>1034.880388643214</v>
      </c>
      <c r="N27" s="974">
        <f t="shared" si="6"/>
        <v>-81.908821856936243</v>
      </c>
      <c r="O27" s="975">
        <f t="shared" si="7"/>
        <v>136.26005406320812</v>
      </c>
      <c r="P27" s="973">
        <f t="shared" si="9"/>
        <v>17724.236107124078</v>
      </c>
      <c r="Q27" s="974">
        <f t="shared" si="8"/>
        <v>4057.70413599519</v>
      </c>
      <c r="R27" s="974">
        <f t="shared" si="8"/>
        <v>19247.651231401644</v>
      </c>
      <c r="S27" s="974">
        <f t="shared" si="8"/>
        <v>-1523.4151242775652</v>
      </c>
      <c r="T27" s="975">
        <f t="shared" si="8"/>
        <v>2534.2890117176239</v>
      </c>
    </row>
    <row r="28" spans="2:20" x14ac:dyDescent="0.3">
      <c r="B28" s="560">
        <v>16</v>
      </c>
      <c r="C28" s="207">
        <f>'Margins summary'!$E$12</f>
        <v>1441.4549999999999</v>
      </c>
      <c r="D28" s="207">
        <f>'Margins summary'!$E$13</f>
        <v>330</v>
      </c>
      <c r="E28" s="207">
        <f>'Margins summary'!$E$18</f>
        <v>1771.4549999999999</v>
      </c>
      <c r="F28" s="207">
        <f>'Margins summary'!$E$24</f>
        <v>622.34710631578946</v>
      </c>
      <c r="G28" s="207">
        <f>'Margins summary'!$E$29</f>
        <v>943.00233600000001</v>
      </c>
      <c r="H28" s="207">
        <f t="shared" si="1"/>
        <v>1565.3494423157895</v>
      </c>
      <c r="I28" s="207">
        <f t="shared" si="2"/>
        <v>-123.89444231578955</v>
      </c>
      <c r="J28" s="207">
        <f t="shared" si="0"/>
        <v>206.10555768421045</v>
      </c>
      <c r="K28" s="976">
        <f t="shared" si="3"/>
        <v>925.21511338473567</v>
      </c>
      <c r="L28" s="977">
        <f t="shared" si="4"/>
        <v>211.81444264091684</v>
      </c>
      <c r="M28" s="977">
        <f t="shared" si="5"/>
        <v>1004.7382414011786</v>
      </c>
      <c r="N28" s="977">
        <f t="shared" si="6"/>
        <v>-79.523128016442911</v>
      </c>
      <c r="O28" s="978">
        <f t="shared" si="7"/>
        <v>132.29131462447393</v>
      </c>
      <c r="P28" s="976">
        <f t="shared" si="9"/>
        <v>18649.451220508814</v>
      </c>
      <c r="Q28" s="977">
        <f t="shared" si="8"/>
        <v>4269.5185786361071</v>
      </c>
      <c r="R28" s="977">
        <f t="shared" si="8"/>
        <v>20252.389472802821</v>
      </c>
      <c r="S28" s="977">
        <f t="shared" si="8"/>
        <v>-1602.9382522940082</v>
      </c>
      <c r="T28" s="978">
        <f t="shared" si="8"/>
        <v>2666.580326342098</v>
      </c>
    </row>
    <row r="35" spans="2:20" x14ac:dyDescent="0.3">
      <c r="B35" s="211" t="s">
        <v>559</v>
      </c>
      <c r="C35" s="194"/>
      <c r="D35" s="193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  <c r="P35" s="102"/>
      <c r="Q35" s="102"/>
      <c r="R35" s="102"/>
      <c r="S35" s="102"/>
      <c r="T35" s="102"/>
    </row>
    <row r="36" spans="2:20" x14ac:dyDescent="0.3">
      <c r="B36" s="203"/>
      <c r="C36" s="1108"/>
      <c r="D36" s="1108"/>
      <c r="E36" s="1108"/>
      <c r="F36" s="148"/>
      <c r="G36" s="1108"/>
      <c r="H36" s="1108"/>
      <c r="I36" s="148"/>
      <c r="J36" s="148"/>
      <c r="K36" s="1109" t="s">
        <v>270</v>
      </c>
      <c r="L36" s="1110"/>
      <c r="M36" s="1110"/>
      <c r="N36" s="1110"/>
      <c r="O36" s="1111"/>
      <c r="P36" s="1109" t="s">
        <v>271</v>
      </c>
      <c r="Q36" s="1110"/>
      <c r="R36" s="1110"/>
      <c r="S36" s="1110"/>
      <c r="T36" s="1111"/>
    </row>
    <row r="37" spans="2:20" ht="51" x14ac:dyDescent="0.3">
      <c r="B37" s="204" t="s">
        <v>272</v>
      </c>
      <c r="C37" s="171" t="s">
        <v>676</v>
      </c>
      <c r="D37" s="171" t="s">
        <v>672</v>
      </c>
      <c r="E37" s="171" t="s">
        <v>677</v>
      </c>
      <c r="F37" s="205" t="s">
        <v>283</v>
      </c>
      <c r="G37" s="171" t="s">
        <v>275</v>
      </c>
      <c r="H37" s="171" t="s">
        <v>276</v>
      </c>
      <c r="I37" s="171" t="s">
        <v>678</v>
      </c>
      <c r="J37" s="171" t="s">
        <v>679</v>
      </c>
      <c r="K37" s="195" t="s">
        <v>277</v>
      </c>
      <c r="L37" s="171" t="s">
        <v>680</v>
      </c>
      <c r="M37" s="171" t="s">
        <v>294</v>
      </c>
      <c r="N37" s="171" t="s">
        <v>681</v>
      </c>
      <c r="O37" s="198" t="s">
        <v>279</v>
      </c>
      <c r="P37" s="195" t="s">
        <v>280</v>
      </c>
      <c r="Q37" s="171" t="s">
        <v>682</v>
      </c>
      <c r="R37" s="171" t="s">
        <v>295</v>
      </c>
      <c r="S37" s="171" t="s">
        <v>683</v>
      </c>
      <c r="T37" s="198" t="s">
        <v>282</v>
      </c>
    </row>
    <row r="38" spans="2:20" x14ac:dyDescent="0.3">
      <c r="B38" s="173"/>
      <c r="C38" s="201" t="s">
        <v>567</v>
      </c>
      <c r="D38" s="201" t="s">
        <v>567</v>
      </c>
      <c r="E38" s="201" t="s">
        <v>567</v>
      </c>
      <c r="F38" s="201" t="s">
        <v>567</v>
      </c>
      <c r="G38" s="201" t="s">
        <v>567</v>
      </c>
      <c r="H38" s="201" t="s">
        <v>567</v>
      </c>
      <c r="I38" s="201" t="s">
        <v>567</v>
      </c>
      <c r="J38" s="202" t="s">
        <v>567</v>
      </c>
      <c r="K38" s="201" t="s">
        <v>567</v>
      </c>
      <c r="L38" s="201" t="s">
        <v>567</v>
      </c>
      <c r="M38" s="201" t="s">
        <v>567</v>
      </c>
      <c r="N38" s="201" t="s">
        <v>567</v>
      </c>
      <c r="O38" s="202" t="s">
        <v>567</v>
      </c>
      <c r="P38" s="201" t="s">
        <v>567</v>
      </c>
      <c r="Q38" s="201" t="s">
        <v>567</v>
      </c>
      <c r="R38" s="201" t="s">
        <v>567</v>
      </c>
      <c r="S38" s="201" t="s">
        <v>567</v>
      </c>
      <c r="T38" s="202" t="s">
        <v>567</v>
      </c>
    </row>
    <row r="39" spans="2:20" x14ac:dyDescent="0.3">
      <c r="B39" s="728">
        <v>1</v>
      </c>
      <c r="C39" s="197">
        <f>'Margins summary'!$F$12</f>
        <v>963.32500000000005</v>
      </c>
      <c r="D39" s="197">
        <f>'Margins summary'!$F$13</f>
        <v>330</v>
      </c>
      <c r="E39" s="197">
        <f>'Margins summary'!$F$18</f>
        <v>1293.325</v>
      </c>
      <c r="F39" s="197">
        <f>'Margins summary'!$F$24</f>
        <v>300.32802631578949</v>
      </c>
      <c r="G39" s="197">
        <f>'Margins summary'!$F$29</f>
        <v>547.62448399999994</v>
      </c>
      <c r="H39" s="197">
        <f>F39+G39</f>
        <v>847.95251031578937</v>
      </c>
      <c r="I39" s="197">
        <f>C39-H39</f>
        <v>115.37248968421068</v>
      </c>
      <c r="J39" s="197">
        <f t="shared" ref="J39:J54" si="10">E39-H39</f>
        <v>445.37248968421068</v>
      </c>
      <c r="K39" s="973">
        <f>C39/(1+$C$6)^($B39-1)</f>
        <v>963.32500000000005</v>
      </c>
      <c r="L39" s="979">
        <f>D39/(1+$C$6)^($B39-1)</f>
        <v>330</v>
      </c>
      <c r="M39" s="974">
        <f>H39/(1+$C$6)^($B39-1)</f>
        <v>847.95251031578937</v>
      </c>
      <c r="N39" s="974">
        <f>K39-M39</f>
        <v>115.37248968421068</v>
      </c>
      <c r="O39" s="975">
        <f>N39+L39</f>
        <v>445.37248968421068</v>
      </c>
      <c r="P39" s="973">
        <f>K39</f>
        <v>963.32500000000005</v>
      </c>
      <c r="Q39" s="974">
        <f>L39</f>
        <v>330</v>
      </c>
      <c r="R39" s="974">
        <f>M39</f>
        <v>847.95251031578937</v>
      </c>
      <c r="S39" s="974">
        <f>N39</f>
        <v>115.37248968421068</v>
      </c>
      <c r="T39" s="975">
        <f>O39</f>
        <v>445.37248968421068</v>
      </c>
    </row>
    <row r="40" spans="2:20" x14ac:dyDescent="0.3">
      <c r="B40" s="419">
        <v>2</v>
      </c>
      <c r="C40" s="197">
        <f>'Margins summary'!$F$12</f>
        <v>963.32500000000005</v>
      </c>
      <c r="D40" s="197">
        <f>'Margins summary'!$F$13</f>
        <v>330</v>
      </c>
      <c r="E40" s="197">
        <f>'Margins summary'!$F$18</f>
        <v>1293.325</v>
      </c>
      <c r="F40" s="197">
        <f>'Margins summary'!$F$24</f>
        <v>300.32802631578949</v>
      </c>
      <c r="G40" s="197">
        <f>'Margins summary'!$F$29</f>
        <v>547.62448399999994</v>
      </c>
      <c r="H40" s="197">
        <f t="shared" ref="H40:H54" si="11">F40+G40</f>
        <v>847.95251031578937</v>
      </c>
      <c r="I40" s="197">
        <f t="shared" ref="I40:I54" si="12">C40-H40</f>
        <v>115.37248968421068</v>
      </c>
      <c r="J40" s="197">
        <f t="shared" si="10"/>
        <v>445.37248968421068</v>
      </c>
      <c r="K40" s="973">
        <f t="shared" ref="K40:K54" si="13">C40/(1+$C$6)^($B40-1)</f>
        <v>935.26699029126212</v>
      </c>
      <c r="L40" s="974">
        <f t="shared" ref="L40:L54" si="14">D40/(1+$C$6)^($B40-1)</f>
        <v>320.38834951456312</v>
      </c>
      <c r="M40" s="974">
        <f t="shared" ref="M40:M54" si="15">H40/(1+$C$6)^($B40-1)</f>
        <v>823.25486438426151</v>
      </c>
      <c r="N40" s="974">
        <f t="shared" ref="N40:N54" si="16">K40-M40</f>
        <v>112.01212590700061</v>
      </c>
      <c r="O40" s="975">
        <f t="shared" ref="O40:O54" si="17">N40+L40</f>
        <v>432.40047542156373</v>
      </c>
      <c r="P40" s="973">
        <f>P39+K40</f>
        <v>1898.5919902912622</v>
      </c>
      <c r="Q40" s="974">
        <f t="shared" ref="Q40:Q54" si="18">Q39+L40</f>
        <v>650.38834951456306</v>
      </c>
      <c r="R40" s="974">
        <f t="shared" ref="R40:R54" si="19">R39+M40</f>
        <v>1671.2073747000509</v>
      </c>
      <c r="S40" s="974">
        <f t="shared" ref="S40:S54" si="20">S39+N40</f>
        <v>227.38461559121129</v>
      </c>
      <c r="T40" s="975">
        <f t="shared" ref="T40:T54" si="21">T39+O40</f>
        <v>877.77296510577435</v>
      </c>
    </row>
    <row r="41" spans="2:20" x14ac:dyDescent="0.3">
      <c r="B41" s="419">
        <v>3</v>
      </c>
      <c r="C41" s="197">
        <f>'Margins summary'!$F$12</f>
        <v>963.32500000000005</v>
      </c>
      <c r="D41" s="197">
        <f>'Margins summary'!$F$13</f>
        <v>330</v>
      </c>
      <c r="E41" s="197">
        <f>'Margins summary'!$F$18</f>
        <v>1293.325</v>
      </c>
      <c r="F41" s="197">
        <f>'Margins summary'!$F$24</f>
        <v>300.32802631578949</v>
      </c>
      <c r="G41" s="197">
        <f>'Margins summary'!$F$29</f>
        <v>547.62448399999994</v>
      </c>
      <c r="H41" s="197">
        <f t="shared" si="11"/>
        <v>847.95251031578937</v>
      </c>
      <c r="I41" s="197">
        <f t="shared" si="12"/>
        <v>115.37248968421068</v>
      </c>
      <c r="J41" s="197">
        <f t="shared" si="10"/>
        <v>445.37248968421068</v>
      </c>
      <c r="K41" s="973">
        <f t="shared" si="13"/>
        <v>908.02620416627406</v>
      </c>
      <c r="L41" s="974">
        <f t="shared" si="14"/>
        <v>311.05665001413894</v>
      </c>
      <c r="M41" s="974">
        <f t="shared" si="15"/>
        <v>799.27656736336075</v>
      </c>
      <c r="N41" s="974">
        <f t="shared" si="16"/>
        <v>108.7496368029133</v>
      </c>
      <c r="O41" s="975">
        <f t="shared" si="17"/>
        <v>419.80628681705224</v>
      </c>
      <c r="P41" s="973">
        <f t="shared" ref="P41:P54" si="22">P40+K41</f>
        <v>2806.6181944575364</v>
      </c>
      <c r="Q41" s="974">
        <f t="shared" si="18"/>
        <v>961.44499952870206</v>
      </c>
      <c r="R41" s="974">
        <f t="shared" si="19"/>
        <v>2470.4839420634116</v>
      </c>
      <c r="S41" s="974">
        <f t="shared" si="20"/>
        <v>336.13425239412459</v>
      </c>
      <c r="T41" s="975">
        <f t="shared" si="21"/>
        <v>1297.5792519228266</v>
      </c>
    </row>
    <row r="42" spans="2:20" x14ac:dyDescent="0.3">
      <c r="B42" s="419">
        <v>4</v>
      </c>
      <c r="C42" s="197">
        <f>'Margins summary'!$F$12</f>
        <v>963.32500000000005</v>
      </c>
      <c r="D42" s="197">
        <f>'Margins summary'!$F$13</f>
        <v>330</v>
      </c>
      <c r="E42" s="197">
        <f>'Margins summary'!$F$18</f>
        <v>1293.325</v>
      </c>
      <c r="F42" s="197">
        <f>'Margins summary'!$F$24</f>
        <v>300.32802631578949</v>
      </c>
      <c r="G42" s="197">
        <f>'Margins summary'!$F$29</f>
        <v>547.62448399999994</v>
      </c>
      <c r="H42" s="197">
        <f t="shared" si="11"/>
        <v>847.95251031578937</v>
      </c>
      <c r="I42" s="197">
        <f t="shared" si="12"/>
        <v>115.37248968421068</v>
      </c>
      <c r="J42" s="197">
        <f t="shared" si="10"/>
        <v>445.37248968421068</v>
      </c>
      <c r="K42" s="973">
        <f t="shared" si="13"/>
        <v>881.5788389963825</v>
      </c>
      <c r="L42" s="974">
        <f t="shared" si="14"/>
        <v>301.99674758654265</v>
      </c>
      <c r="M42" s="974">
        <f t="shared" si="15"/>
        <v>775.99666734306868</v>
      </c>
      <c r="N42" s="974">
        <f t="shared" si="16"/>
        <v>105.58217165331382</v>
      </c>
      <c r="O42" s="975">
        <f t="shared" si="17"/>
        <v>407.57891923985648</v>
      </c>
      <c r="P42" s="973">
        <f t="shared" si="22"/>
        <v>3688.1970334539192</v>
      </c>
      <c r="Q42" s="974">
        <f t="shared" si="18"/>
        <v>1263.4417471152447</v>
      </c>
      <c r="R42" s="974">
        <f t="shared" si="19"/>
        <v>3246.4806094064802</v>
      </c>
      <c r="S42" s="974">
        <f t="shared" si="20"/>
        <v>441.71642404743841</v>
      </c>
      <c r="T42" s="975">
        <f t="shared" si="21"/>
        <v>1705.1581711626832</v>
      </c>
    </row>
    <row r="43" spans="2:20" x14ac:dyDescent="0.3">
      <c r="B43" s="419">
        <v>5</v>
      </c>
      <c r="C43" s="197">
        <f>'Margins summary'!$F$12</f>
        <v>963.32500000000005</v>
      </c>
      <c r="D43" s="197">
        <f>'Margins summary'!$F$13</f>
        <v>330</v>
      </c>
      <c r="E43" s="197">
        <f>'Margins summary'!$F$18</f>
        <v>1293.325</v>
      </c>
      <c r="F43" s="197">
        <f>'Margins summary'!$F$24</f>
        <v>300.32802631578949</v>
      </c>
      <c r="G43" s="197">
        <f>'Margins summary'!$F$29</f>
        <v>547.62448399999994</v>
      </c>
      <c r="H43" s="197">
        <f t="shared" si="11"/>
        <v>847.95251031578937</v>
      </c>
      <c r="I43" s="197">
        <f t="shared" si="12"/>
        <v>115.37248968421068</v>
      </c>
      <c r="J43" s="197">
        <f t="shared" si="10"/>
        <v>445.37248968421068</v>
      </c>
      <c r="K43" s="973">
        <f t="shared" si="13"/>
        <v>855.90178543338106</v>
      </c>
      <c r="L43" s="974">
        <f t="shared" si="14"/>
        <v>293.20072581217738</v>
      </c>
      <c r="M43" s="974">
        <f t="shared" si="15"/>
        <v>753.3948226631735</v>
      </c>
      <c r="N43" s="974">
        <f t="shared" si="16"/>
        <v>102.50696277020756</v>
      </c>
      <c r="O43" s="975">
        <f t="shared" si="17"/>
        <v>395.70768858238495</v>
      </c>
      <c r="P43" s="973">
        <f t="shared" si="22"/>
        <v>4544.0988188872998</v>
      </c>
      <c r="Q43" s="974">
        <f t="shared" si="18"/>
        <v>1556.642472927422</v>
      </c>
      <c r="R43" s="974">
        <f t="shared" si="19"/>
        <v>3999.8754320696535</v>
      </c>
      <c r="S43" s="974">
        <f t="shared" si="20"/>
        <v>544.22338681764597</v>
      </c>
      <c r="T43" s="975">
        <f t="shared" si="21"/>
        <v>2100.8658597450681</v>
      </c>
    </row>
    <row r="44" spans="2:20" x14ac:dyDescent="0.3">
      <c r="B44" s="419">
        <v>6</v>
      </c>
      <c r="C44" s="197">
        <f>'Margins summary'!$F$12</f>
        <v>963.32500000000005</v>
      </c>
      <c r="D44" s="197">
        <f>'Margins summary'!$F$13</f>
        <v>330</v>
      </c>
      <c r="E44" s="197">
        <f>'Margins summary'!$F$18</f>
        <v>1293.325</v>
      </c>
      <c r="F44" s="197">
        <f>'Margins summary'!$F$24</f>
        <v>300.32802631578949</v>
      </c>
      <c r="G44" s="197">
        <f>'Margins summary'!$F$29</f>
        <v>547.62448399999994</v>
      </c>
      <c r="H44" s="197">
        <f t="shared" si="11"/>
        <v>847.95251031578937</v>
      </c>
      <c r="I44" s="197">
        <f t="shared" si="12"/>
        <v>115.37248968421068</v>
      </c>
      <c r="J44" s="197">
        <f t="shared" si="10"/>
        <v>445.37248968421068</v>
      </c>
      <c r="K44" s="973">
        <f t="shared" si="13"/>
        <v>830.97260721687496</v>
      </c>
      <c r="L44" s="974">
        <f t="shared" si="14"/>
        <v>284.66089884677416</v>
      </c>
      <c r="M44" s="974">
        <f t="shared" si="15"/>
        <v>731.45128413900341</v>
      </c>
      <c r="N44" s="974">
        <f t="shared" si="16"/>
        <v>99.521323077871557</v>
      </c>
      <c r="O44" s="975">
        <f t="shared" si="17"/>
        <v>384.18222192464572</v>
      </c>
      <c r="P44" s="973">
        <f t="shared" si="22"/>
        <v>5375.0714261041749</v>
      </c>
      <c r="Q44" s="974">
        <f t="shared" si="18"/>
        <v>1841.3033717741962</v>
      </c>
      <c r="R44" s="974">
        <f t="shared" si="19"/>
        <v>4731.3267162086568</v>
      </c>
      <c r="S44" s="974">
        <f t="shared" si="20"/>
        <v>643.74470989551753</v>
      </c>
      <c r="T44" s="975">
        <f t="shared" si="21"/>
        <v>2485.0480816697136</v>
      </c>
    </row>
    <row r="45" spans="2:20" x14ac:dyDescent="0.3">
      <c r="B45" s="419">
        <v>7</v>
      </c>
      <c r="C45" s="197">
        <f>'Margins summary'!$F$12</f>
        <v>963.32500000000005</v>
      </c>
      <c r="D45" s="197">
        <f>'Margins summary'!$F$13</f>
        <v>330</v>
      </c>
      <c r="E45" s="197">
        <f>'Margins summary'!$F$18</f>
        <v>1293.325</v>
      </c>
      <c r="F45" s="197">
        <f>'Margins summary'!$F$24</f>
        <v>300.32802631578949</v>
      </c>
      <c r="G45" s="197">
        <f>'Margins summary'!$F$29</f>
        <v>547.62448399999994</v>
      </c>
      <c r="H45" s="197">
        <f t="shared" si="11"/>
        <v>847.95251031578937</v>
      </c>
      <c r="I45" s="197">
        <f t="shared" si="12"/>
        <v>115.37248968421068</v>
      </c>
      <c r="J45" s="197">
        <f t="shared" si="10"/>
        <v>445.37248968421068</v>
      </c>
      <c r="K45" s="973">
        <f t="shared" si="13"/>
        <v>806.76952156978143</v>
      </c>
      <c r="L45" s="974">
        <f t="shared" si="14"/>
        <v>276.36980470560593</v>
      </c>
      <c r="M45" s="974">
        <f t="shared" si="15"/>
        <v>710.1468778048577</v>
      </c>
      <c r="N45" s="974">
        <f t="shared" si="16"/>
        <v>96.622643764923737</v>
      </c>
      <c r="O45" s="975">
        <f t="shared" si="17"/>
        <v>372.99244847052967</v>
      </c>
      <c r="P45" s="973">
        <f t="shared" si="22"/>
        <v>6181.8409476739562</v>
      </c>
      <c r="Q45" s="974">
        <f t="shared" si="18"/>
        <v>2117.6731764798024</v>
      </c>
      <c r="R45" s="974">
        <f t="shared" si="19"/>
        <v>5441.4735940135142</v>
      </c>
      <c r="S45" s="974">
        <f t="shared" si="20"/>
        <v>740.36735366044127</v>
      </c>
      <c r="T45" s="975">
        <f t="shared" si="21"/>
        <v>2858.0405301402434</v>
      </c>
    </row>
    <row r="46" spans="2:20" x14ac:dyDescent="0.3">
      <c r="B46" s="419">
        <v>8</v>
      </c>
      <c r="C46" s="197">
        <f>'Margins summary'!$F$12</f>
        <v>963.32500000000005</v>
      </c>
      <c r="D46" s="197">
        <f>'Margins summary'!$F$13</f>
        <v>330</v>
      </c>
      <c r="E46" s="197">
        <f>'Margins summary'!$F$18</f>
        <v>1293.325</v>
      </c>
      <c r="F46" s="197">
        <f>'Margins summary'!$F$24</f>
        <v>300.32802631578949</v>
      </c>
      <c r="G46" s="197">
        <f>'Margins summary'!$F$29</f>
        <v>547.62448399999994</v>
      </c>
      <c r="H46" s="197">
        <f t="shared" si="11"/>
        <v>847.95251031578937</v>
      </c>
      <c r="I46" s="197">
        <f t="shared" si="12"/>
        <v>115.37248968421068</v>
      </c>
      <c r="J46" s="197">
        <f t="shared" si="10"/>
        <v>445.37248968421068</v>
      </c>
      <c r="K46" s="973">
        <f t="shared" si="13"/>
        <v>783.27138016483627</v>
      </c>
      <c r="L46" s="974">
        <f t="shared" si="14"/>
        <v>268.32019874330672</v>
      </c>
      <c r="M46" s="974">
        <f t="shared" si="15"/>
        <v>689.46298816005594</v>
      </c>
      <c r="N46" s="974">
        <f t="shared" si="16"/>
        <v>93.80839200478033</v>
      </c>
      <c r="O46" s="975">
        <f t="shared" si="17"/>
        <v>362.12859074808705</v>
      </c>
      <c r="P46" s="973">
        <f t="shared" si="22"/>
        <v>6965.1123278387922</v>
      </c>
      <c r="Q46" s="974">
        <f t="shared" si="18"/>
        <v>2385.9933752231091</v>
      </c>
      <c r="R46" s="974">
        <f t="shared" si="19"/>
        <v>6130.9365821735701</v>
      </c>
      <c r="S46" s="974">
        <f t="shared" si="20"/>
        <v>834.1757456652216</v>
      </c>
      <c r="T46" s="975">
        <f t="shared" si="21"/>
        <v>3220.1691208883303</v>
      </c>
    </row>
    <row r="47" spans="2:20" x14ac:dyDescent="0.3">
      <c r="B47" s="419">
        <v>9</v>
      </c>
      <c r="C47" s="197">
        <f>'Margins summary'!$F$12</f>
        <v>963.32500000000005</v>
      </c>
      <c r="D47" s="197">
        <f>'Margins summary'!$F$13</f>
        <v>330</v>
      </c>
      <c r="E47" s="197">
        <f>'Margins summary'!$F$18</f>
        <v>1293.325</v>
      </c>
      <c r="F47" s="197">
        <f>'Margins summary'!$F$24</f>
        <v>300.32802631578949</v>
      </c>
      <c r="G47" s="197">
        <f>'Margins summary'!$F$29</f>
        <v>547.62448399999994</v>
      </c>
      <c r="H47" s="197">
        <f t="shared" si="11"/>
        <v>847.95251031578937</v>
      </c>
      <c r="I47" s="197">
        <f t="shared" si="12"/>
        <v>115.37248968421068</v>
      </c>
      <c r="J47" s="197">
        <f t="shared" si="10"/>
        <v>445.37248968421068</v>
      </c>
      <c r="K47" s="973">
        <f t="shared" si="13"/>
        <v>760.4576506454722</v>
      </c>
      <c r="L47" s="974">
        <f t="shared" si="14"/>
        <v>260.50504732359883</v>
      </c>
      <c r="M47" s="974">
        <f t="shared" si="15"/>
        <v>669.381541902967</v>
      </c>
      <c r="N47" s="974">
        <f t="shared" si="16"/>
        <v>91.076108742505198</v>
      </c>
      <c r="O47" s="975">
        <f t="shared" si="17"/>
        <v>351.58115606610403</v>
      </c>
      <c r="P47" s="973">
        <f t="shared" si="22"/>
        <v>7725.5699784842645</v>
      </c>
      <c r="Q47" s="974">
        <f t="shared" si="18"/>
        <v>2646.4984225467078</v>
      </c>
      <c r="R47" s="974">
        <f t="shared" si="19"/>
        <v>6800.3181240765371</v>
      </c>
      <c r="S47" s="974">
        <f t="shared" si="20"/>
        <v>925.2518544077268</v>
      </c>
      <c r="T47" s="975">
        <f t="shared" si="21"/>
        <v>3571.7502769544344</v>
      </c>
    </row>
    <row r="48" spans="2:20" x14ac:dyDescent="0.3">
      <c r="B48" s="419">
        <v>10</v>
      </c>
      <c r="C48" s="197">
        <f>'Margins summary'!$F$12</f>
        <v>963.32500000000005</v>
      </c>
      <c r="D48" s="197">
        <f>'Margins summary'!$F$13</f>
        <v>330</v>
      </c>
      <c r="E48" s="197">
        <f>'Margins summary'!$F$18</f>
        <v>1293.325</v>
      </c>
      <c r="F48" s="197">
        <f>'Margins summary'!$F$24</f>
        <v>300.32802631578949</v>
      </c>
      <c r="G48" s="197">
        <f>'Margins summary'!$F$29</f>
        <v>547.62448399999994</v>
      </c>
      <c r="H48" s="197">
        <f t="shared" si="11"/>
        <v>847.95251031578937</v>
      </c>
      <c r="I48" s="197">
        <f t="shared" si="12"/>
        <v>115.37248968421068</v>
      </c>
      <c r="J48" s="197">
        <f t="shared" si="10"/>
        <v>445.37248968421068</v>
      </c>
      <c r="K48" s="973">
        <f t="shared" si="13"/>
        <v>738.30839868492444</v>
      </c>
      <c r="L48" s="974">
        <f t="shared" si="14"/>
        <v>252.91752167339689</v>
      </c>
      <c r="M48" s="974">
        <f t="shared" si="15"/>
        <v>649.88499213880289</v>
      </c>
      <c r="N48" s="974">
        <f t="shared" si="16"/>
        <v>88.423406546121555</v>
      </c>
      <c r="O48" s="975">
        <f t="shared" si="17"/>
        <v>341.34092821951845</v>
      </c>
      <c r="P48" s="973">
        <f t="shared" si="22"/>
        <v>8463.8783771691888</v>
      </c>
      <c r="Q48" s="974">
        <f t="shared" si="18"/>
        <v>2899.4159442201048</v>
      </c>
      <c r="R48" s="974">
        <f t="shared" si="19"/>
        <v>7450.2031162153398</v>
      </c>
      <c r="S48" s="974">
        <f t="shared" si="20"/>
        <v>1013.6752609538484</v>
      </c>
      <c r="T48" s="975">
        <f t="shared" si="21"/>
        <v>3913.0912051739529</v>
      </c>
    </row>
    <row r="49" spans="2:20" x14ac:dyDescent="0.3">
      <c r="B49" s="419">
        <v>11</v>
      </c>
      <c r="C49" s="197">
        <f>'Margins summary'!$F$12</f>
        <v>963.32500000000005</v>
      </c>
      <c r="D49" s="197">
        <f>'Margins summary'!$F$13</f>
        <v>330</v>
      </c>
      <c r="E49" s="197">
        <f>'Margins summary'!$F$18</f>
        <v>1293.325</v>
      </c>
      <c r="F49" s="197">
        <f>'Margins summary'!$F$24</f>
        <v>300.32802631578949</v>
      </c>
      <c r="G49" s="197">
        <f>'Margins summary'!$F$29</f>
        <v>547.62448399999994</v>
      </c>
      <c r="H49" s="197">
        <f t="shared" si="11"/>
        <v>847.95251031578937</v>
      </c>
      <c r="I49" s="197">
        <f t="shared" si="12"/>
        <v>115.37248968421068</v>
      </c>
      <c r="J49" s="197">
        <f t="shared" si="10"/>
        <v>445.37248968421068</v>
      </c>
      <c r="K49" s="973">
        <f t="shared" si="13"/>
        <v>716.80427056788778</v>
      </c>
      <c r="L49" s="974">
        <f t="shared" si="14"/>
        <v>245.55099191591933</v>
      </c>
      <c r="M49" s="974">
        <f t="shared" si="15"/>
        <v>630.95630304738143</v>
      </c>
      <c r="N49" s="974">
        <f t="shared" si="16"/>
        <v>85.847967520506359</v>
      </c>
      <c r="O49" s="975">
        <f t="shared" si="17"/>
        <v>331.39895943642568</v>
      </c>
      <c r="P49" s="973">
        <f t="shared" si="22"/>
        <v>9180.682647737076</v>
      </c>
      <c r="Q49" s="974">
        <f t="shared" si="18"/>
        <v>3144.9669361360243</v>
      </c>
      <c r="R49" s="974">
        <f t="shared" si="19"/>
        <v>8081.1594192627217</v>
      </c>
      <c r="S49" s="974">
        <f t="shared" si="20"/>
        <v>1099.5232284743547</v>
      </c>
      <c r="T49" s="975">
        <f t="shared" si="21"/>
        <v>4244.490164610379</v>
      </c>
    </row>
    <row r="50" spans="2:20" x14ac:dyDescent="0.3">
      <c r="B50" s="419">
        <v>12</v>
      </c>
      <c r="C50" s="197">
        <f>'Margins summary'!$F$12</f>
        <v>963.32500000000005</v>
      </c>
      <c r="D50" s="197">
        <f>'Margins summary'!$F$13</f>
        <v>330</v>
      </c>
      <c r="E50" s="197">
        <f>'Margins summary'!$F$18</f>
        <v>1293.325</v>
      </c>
      <c r="F50" s="197">
        <f>'Margins summary'!$F$24</f>
        <v>300.32802631578949</v>
      </c>
      <c r="G50" s="197">
        <f>'Margins summary'!$F$29</f>
        <v>547.62448399999994</v>
      </c>
      <c r="H50" s="197">
        <f t="shared" si="11"/>
        <v>847.95251031578937</v>
      </c>
      <c r="I50" s="197">
        <f t="shared" si="12"/>
        <v>115.37248968421068</v>
      </c>
      <c r="J50" s="197">
        <f t="shared" si="10"/>
        <v>445.37248968421068</v>
      </c>
      <c r="K50" s="973">
        <f t="shared" si="13"/>
        <v>695.92647627950271</v>
      </c>
      <c r="L50" s="974">
        <f t="shared" si="14"/>
        <v>238.39902127759154</v>
      </c>
      <c r="M50" s="974">
        <f t="shared" si="15"/>
        <v>612.57893499745774</v>
      </c>
      <c r="N50" s="974">
        <f t="shared" si="16"/>
        <v>83.347541282044972</v>
      </c>
      <c r="O50" s="975">
        <f t="shared" si="17"/>
        <v>321.74656255963652</v>
      </c>
      <c r="P50" s="973">
        <f t="shared" si="22"/>
        <v>9876.6091240165788</v>
      </c>
      <c r="Q50" s="974">
        <f t="shared" si="18"/>
        <v>3383.3659574136159</v>
      </c>
      <c r="R50" s="974">
        <f t="shared" si="19"/>
        <v>8693.7383542601801</v>
      </c>
      <c r="S50" s="974">
        <f t="shared" si="20"/>
        <v>1182.8707697563996</v>
      </c>
      <c r="T50" s="975">
        <f t="shared" si="21"/>
        <v>4566.2367271700159</v>
      </c>
    </row>
    <row r="51" spans="2:20" x14ac:dyDescent="0.3">
      <c r="B51" s="419">
        <v>13</v>
      </c>
      <c r="C51" s="197">
        <f>'Margins summary'!$F$12</f>
        <v>963.32500000000005</v>
      </c>
      <c r="D51" s="197">
        <f>'Margins summary'!$F$13</f>
        <v>330</v>
      </c>
      <c r="E51" s="197">
        <f>'Margins summary'!$F$18</f>
        <v>1293.325</v>
      </c>
      <c r="F51" s="197">
        <f>'Margins summary'!$F$24</f>
        <v>300.32802631578949</v>
      </c>
      <c r="G51" s="197">
        <f>'Margins summary'!$F$29</f>
        <v>547.62448399999994</v>
      </c>
      <c r="H51" s="197">
        <f t="shared" si="11"/>
        <v>847.95251031578937</v>
      </c>
      <c r="I51" s="197">
        <f t="shared" si="12"/>
        <v>115.37248968421068</v>
      </c>
      <c r="J51" s="197">
        <f t="shared" si="10"/>
        <v>445.37248968421068</v>
      </c>
      <c r="K51" s="973">
        <f t="shared" si="13"/>
        <v>675.6567730868959</v>
      </c>
      <c r="L51" s="974">
        <f t="shared" si="14"/>
        <v>231.45536046368116</v>
      </c>
      <c r="M51" s="974">
        <f t="shared" si="15"/>
        <v>594.73683009461922</v>
      </c>
      <c r="N51" s="974">
        <f t="shared" si="16"/>
        <v>80.919942992276674</v>
      </c>
      <c r="O51" s="975">
        <f t="shared" si="17"/>
        <v>312.37530345595781</v>
      </c>
      <c r="P51" s="973">
        <f t="shared" si="22"/>
        <v>10552.265897103474</v>
      </c>
      <c r="Q51" s="974">
        <f t="shared" si="18"/>
        <v>3614.8213178772971</v>
      </c>
      <c r="R51" s="974">
        <f t="shared" si="19"/>
        <v>9288.4751843548001</v>
      </c>
      <c r="S51" s="974">
        <f t="shared" si="20"/>
        <v>1263.7907127486762</v>
      </c>
      <c r="T51" s="975">
        <f t="shared" si="21"/>
        <v>4878.6120306259736</v>
      </c>
    </row>
    <row r="52" spans="2:20" x14ac:dyDescent="0.3">
      <c r="B52" s="419">
        <v>14</v>
      </c>
      <c r="C52" s="197">
        <f>'Margins summary'!$F$12</f>
        <v>963.32500000000005</v>
      </c>
      <c r="D52" s="197">
        <f>'Margins summary'!$F$13</f>
        <v>330</v>
      </c>
      <c r="E52" s="197">
        <f>'Margins summary'!$F$18</f>
        <v>1293.325</v>
      </c>
      <c r="F52" s="197">
        <f>'Margins summary'!$F$24</f>
        <v>300.32802631578949</v>
      </c>
      <c r="G52" s="197">
        <f>'Margins summary'!$F$29</f>
        <v>547.62448399999994</v>
      </c>
      <c r="H52" s="197">
        <f t="shared" si="11"/>
        <v>847.95251031578937</v>
      </c>
      <c r="I52" s="197">
        <f t="shared" si="12"/>
        <v>115.37248968421068</v>
      </c>
      <c r="J52" s="197">
        <f t="shared" si="10"/>
        <v>445.37248968421068</v>
      </c>
      <c r="K52" s="973">
        <f t="shared" si="13"/>
        <v>655.97744959892816</v>
      </c>
      <c r="L52" s="974">
        <f t="shared" si="14"/>
        <v>224.71394219774871</v>
      </c>
      <c r="M52" s="974">
        <f t="shared" si="15"/>
        <v>577.41439815011574</v>
      </c>
      <c r="N52" s="974">
        <f t="shared" si="16"/>
        <v>78.563051448812416</v>
      </c>
      <c r="O52" s="975">
        <f t="shared" si="17"/>
        <v>303.2769936465611</v>
      </c>
      <c r="P52" s="973">
        <f t="shared" si="22"/>
        <v>11208.243346702402</v>
      </c>
      <c r="Q52" s="974">
        <f t="shared" si="18"/>
        <v>3839.5352600750457</v>
      </c>
      <c r="R52" s="974">
        <f t="shared" si="19"/>
        <v>9865.8895825049167</v>
      </c>
      <c r="S52" s="974">
        <f t="shared" si="20"/>
        <v>1342.3537641974885</v>
      </c>
      <c r="T52" s="975">
        <f t="shared" si="21"/>
        <v>5181.8890242725347</v>
      </c>
    </row>
    <row r="53" spans="2:20" x14ac:dyDescent="0.3">
      <c r="B53" s="419">
        <v>15</v>
      </c>
      <c r="C53" s="197">
        <f>'Margins summary'!$F$12</f>
        <v>963.32500000000005</v>
      </c>
      <c r="D53" s="197">
        <f>'Margins summary'!$F$13</f>
        <v>330</v>
      </c>
      <c r="E53" s="197">
        <f>'Margins summary'!$F$18</f>
        <v>1293.325</v>
      </c>
      <c r="F53" s="197">
        <f>'Margins summary'!$F$24</f>
        <v>300.32802631578949</v>
      </c>
      <c r="G53" s="197">
        <f>'Margins summary'!$F$29</f>
        <v>547.62448399999994</v>
      </c>
      <c r="H53" s="197">
        <f t="shared" si="11"/>
        <v>847.95251031578937</v>
      </c>
      <c r="I53" s="197">
        <f t="shared" si="12"/>
        <v>115.37248968421068</v>
      </c>
      <c r="J53" s="197">
        <f t="shared" si="10"/>
        <v>445.37248968421068</v>
      </c>
      <c r="K53" s="973">
        <f t="shared" si="13"/>
        <v>636.87131029022146</v>
      </c>
      <c r="L53" s="974">
        <f t="shared" si="14"/>
        <v>218.16887592014436</v>
      </c>
      <c r="M53" s="974">
        <f t="shared" si="15"/>
        <v>560.59650305836476</v>
      </c>
      <c r="N53" s="974">
        <f t="shared" si="16"/>
        <v>76.274807231856698</v>
      </c>
      <c r="O53" s="975">
        <f t="shared" si="17"/>
        <v>294.44368315200109</v>
      </c>
      <c r="P53" s="973">
        <f t="shared" si="22"/>
        <v>11845.114656992624</v>
      </c>
      <c r="Q53" s="974">
        <f t="shared" si="18"/>
        <v>4057.70413599519</v>
      </c>
      <c r="R53" s="974">
        <f t="shared" si="19"/>
        <v>10426.486085563281</v>
      </c>
      <c r="S53" s="974">
        <f t="shared" si="20"/>
        <v>1418.6285714293454</v>
      </c>
      <c r="T53" s="975">
        <f t="shared" si="21"/>
        <v>5476.3327074245353</v>
      </c>
    </row>
    <row r="54" spans="2:20" x14ac:dyDescent="0.3">
      <c r="B54" s="560">
        <v>16</v>
      </c>
      <c r="C54" s="207">
        <f>'Margins summary'!$F$12</f>
        <v>963.32500000000005</v>
      </c>
      <c r="D54" s="207">
        <f>'Margins summary'!$F$13</f>
        <v>330</v>
      </c>
      <c r="E54" s="207">
        <f>'Margins summary'!$F$18</f>
        <v>1293.325</v>
      </c>
      <c r="F54" s="207">
        <f>'Margins summary'!$F$24</f>
        <v>300.32802631578949</v>
      </c>
      <c r="G54" s="207">
        <f>'Margins summary'!$F$29</f>
        <v>547.62448399999994</v>
      </c>
      <c r="H54" s="207">
        <f t="shared" si="11"/>
        <v>847.95251031578937</v>
      </c>
      <c r="I54" s="207">
        <f t="shared" si="12"/>
        <v>115.37248968421068</v>
      </c>
      <c r="J54" s="207">
        <f t="shared" si="10"/>
        <v>445.37248968421068</v>
      </c>
      <c r="K54" s="976">
        <f t="shared" si="13"/>
        <v>618.32166047594308</v>
      </c>
      <c r="L54" s="977">
        <f t="shared" si="14"/>
        <v>211.81444264091684</v>
      </c>
      <c r="M54" s="977">
        <f t="shared" si="15"/>
        <v>544.26844957122785</v>
      </c>
      <c r="N54" s="977">
        <f t="shared" si="16"/>
        <v>74.053210904715229</v>
      </c>
      <c r="O54" s="978">
        <f t="shared" si="17"/>
        <v>285.86765354563204</v>
      </c>
      <c r="P54" s="976">
        <f t="shared" si="22"/>
        <v>12463.436317468568</v>
      </c>
      <c r="Q54" s="977">
        <f t="shared" si="18"/>
        <v>4269.5185786361071</v>
      </c>
      <c r="R54" s="977">
        <f t="shared" si="19"/>
        <v>10970.754535134509</v>
      </c>
      <c r="S54" s="977">
        <f t="shared" si="20"/>
        <v>1492.6817823340607</v>
      </c>
      <c r="T54" s="978">
        <f t="shared" si="21"/>
        <v>5762.2003609701678</v>
      </c>
    </row>
    <row r="61" spans="2:20" x14ac:dyDescent="0.3">
      <c r="B61" s="211" t="s">
        <v>5</v>
      </c>
      <c r="C61" s="194"/>
      <c r="D61" s="193"/>
      <c r="E61" s="102"/>
      <c r="F61" s="102"/>
      <c r="G61" s="102"/>
      <c r="H61" s="102"/>
      <c r="I61" s="102"/>
      <c r="J61" s="102"/>
      <c r="K61" s="102"/>
      <c r="L61" s="102"/>
      <c r="M61" s="102"/>
      <c r="N61" s="102"/>
      <c r="O61" s="102"/>
      <c r="P61" s="102"/>
      <c r="Q61" s="102"/>
      <c r="R61" s="102"/>
      <c r="S61" s="102"/>
      <c r="T61" s="102"/>
    </row>
    <row r="62" spans="2:20" x14ac:dyDescent="0.3">
      <c r="B62" s="203"/>
      <c r="C62" s="1108"/>
      <c r="D62" s="1108"/>
      <c r="E62" s="1108"/>
      <c r="F62" s="148"/>
      <c r="G62" s="1108"/>
      <c r="H62" s="1108"/>
      <c r="I62" s="148"/>
      <c r="J62" s="148"/>
      <c r="K62" s="1109" t="s">
        <v>270</v>
      </c>
      <c r="L62" s="1110"/>
      <c r="M62" s="1110"/>
      <c r="N62" s="1110"/>
      <c r="O62" s="1111"/>
      <c r="P62" s="1109" t="s">
        <v>271</v>
      </c>
      <c r="Q62" s="1110"/>
      <c r="R62" s="1110"/>
      <c r="S62" s="1110"/>
      <c r="T62" s="1111"/>
    </row>
    <row r="63" spans="2:20" ht="51" x14ac:dyDescent="0.3">
      <c r="B63" s="204" t="s">
        <v>272</v>
      </c>
      <c r="C63" s="171" t="s">
        <v>676</v>
      </c>
      <c r="D63" s="171" t="s">
        <v>672</v>
      </c>
      <c r="E63" s="171" t="s">
        <v>677</v>
      </c>
      <c r="F63" s="205" t="s">
        <v>283</v>
      </c>
      <c r="G63" s="171" t="s">
        <v>275</v>
      </c>
      <c r="H63" s="171" t="s">
        <v>276</v>
      </c>
      <c r="I63" s="171" t="s">
        <v>678</v>
      </c>
      <c r="J63" s="171" t="s">
        <v>679</v>
      </c>
      <c r="K63" s="195" t="s">
        <v>277</v>
      </c>
      <c r="L63" s="171" t="s">
        <v>680</v>
      </c>
      <c r="M63" s="171" t="s">
        <v>278</v>
      </c>
      <c r="N63" s="171" t="s">
        <v>681</v>
      </c>
      <c r="O63" s="198" t="s">
        <v>279</v>
      </c>
      <c r="P63" s="195" t="s">
        <v>280</v>
      </c>
      <c r="Q63" s="171" t="s">
        <v>682</v>
      </c>
      <c r="R63" s="171" t="s">
        <v>281</v>
      </c>
      <c r="S63" s="171" t="s">
        <v>683</v>
      </c>
      <c r="T63" s="198" t="s">
        <v>282</v>
      </c>
    </row>
    <row r="64" spans="2:20" x14ac:dyDescent="0.3">
      <c r="B64" s="173"/>
      <c r="C64" s="201" t="s">
        <v>567</v>
      </c>
      <c r="D64" s="201" t="s">
        <v>567</v>
      </c>
      <c r="E64" s="201" t="s">
        <v>567</v>
      </c>
      <c r="F64" s="201" t="s">
        <v>567</v>
      </c>
      <c r="G64" s="201" t="s">
        <v>567</v>
      </c>
      <c r="H64" s="201" t="s">
        <v>567</v>
      </c>
      <c r="I64" s="201" t="s">
        <v>567</v>
      </c>
      <c r="J64" s="202" t="s">
        <v>567</v>
      </c>
      <c r="K64" s="201" t="s">
        <v>567</v>
      </c>
      <c r="L64" s="201" t="s">
        <v>567</v>
      </c>
      <c r="M64" s="201" t="s">
        <v>567</v>
      </c>
      <c r="N64" s="201" t="s">
        <v>567</v>
      </c>
      <c r="O64" s="202" t="s">
        <v>567</v>
      </c>
      <c r="P64" s="201" t="s">
        <v>567</v>
      </c>
      <c r="Q64" s="201" t="s">
        <v>567</v>
      </c>
      <c r="R64" s="201" t="s">
        <v>567</v>
      </c>
      <c r="S64" s="201" t="s">
        <v>567</v>
      </c>
      <c r="T64" s="202" t="s">
        <v>567</v>
      </c>
    </row>
    <row r="65" spans="2:20" x14ac:dyDescent="0.3">
      <c r="B65" s="728">
        <v>1</v>
      </c>
      <c r="C65" s="197">
        <f>'Margins summary'!$G$12</f>
        <v>622.34900000000005</v>
      </c>
      <c r="D65" s="197">
        <f>'Margins summary'!$G$13</f>
        <v>330</v>
      </c>
      <c r="E65" s="197">
        <f>'Margins summary'!$G$18</f>
        <v>952.34900000000005</v>
      </c>
      <c r="F65" s="197">
        <f>'Margins summary'!$G$24</f>
        <v>327.77441459954235</v>
      </c>
      <c r="G65" s="197">
        <f>'Margins summary'!$G$29</f>
        <v>704.91322685714283</v>
      </c>
      <c r="H65" s="197">
        <f>F65+G65</f>
        <v>1032.6876414566852</v>
      </c>
      <c r="I65" s="197">
        <f>C65-H65</f>
        <v>-410.3386414566852</v>
      </c>
      <c r="J65" s="197">
        <f t="shared" ref="J65:J80" si="23">E65-H65</f>
        <v>-80.338641456685195</v>
      </c>
      <c r="K65" s="973">
        <f>C65/(1+$C$6)^($B65-1)</f>
        <v>622.34900000000005</v>
      </c>
      <c r="L65" s="979">
        <f>D65/(1+$C$6)^($B65-1)</f>
        <v>330</v>
      </c>
      <c r="M65" s="974">
        <f>H65/(1+$C$6)^($B65-1)</f>
        <v>1032.6876414566852</v>
      </c>
      <c r="N65" s="974">
        <f>K65-M65</f>
        <v>-410.3386414566852</v>
      </c>
      <c r="O65" s="975">
        <f>N65+L65</f>
        <v>-80.338641456685195</v>
      </c>
      <c r="P65" s="973">
        <f>K65</f>
        <v>622.34900000000005</v>
      </c>
      <c r="Q65" s="974">
        <f>L65</f>
        <v>330</v>
      </c>
      <c r="R65" s="974">
        <f>M65</f>
        <v>1032.6876414566852</v>
      </c>
      <c r="S65" s="974">
        <f>N65</f>
        <v>-410.3386414566852</v>
      </c>
      <c r="T65" s="975">
        <f>O65</f>
        <v>-80.338641456685195</v>
      </c>
    </row>
    <row r="66" spans="2:20" x14ac:dyDescent="0.3">
      <c r="B66" s="419">
        <v>2</v>
      </c>
      <c r="C66" s="197">
        <f>'Margins summary'!$G$12</f>
        <v>622.34900000000005</v>
      </c>
      <c r="D66" s="197">
        <f>'Margins summary'!$G$13</f>
        <v>330</v>
      </c>
      <c r="E66" s="197">
        <f>'Margins summary'!$G$18</f>
        <v>952.34900000000005</v>
      </c>
      <c r="F66" s="197">
        <f>'Margins summary'!$G$24</f>
        <v>327.77441459954235</v>
      </c>
      <c r="G66" s="197">
        <f>'Margins summary'!$G$29</f>
        <v>704.91322685714283</v>
      </c>
      <c r="H66" s="197">
        <f t="shared" ref="H66:H80" si="24">F66+G66</f>
        <v>1032.6876414566852</v>
      </c>
      <c r="I66" s="197">
        <f t="shared" ref="I66:I80" si="25">C66-H66</f>
        <v>-410.3386414566852</v>
      </c>
      <c r="J66" s="197">
        <f t="shared" si="23"/>
        <v>-80.338641456685195</v>
      </c>
      <c r="K66" s="973">
        <f t="shared" ref="K66:K80" si="26">C66/(1+$C$6)^($B66-1)</f>
        <v>604.22233009708737</v>
      </c>
      <c r="L66" s="974">
        <f t="shared" ref="L66:L80" si="27">D66/(1+$C$6)^($B66-1)</f>
        <v>320.38834951456312</v>
      </c>
      <c r="M66" s="974">
        <f t="shared" ref="M66:M80" si="28">H66/(1+$C$6)^($B66-1)</f>
        <v>1002.6093606375584</v>
      </c>
      <c r="N66" s="974">
        <f t="shared" ref="N66:N80" si="29">K66-M66</f>
        <v>-398.38703054047107</v>
      </c>
      <c r="O66" s="975">
        <f t="shared" ref="O66:O80" si="30">N66+L66</f>
        <v>-77.998681025907956</v>
      </c>
      <c r="P66" s="973">
        <f>P65+K66</f>
        <v>1226.5713300970874</v>
      </c>
      <c r="Q66" s="974">
        <f t="shared" ref="Q66:Q80" si="31">Q65+L66</f>
        <v>650.38834951456306</v>
      </c>
      <c r="R66" s="974">
        <f t="shared" ref="R66:R80" si="32">R65+M66</f>
        <v>2035.2970020942437</v>
      </c>
      <c r="S66" s="974">
        <f t="shared" ref="S66:S80" si="33">S65+N66</f>
        <v>-808.72567199715627</v>
      </c>
      <c r="T66" s="975">
        <f t="shared" ref="T66:T80" si="34">T65+O66</f>
        <v>-158.33732248259315</v>
      </c>
    </row>
    <row r="67" spans="2:20" x14ac:dyDescent="0.3">
      <c r="B67" s="419">
        <v>3</v>
      </c>
      <c r="C67" s="197">
        <f>'Margins summary'!$G$12</f>
        <v>622.34900000000005</v>
      </c>
      <c r="D67" s="197">
        <f>'Margins summary'!$G$13</f>
        <v>330</v>
      </c>
      <c r="E67" s="197">
        <f>'Margins summary'!$G$18</f>
        <v>952.34900000000005</v>
      </c>
      <c r="F67" s="197">
        <f>'Margins summary'!$G$24</f>
        <v>327.77441459954235</v>
      </c>
      <c r="G67" s="197">
        <f>'Margins summary'!$G$29</f>
        <v>704.91322685714283</v>
      </c>
      <c r="H67" s="197">
        <f t="shared" si="24"/>
        <v>1032.6876414566852</v>
      </c>
      <c r="I67" s="197">
        <f t="shared" si="25"/>
        <v>-410.3386414566852</v>
      </c>
      <c r="J67" s="197">
        <f t="shared" si="23"/>
        <v>-80.338641456685195</v>
      </c>
      <c r="K67" s="973">
        <f t="shared" si="26"/>
        <v>586.623621453483</v>
      </c>
      <c r="L67" s="974">
        <f t="shared" si="27"/>
        <v>311.05665001413894</v>
      </c>
      <c r="M67" s="974">
        <f t="shared" si="28"/>
        <v>973.40714625005683</v>
      </c>
      <c r="N67" s="974">
        <f t="shared" si="29"/>
        <v>-386.78352479657383</v>
      </c>
      <c r="O67" s="975">
        <f t="shared" si="30"/>
        <v>-75.726874782434891</v>
      </c>
      <c r="P67" s="973">
        <f t="shared" ref="P67:P80" si="35">P66+K67</f>
        <v>1813.1949515505703</v>
      </c>
      <c r="Q67" s="974">
        <f t="shared" si="31"/>
        <v>961.44499952870206</v>
      </c>
      <c r="R67" s="974">
        <f t="shared" si="32"/>
        <v>3008.7041483443004</v>
      </c>
      <c r="S67" s="974">
        <f t="shared" si="33"/>
        <v>-1195.5091967937301</v>
      </c>
      <c r="T67" s="975">
        <f t="shared" si="34"/>
        <v>-234.06419726502804</v>
      </c>
    </row>
    <row r="68" spans="2:20" x14ac:dyDescent="0.3">
      <c r="B68" s="419">
        <v>4</v>
      </c>
      <c r="C68" s="197">
        <f>'Margins summary'!$G$12</f>
        <v>622.34900000000005</v>
      </c>
      <c r="D68" s="197">
        <f>'Margins summary'!$G$13</f>
        <v>330</v>
      </c>
      <c r="E68" s="197">
        <f>'Margins summary'!$G$18</f>
        <v>952.34900000000005</v>
      </c>
      <c r="F68" s="197">
        <f>'Margins summary'!$G$24</f>
        <v>327.77441459954235</v>
      </c>
      <c r="G68" s="197">
        <f>'Margins summary'!$G$29</f>
        <v>704.91322685714283</v>
      </c>
      <c r="H68" s="197">
        <f t="shared" si="24"/>
        <v>1032.6876414566852</v>
      </c>
      <c r="I68" s="197">
        <f t="shared" si="25"/>
        <v>-410.3386414566852</v>
      </c>
      <c r="J68" s="197">
        <f t="shared" si="23"/>
        <v>-80.338641456685195</v>
      </c>
      <c r="K68" s="973">
        <f t="shared" si="26"/>
        <v>569.5374965567795</v>
      </c>
      <c r="L68" s="974">
        <f t="shared" si="27"/>
        <v>301.99674758654265</v>
      </c>
      <c r="M68" s="974">
        <f t="shared" si="28"/>
        <v>945.05548179617165</v>
      </c>
      <c r="N68" s="974">
        <f t="shared" si="29"/>
        <v>-375.51798523939215</v>
      </c>
      <c r="O68" s="975">
        <f t="shared" si="30"/>
        <v>-73.521237652849493</v>
      </c>
      <c r="P68" s="973">
        <f t="shared" si="35"/>
        <v>2382.7324481073497</v>
      </c>
      <c r="Q68" s="974">
        <f t="shared" si="31"/>
        <v>1263.4417471152447</v>
      </c>
      <c r="R68" s="974">
        <f t="shared" si="32"/>
        <v>3953.7596301404719</v>
      </c>
      <c r="S68" s="974">
        <f t="shared" si="33"/>
        <v>-1571.0271820331222</v>
      </c>
      <c r="T68" s="975">
        <f t="shared" si="34"/>
        <v>-307.58543491787754</v>
      </c>
    </row>
    <row r="69" spans="2:20" x14ac:dyDescent="0.3">
      <c r="B69" s="419">
        <v>5</v>
      </c>
      <c r="C69" s="197">
        <f>'Margins summary'!$G$12</f>
        <v>622.34900000000005</v>
      </c>
      <c r="D69" s="197">
        <f>'Margins summary'!$G$13</f>
        <v>330</v>
      </c>
      <c r="E69" s="197">
        <f>'Margins summary'!$G$18</f>
        <v>952.34900000000005</v>
      </c>
      <c r="F69" s="197">
        <f>'Margins summary'!$G$24</f>
        <v>327.77441459954235</v>
      </c>
      <c r="G69" s="197">
        <f>'Margins summary'!$G$29</f>
        <v>704.91322685714283</v>
      </c>
      <c r="H69" s="197">
        <f t="shared" si="24"/>
        <v>1032.6876414566852</v>
      </c>
      <c r="I69" s="197">
        <f t="shared" si="25"/>
        <v>-410.3386414566852</v>
      </c>
      <c r="J69" s="197">
        <f t="shared" si="23"/>
        <v>-80.338641456685195</v>
      </c>
      <c r="K69" s="973">
        <f t="shared" si="26"/>
        <v>552.94902578328117</v>
      </c>
      <c r="L69" s="974">
        <f t="shared" si="27"/>
        <v>293.20072581217738</v>
      </c>
      <c r="M69" s="974">
        <f t="shared" si="28"/>
        <v>917.52959397686573</v>
      </c>
      <c r="N69" s="974">
        <f t="shared" si="29"/>
        <v>-364.58056819358455</v>
      </c>
      <c r="O69" s="975">
        <f t="shared" si="30"/>
        <v>-71.379842381407173</v>
      </c>
      <c r="P69" s="973">
        <f t="shared" si="35"/>
        <v>2935.681473890631</v>
      </c>
      <c r="Q69" s="974">
        <f t="shared" si="31"/>
        <v>1556.642472927422</v>
      </c>
      <c r="R69" s="974">
        <f t="shared" si="32"/>
        <v>4871.2892241173377</v>
      </c>
      <c r="S69" s="974">
        <f t="shared" si="33"/>
        <v>-1935.6077502267067</v>
      </c>
      <c r="T69" s="975">
        <f t="shared" si="34"/>
        <v>-378.96527729928471</v>
      </c>
    </row>
    <row r="70" spans="2:20" x14ac:dyDescent="0.3">
      <c r="B70" s="419">
        <v>6</v>
      </c>
      <c r="C70" s="197">
        <f>'Margins summary'!$G$12</f>
        <v>622.34900000000005</v>
      </c>
      <c r="D70" s="197">
        <f>'Margins summary'!$G$13</f>
        <v>330</v>
      </c>
      <c r="E70" s="197">
        <f>'Margins summary'!$G$18</f>
        <v>952.34900000000005</v>
      </c>
      <c r="F70" s="197">
        <f>'Margins summary'!$G$24</f>
        <v>327.77441459954235</v>
      </c>
      <c r="G70" s="197">
        <f>'Margins summary'!$G$29</f>
        <v>704.91322685714283</v>
      </c>
      <c r="H70" s="197">
        <f t="shared" si="24"/>
        <v>1032.6876414566852</v>
      </c>
      <c r="I70" s="197">
        <f t="shared" si="25"/>
        <v>-410.3386414566852</v>
      </c>
      <c r="J70" s="197">
        <f t="shared" si="23"/>
        <v>-80.338641456685195</v>
      </c>
      <c r="K70" s="973">
        <f t="shared" si="26"/>
        <v>536.8437143527002</v>
      </c>
      <c r="L70" s="974">
        <f t="shared" si="27"/>
        <v>284.66089884677416</v>
      </c>
      <c r="M70" s="974">
        <f t="shared" si="28"/>
        <v>890.80543104550077</v>
      </c>
      <c r="N70" s="974">
        <f t="shared" si="29"/>
        <v>-353.96171669280056</v>
      </c>
      <c r="O70" s="975">
        <f t="shared" si="30"/>
        <v>-69.300817846026405</v>
      </c>
      <c r="P70" s="973">
        <f t="shared" si="35"/>
        <v>3472.5251882433313</v>
      </c>
      <c r="Q70" s="974">
        <f t="shared" si="31"/>
        <v>1841.3033717741962</v>
      </c>
      <c r="R70" s="974">
        <f t="shared" si="32"/>
        <v>5762.0946551628385</v>
      </c>
      <c r="S70" s="974">
        <f t="shared" si="33"/>
        <v>-2289.5694669195072</v>
      </c>
      <c r="T70" s="975">
        <f t="shared" si="34"/>
        <v>-448.26609514531111</v>
      </c>
    </row>
    <row r="71" spans="2:20" x14ac:dyDescent="0.3">
      <c r="B71" s="419">
        <v>7</v>
      </c>
      <c r="C71" s="197">
        <f>'Margins summary'!$G$12</f>
        <v>622.34900000000005</v>
      </c>
      <c r="D71" s="197">
        <f>'Margins summary'!$G$13</f>
        <v>330</v>
      </c>
      <c r="E71" s="197">
        <f>'Margins summary'!$G$18</f>
        <v>952.34900000000005</v>
      </c>
      <c r="F71" s="197">
        <f>'Margins summary'!$G$24</f>
        <v>327.77441459954235</v>
      </c>
      <c r="G71" s="197">
        <f>'Margins summary'!$G$29</f>
        <v>704.91322685714283</v>
      </c>
      <c r="H71" s="197">
        <f t="shared" si="24"/>
        <v>1032.6876414566852</v>
      </c>
      <c r="I71" s="197">
        <f t="shared" si="25"/>
        <v>-410.3386414566852</v>
      </c>
      <c r="J71" s="197">
        <f t="shared" si="23"/>
        <v>-80.338641456685195</v>
      </c>
      <c r="K71" s="973">
        <f t="shared" si="26"/>
        <v>521.20748966281565</v>
      </c>
      <c r="L71" s="974">
        <f t="shared" si="27"/>
        <v>276.36980470560593</v>
      </c>
      <c r="M71" s="974">
        <f t="shared" si="28"/>
        <v>864.85964179174823</v>
      </c>
      <c r="N71" s="974">
        <f t="shared" si="29"/>
        <v>-343.65215212893258</v>
      </c>
      <c r="O71" s="975">
        <f t="shared" si="30"/>
        <v>-67.282347423326655</v>
      </c>
      <c r="P71" s="973">
        <f t="shared" si="35"/>
        <v>3993.7326779061468</v>
      </c>
      <c r="Q71" s="974">
        <f t="shared" si="31"/>
        <v>2117.6731764798024</v>
      </c>
      <c r="R71" s="974">
        <f t="shared" si="32"/>
        <v>6626.9542969545864</v>
      </c>
      <c r="S71" s="974">
        <f t="shared" si="33"/>
        <v>-2633.2216190484396</v>
      </c>
      <c r="T71" s="975">
        <f t="shared" si="34"/>
        <v>-515.54844256863771</v>
      </c>
    </row>
    <row r="72" spans="2:20" x14ac:dyDescent="0.3">
      <c r="B72" s="419">
        <v>8</v>
      </c>
      <c r="C72" s="197">
        <f>'Margins summary'!$G$12</f>
        <v>622.34900000000005</v>
      </c>
      <c r="D72" s="197">
        <f>'Margins summary'!$G$13</f>
        <v>330</v>
      </c>
      <c r="E72" s="197">
        <f>'Margins summary'!$G$18</f>
        <v>952.34900000000005</v>
      </c>
      <c r="F72" s="197">
        <f>'Margins summary'!$G$24</f>
        <v>327.77441459954235</v>
      </c>
      <c r="G72" s="197">
        <f>'Margins summary'!$G$29</f>
        <v>704.91322685714283</v>
      </c>
      <c r="H72" s="197">
        <f t="shared" si="24"/>
        <v>1032.6876414566852</v>
      </c>
      <c r="I72" s="197">
        <f t="shared" si="25"/>
        <v>-410.3386414566852</v>
      </c>
      <c r="J72" s="197">
        <f t="shared" si="23"/>
        <v>-80.338641456685195</v>
      </c>
      <c r="K72" s="973">
        <f t="shared" si="26"/>
        <v>506.02668899302489</v>
      </c>
      <c r="L72" s="974">
        <f t="shared" si="27"/>
        <v>268.32019874330672</v>
      </c>
      <c r="M72" s="974">
        <f t="shared" si="28"/>
        <v>839.66955513761957</v>
      </c>
      <c r="N72" s="974">
        <f t="shared" si="29"/>
        <v>-333.64286614459468</v>
      </c>
      <c r="O72" s="975">
        <f t="shared" si="30"/>
        <v>-65.322667401287958</v>
      </c>
      <c r="P72" s="973">
        <f t="shared" si="35"/>
        <v>4499.7593668991722</v>
      </c>
      <c r="Q72" s="974">
        <f t="shared" si="31"/>
        <v>2385.9933752231091</v>
      </c>
      <c r="R72" s="974">
        <f t="shared" si="32"/>
        <v>7466.6238520922061</v>
      </c>
      <c r="S72" s="974">
        <f t="shared" si="33"/>
        <v>-2966.8644851930344</v>
      </c>
      <c r="T72" s="975">
        <f t="shared" si="34"/>
        <v>-580.87110996992567</v>
      </c>
    </row>
    <row r="73" spans="2:20" x14ac:dyDescent="0.3">
      <c r="B73" s="419">
        <v>9</v>
      </c>
      <c r="C73" s="197">
        <f>'Margins summary'!$G$12</f>
        <v>622.34900000000005</v>
      </c>
      <c r="D73" s="197">
        <f>'Margins summary'!$G$13</f>
        <v>330</v>
      </c>
      <c r="E73" s="197">
        <f>'Margins summary'!$G$18</f>
        <v>952.34900000000005</v>
      </c>
      <c r="F73" s="197">
        <f>'Margins summary'!$G$24</f>
        <v>327.77441459954235</v>
      </c>
      <c r="G73" s="197">
        <f>'Margins summary'!$G$29</f>
        <v>704.91322685714283</v>
      </c>
      <c r="H73" s="197">
        <f t="shared" si="24"/>
        <v>1032.6876414566852</v>
      </c>
      <c r="I73" s="197">
        <f t="shared" si="25"/>
        <v>-410.3386414566852</v>
      </c>
      <c r="J73" s="197">
        <f t="shared" si="23"/>
        <v>-80.338641456685195</v>
      </c>
      <c r="K73" s="973">
        <f t="shared" si="26"/>
        <v>491.28804756604364</v>
      </c>
      <c r="L73" s="974">
        <f t="shared" si="27"/>
        <v>260.50504732359883</v>
      </c>
      <c r="M73" s="974">
        <f t="shared" si="28"/>
        <v>815.21316032778611</v>
      </c>
      <c r="N73" s="974">
        <f t="shared" si="29"/>
        <v>-323.92511276174247</v>
      </c>
      <c r="O73" s="975">
        <f t="shared" si="30"/>
        <v>-63.420065438143638</v>
      </c>
      <c r="P73" s="973">
        <f t="shared" si="35"/>
        <v>4991.0474144652162</v>
      </c>
      <c r="Q73" s="974">
        <f t="shared" si="31"/>
        <v>2646.4984225467078</v>
      </c>
      <c r="R73" s="974">
        <f t="shared" si="32"/>
        <v>8281.8370124199919</v>
      </c>
      <c r="S73" s="974">
        <f t="shared" si="33"/>
        <v>-3290.789597954777</v>
      </c>
      <c r="T73" s="975">
        <f t="shared" si="34"/>
        <v>-644.29117540806931</v>
      </c>
    </row>
    <row r="74" spans="2:20" x14ac:dyDescent="0.3">
      <c r="B74" s="419">
        <v>10</v>
      </c>
      <c r="C74" s="197">
        <f>'Margins summary'!$G$12</f>
        <v>622.34900000000005</v>
      </c>
      <c r="D74" s="197">
        <f>'Margins summary'!$G$13</f>
        <v>330</v>
      </c>
      <c r="E74" s="197">
        <f>'Margins summary'!$G$18</f>
        <v>952.34900000000005</v>
      </c>
      <c r="F74" s="197">
        <f>'Margins summary'!$G$24</f>
        <v>327.77441459954235</v>
      </c>
      <c r="G74" s="197">
        <f>'Margins summary'!$G$29</f>
        <v>704.91322685714283</v>
      </c>
      <c r="H74" s="197">
        <f t="shared" si="24"/>
        <v>1032.6876414566852</v>
      </c>
      <c r="I74" s="197">
        <f t="shared" si="25"/>
        <v>-410.3386414566852</v>
      </c>
      <c r="J74" s="197">
        <f t="shared" si="23"/>
        <v>-80.338641456685195</v>
      </c>
      <c r="K74" s="973">
        <f t="shared" si="26"/>
        <v>476.97868695732393</v>
      </c>
      <c r="L74" s="974">
        <f t="shared" si="27"/>
        <v>252.91752167339689</v>
      </c>
      <c r="M74" s="974">
        <f t="shared" si="28"/>
        <v>791.46908769687968</v>
      </c>
      <c r="N74" s="974">
        <f t="shared" si="29"/>
        <v>-314.49040073955575</v>
      </c>
      <c r="O74" s="975">
        <f t="shared" si="30"/>
        <v>-61.572879066158862</v>
      </c>
      <c r="P74" s="973">
        <f t="shared" si="35"/>
        <v>5468.0261014225398</v>
      </c>
      <c r="Q74" s="974">
        <f t="shared" si="31"/>
        <v>2899.4159442201048</v>
      </c>
      <c r="R74" s="974">
        <f t="shared" si="32"/>
        <v>9073.3061001168717</v>
      </c>
      <c r="S74" s="974">
        <f t="shared" si="33"/>
        <v>-3605.2799986943328</v>
      </c>
      <c r="T74" s="975">
        <f t="shared" si="34"/>
        <v>-705.86405447422817</v>
      </c>
    </row>
    <row r="75" spans="2:20" x14ac:dyDescent="0.3">
      <c r="B75" s="419">
        <v>11</v>
      </c>
      <c r="C75" s="197">
        <f>'Margins summary'!$G$12</f>
        <v>622.34900000000005</v>
      </c>
      <c r="D75" s="197">
        <f>'Margins summary'!$G$13</f>
        <v>330</v>
      </c>
      <c r="E75" s="197">
        <f>'Margins summary'!$G$18</f>
        <v>952.34900000000005</v>
      </c>
      <c r="F75" s="197">
        <f>'Margins summary'!$G$24</f>
        <v>327.77441459954235</v>
      </c>
      <c r="G75" s="197">
        <f>'Margins summary'!$G$29</f>
        <v>704.91322685714283</v>
      </c>
      <c r="H75" s="197">
        <f t="shared" si="24"/>
        <v>1032.6876414566852</v>
      </c>
      <c r="I75" s="197">
        <f t="shared" si="25"/>
        <v>-410.3386414566852</v>
      </c>
      <c r="J75" s="197">
        <f t="shared" si="23"/>
        <v>-80.338641456685195</v>
      </c>
      <c r="K75" s="973">
        <f t="shared" si="26"/>
        <v>463.08610384206207</v>
      </c>
      <c r="L75" s="974">
        <f t="shared" si="27"/>
        <v>245.55099191591933</v>
      </c>
      <c r="M75" s="974">
        <f t="shared" si="28"/>
        <v>768.41658999697063</v>
      </c>
      <c r="N75" s="974">
        <f t="shared" si="29"/>
        <v>-305.33048615490856</v>
      </c>
      <c r="O75" s="975">
        <f t="shared" si="30"/>
        <v>-59.77949423898923</v>
      </c>
      <c r="P75" s="973">
        <f t="shared" si="35"/>
        <v>5931.1122052646015</v>
      </c>
      <c r="Q75" s="974">
        <f t="shared" si="31"/>
        <v>3144.9669361360243</v>
      </c>
      <c r="R75" s="974">
        <f t="shared" si="32"/>
        <v>9841.722690113842</v>
      </c>
      <c r="S75" s="974">
        <f t="shared" si="33"/>
        <v>-3910.6104848492414</v>
      </c>
      <c r="T75" s="975">
        <f t="shared" si="34"/>
        <v>-765.64354871321734</v>
      </c>
    </row>
    <row r="76" spans="2:20" x14ac:dyDescent="0.3">
      <c r="B76" s="419">
        <v>12</v>
      </c>
      <c r="C76" s="197">
        <f>'Margins summary'!$G$12</f>
        <v>622.34900000000005</v>
      </c>
      <c r="D76" s="197">
        <f>'Margins summary'!$G$13</f>
        <v>330</v>
      </c>
      <c r="E76" s="197">
        <f>'Margins summary'!$G$18</f>
        <v>952.34900000000005</v>
      </c>
      <c r="F76" s="197">
        <f>'Margins summary'!$G$24</f>
        <v>327.77441459954235</v>
      </c>
      <c r="G76" s="197">
        <f>'Margins summary'!$G$29</f>
        <v>704.91322685714283</v>
      </c>
      <c r="H76" s="197">
        <f t="shared" si="24"/>
        <v>1032.6876414566852</v>
      </c>
      <c r="I76" s="197">
        <f t="shared" si="25"/>
        <v>-410.3386414566852</v>
      </c>
      <c r="J76" s="197">
        <f t="shared" si="23"/>
        <v>-80.338641456685195</v>
      </c>
      <c r="K76" s="973">
        <f t="shared" si="26"/>
        <v>449.59815906996317</v>
      </c>
      <c r="L76" s="974">
        <f t="shared" si="27"/>
        <v>238.39902127759154</v>
      </c>
      <c r="M76" s="974">
        <f t="shared" si="28"/>
        <v>746.03552426890349</v>
      </c>
      <c r="N76" s="974">
        <f t="shared" si="29"/>
        <v>-296.43736519894031</v>
      </c>
      <c r="O76" s="975">
        <f t="shared" si="30"/>
        <v>-58.038343921348769</v>
      </c>
      <c r="P76" s="973">
        <f t="shared" si="35"/>
        <v>6380.7103643345645</v>
      </c>
      <c r="Q76" s="974">
        <f t="shared" si="31"/>
        <v>3383.3659574136159</v>
      </c>
      <c r="R76" s="974">
        <f t="shared" si="32"/>
        <v>10587.758214382746</v>
      </c>
      <c r="S76" s="974">
        <f t="shared" si="33"/>
        <v>-4207.0478500481813</v>
      </c>
      <c r="T76" s="975">
        <f t="shared" si="34"/>
        <v>-823.68189263456611</v>
      </c>
    </row>
    <row r="77" spans="2:20" x14ac:dyDescent="0.3">
      <c r="B77" s="419">
        <v>13</v>
      </c>
      <c r="C77" s="197">
        <f>'Margins summary'!$G$12</f>
        <v>622.34900000000005</v>
      </c>
      <c r="D77" s="197">
        <f>'Margins summary'!$G$13</f>
        <v>330</v>
      </c>
      <c r="E77" s="197">
        <f>'Margins summary'!$G$18</f>
        <v>952.34900000000005</v>
      </c>
      <c r="F77" s="197">
        <f>'Margins summary'!$G$24</f>
        <v>327.77441459954235</v>
      </c>
      <c r="G77" s="197">
        <f>'Margins summary'!$G$29</f>
        <v>704.91322685714283</v>
      </c>
      <c r="H77" s="197">
        <f t="shared" si="24"/>
        <v>1032.6876414566852</v>
      </c>
      <c r="I77" s="197">
        <f t="shared" si="25"/>
        <v>-410.3386414566852</v>
      </c>
      <c r="J77" s="197">
        <f t="shared" si="23"/>
        <v>-80.338641456685195</v>
      </c>
      <c r="K77" s="973">
        <f t="shared" si="26"/>
        <v>436.50306705821674</v>
      </c>
      <c r="L77" s="974">
        <f t="shared" si="27"/>
        <v>231.45536046368116</v>
      </c>
      <c r="M77" s="974">
        <f t="shared" si="28"/>
        <v>724.30633424165399</v>
      </c>
      <c r="N77" s="974">
        <f t="shared" si="29"/>
        <v>-287.80326718343724</v>
      </c>
      <c r="O77" s="975">
        <f t="shared" si="30"/>
        <v>-56.347906719756082</v>
      </c>
      <c r="P77" s="973">
        <f t="shared" si="35"/>
        <v>6817.2134313927809</v>
      </c>
      <c r="Q77" s="974">
        <f t="shared" si="31"/>
        <v>3614.8213178772971</v>
      </c>
      <c r="R77" s="974">
        <f t="shared" si="32"/>
        <v>11312.064548624399</v>
      </c>
      <c r="S77" s="974">
        <f t="shared" si="33"/>
        <v>-4494.8511172316184</v>
      </c>
      <c r="T77" s="975">
        <f t="shared" si="34"/>
        <v>-880.02979935432222</v>
      </c>
    </row>
    <row r="78" spans="2:20" x14ac:dyDescent="0.3">
      <c r="B78" s="419">
        <v>14</v>
      </c>
      <c r="C78" s="197">
        <f>'Margins summary'!$G$12</f>
        <v>622.34900000000005</v>
      </c>
      <c r="D78" s="197">
        <f>'Margins summary'!$G$13</f>
        <v>330</v>
      </c>
      <c r="E78" s="197">
        <f>'Margins summary'!$G$18</f>
        <v>952.34900000000005</v>
      </c>
      <c r="F78" s="197">
        <f>'Margins summary'!$G$24</f>
        <v>327.77441459954235</v>
      </c>
      <c r="G78" s="197">
        <f>'Margins summary'!$G$29</f>
        <v>704.91322685714283</v>
      </c>
      <c r="H78" s="197">
        <f t="shared" si="24"/>
        <v>1032.6876414566852</v>
      </c>
      <c r="I78" s="197">
        <f t="shared" si="25"/>
        <v>-410.3386414566852</v>
      </c>
      <c r="J78" s="197">
        <f t="shared" si="23"/>
        <v>-80.338641456685195</v>
      </c>
      <c r="K78" s="973">
        <f t="shared" si="26"/>
        <v>423.78938549341433</v>
      </c>
      <c r="L78" s="974">
        <f t="shared" si="27"/>
        <v>224.71394219774871</v>
      </c>
      <c r="M78" s="974">
        <f t="shared" si="28"/>
        <v>703.21003324432422</v>
      </c>
      <c r="N78" s="974">
        <f t="shared" si="29"/>
        <v>-279.42064775090989</v>
      </c>
      <c r="O78" s="975">
        <f t="shared" si="30"/>
        <v>-54.706705553161186</v>
      </c>
      <c r="P78" s="973">
        <f t="shared" si="35"/>
        <v>7241.0028168861954</v>
      </c>
      <c r="Q78" s="974">
        <f t="shared" si="31"/>
        <v>3839.5352600750457</v>
      </c>
      <c r="R78" s="974">
        <f t="shared" si="32"/>
        <v>12015.274581868724</v>
      </c>
      <c r="S78" s="974">
        <f t="shared" si="33"/>
        <v>-4774.2717649825281</v>
      </c>
      <c r="T78" s="975">
        <f t="shared" si="34"/>
        <v>-934.73650490748344</v>
      </c>
    </row>
    <row r="79" spans="2:20" x14ac:dyDescent="0.3">
      <c r="B79" s="419">
        <v>15</v>
      </c>
      <c r="C79" s="197">
        <f>'Margins summary'!$G$12</f>
        <v>622.34900000000005</v>
      </c>
      <c r="D79" s="197">
        <f>'Margins summary'!$G$13</f>
        <v>330</v>
      </c>
      <c r="E79" s="197">
        <f>'Margins summary'!$G$18</f>
        <v>952.34900000000005</v>
      </c>
      <c r="F79" s="197">
        <f>'Margins summary'!$G$24</f>
        <v>327.77441459954235</v>
      </c>
      <c r="G79" s="197">
        <f>'Margins summary'!$G$29</f>
        <v>704.91322685714283</v>
      </c>
      <c r="H79" s="197">
        <f t="shared" si="24"/>
        <v>1032.6876414566852</v>
      </c>
      <c r="I79" s="197">
        <f t="shared" si="25"/>
        <v>-410.3386414566852</v>
      </c>
      <c r="J79" s="197">
        <f t="shared" si="23"/>
        <v>-80.338641456685195</v>
      </c>
      <c r="K79" s="973">
        <f t="shared" si="26"/>
        <v>411.4460053334119</v>
      </c>
      <c r="L79" s="974">
        <f t="shared" si="27"/>
        <v>218.16887592014436</v>
      </c>
      <c r="M79" s="974">
        <f t="shared" si="28"/>
        <v>682.7281876158487</v>
      </c>
      <c r="N79" s="974">
        <f t="shared" si="29"/>
        <v>-271.28218228243679</v>
      </c>
      <c r="O79" s="975">
        <f t="shared" si="30"/>
        <v>-53.113306362292434</v>
      </c>
      <c r="P79" s="973">
        <f t="shared" si="35"/>
        <v>7652.4488222196069</v>
      </c>
      <c r="Q79" s="974">
        <f t="shared" si="31"/>
        <v>4057.70413599519</v>
      </c>
      <c r="R79" s="974">
        <f t="shared" si="32"/>
        <v>12698.002769484572</v>
      </c>
      <c r="S79" s="974">
        <f t="shared" si="33"/>
        <v>-5045.5539472649652</v>
      </c>
      <c r="T79" s="975">
        <f t="shared" si="34"/>
        <v>-987.84981126977584</v>
      </c>
    </row>
    <row r="80" spans="2:20" x14ac:dyDescent="0.3">
      <c r="B80" s="560">
        <v>16</v>
      </c>
      <c r="C80" s="207">
        <f>'Margins summary'!$G$12</f>
        <v>622.34900000000005</v>
      </c>
      <c r="D80" s="207">
        <f>'Margins summary'!$G$13</f>
        <v>330</v>
      </c>
      <c r="E80" s="207">
        <f>'Margins summary'!$G$18</f>
        <v>952.34900000000005</v>
      </c>
      <c r="F80" s="207">
        <f>'Margins summary'!$G$24</f>
        <v>327.77441459954235</v>
      </c>
      <c r="G80" s="207">
        <f>'Margins summary'!$G$29</f>
        <v>704.91322685714283</v>
      </c>
      <c r="H80" s="207">
        <f t="shared" si="24"/>
        <v>1032.6876414566852</v>
      </c>
      <c r="I80" s="207">
        <f t="shared" si="25"/>
        <v>-410.3386414566852</v>
      </c>
      <c r="J80" s="207">
        <f t="shared" si="23"/>
        <v>-80.338641456685195</v>
      </c>
      <c r="K80" s="976">
        <f t="shared" si="26"/>
        <v>399.46214110039989</v>
      </c>
      <c r="L80" s="977">
        <f t="shared" si="27"/>
        <v>211.81444264091684</v>
      </c>
      <c r="M80" s="977">
        <f t="shared" si="28"/>
        <v>662.84290059791135</v>
      </c>
      <c r="N80" s="977">
        <f t="shared" si="29"/>
        <v>-263.38075949751146</v>
      </c>
      <c r="O80" s="978">
        <f t="shared" si="30"/>
        <v>-51.566316856594625</v>
      </c>
      <c r="P80" s="976">
        <f t="shared" si="35"/>
        <v>8051.9109633200069</v>
      </c>
      <c r="Q80" s="977">
        <f t="shared" si="31"/>
        <v>4269.5185786361071</v>
      </c>
      <c r="R80" s="977">
        <f t="shared" si="32"/>
        <v>13360.845670082483</v>
      </c>
      <c r="S80" s="977">
        <f t="shared" si="33"/>
        <v>-5308.9347067624767</v>
      </c>
      <c r="T80" s="978">
        <f t="shared" si="34"/>
        <v>-1039.4161281263705</v>
      </c>
    </row>
    <row r="87" spans="2:20" x14ac:dyDescent="0.3">
      <c r="B87" s="212" t="s">
        <v>560</v>
      </c>
      <c r="C87" s="194"/>
      <c r="D87" s="193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</row>
    <row r="88" spans="2:20" x14ac:dyDescent="0.3">
      <c r="B88" s="203"/>
      <c r="C88" s="1108"/>
      <c r="D88" s="1108"/>
      <c r="E88" s="1108"/>
      <c r="F88" s="148"/>
      <c r="G88" s="1108"/>
      <c r="H88" s="1108"/>
      <c r="I88" s="148"/>
      <c r="J88" s="148"/>
      <c r="K88" s="1109" t="s">
        <v>270</v>
      </c>
      <c r="L88" s="1110"/>
      <c r="M88" s="1110"/>
      <c r="N88" s="1110"/>
      <c r="O88" s="1111"/>
      <c r="P88" s="1109" t="s">
        <v>271</v>
      </c>
      <c r="Q88" s="1110"/>
      <c r="R88" s="1110"/>
      <c r="S88" s="1110"/>
      <c r="T88" s="1111"/>
    </row>
    <row r="89" spans="2:20" ht="51" x14ac:dyDescent="0.3">
      <c r="B89" s="204" t="s">
        <v>272</v>
      </c>
      <c r="C89" s="171" t="s">
        <v>676</v>
      </c>
      <c r="D89" s="171" t="s">
        <v>672</v>
      </c>
      <c r="E89" s="171" t="s">
        <v>677</v>
      </c>
      <c r="F89" s="205" t="s">
        <v>283</v>
      </c>
      <c r="G89" s="171" t="s">
        <v>275</v>
      </c>
      <c r="H89" s="171" t="s">
        <v>276</v>
      </c>
      <c r="I89" s="171" t="s">
        <v>678</v>
      </c>
      <c r="J89" s="171" t="s">
        <v>679</v>
      </c>
      <c r="K89" s="195" t="s">
        <v>277</v>
      </c>
      <c r="L89" s="171" t="s">
        <v>680</v>
      </c>
      <c r="M89" s="171" t="s">
        <v>278</v>
      </c>
      <c r="N89" s="171" t="s">
        <v>681</v>
      </c>
      <c r="O89" s="198" t="s">
        <v>279</v>
      </c>
      <c r="P89" s="195" t="s">
        <v>280</v>
      </c>
      <c r="Q89" s="171" t="s">
        <v>682</v>
      </c>
      <c r="R89" s="171" t="s">
        <v>281</v>
      </c>
      <c r="S89" s="171" t="s">
        <v>683</v>
      </c>
      <c r="T89" s="198" t="s">
        <v>282</v>
      </c>
    </row>
    <row r="90" spans="2:20" x14ac:dyDescent="0.3">
      <c r="B90" s="173"/>
      <c r="C90" s="201" t="s">
        <v>567</v>
      </c>
      <c r="D90" s="201" t="s">
        <v>567</v>
      </c>
      <c r="E90" s="201" t="s">
        <v>567</v>
      </c>
      <c r="F90" s="201" t="s">
        <v>567</v>
      </c>
      <c r="G90" s="201" t="s">
        <v>567</v>
      </c>
      <c r="H90" s="201" t="s">
        <v>567</v>
      </c>
      <c r="I90" s="201" t="s">
        <v>567</v>
      </c>
      <c r="J90" s="202" t="s">
        <v>567</v>
      </c>
      <c r="K90" s="201" t="s">
        <v>567</v>
      </c>
      <c r="L90" s="201" t="s">
        <v>567</v>
      </c>
      <c r="M90" s="201" t="s">
        <v>567</v>
      </c>
      <c r="N90" s="201" t="s">
        <v>567</v>
      </c>
      <c r="O90" s="202" t="s">
        <v>567</v>
      </c>
      <c r="P90" s="201" t="s">
        <v>567</v>
      </c>
      <c r="Q90" s="201" t="s">
        <v>567</v>
      </c>
      <c r="R90" s="201" t="s">
        <v>567</v>
      </c>
      <c r="S90" s="201" t="s">
        <v>567</v>
      </c>
      <c r="T90" s="202" t="s">
        <v>567</v>
      </c>
    </row>
    <row r="91" spans="2:20" x14ac:dyDescent="0.3">
      <c r="B91" s="728">
        <v>1</v>
      </c>
      <c r="C91" s="197">
        <f>'Margins summary'!$H$12</f>
        <v>494.65500000000003</v>
      </c>
      <c r="D91" s="197">
        <f>'Margins summary'!$H$13</f>
        <v>330</v>
      </c>
      <c r="E91" s="197">
        <f>'Margins summary'!$H$18</f>
        <v>824.65499999999997</v>
      </c>
      <c r="F91" s="197">
        <f>'Margins summary'!$H$24</f>
        <v>255.07731473684206</v>
      </c>
      <c r="G91" s="197">
        <f>'Margins summary'!$H$29</f>
        <v>778.68036799999993</v>
      </c>
      <c r="H91" s="197">
        <f>F91+G91</f>
        <v>1033.7576827368421</v>
      </c>
      <c r="I91" s="197">
        <f>C91-H91</f>
        <v>-539.1026827368421</v>
      </c>
      <c r="J91" s="197">
        <f t="shared" ref="J91:J106" si="36">E91-H91</f>
        <v>-209.1026827368421</v>
      </c>
      <c r="K91" s="973">
        <f>C91/(1+$C$6)^($B91-1)</f>
        <v>494.65500000000003</v>
      </c>
      <c r="L91" s="974">
        <f>D91/(1+$C$6)^($B91-1)</f>
        <v>330</v>
      </c>
      <c r="M91" s="974">
        <f>H91/(1+$C$6)^($B91-1)</f>
        <v>1033.7576827368421</v>
      </c>
      <c r="N91" s="974">
        <f>K91-M91</f>
        <v>-539.1026827368421</v>
      </c>
      <c r="O91" s="975">
        <f>N91+L91</f>
        <v>-209.1026827368421</v>
      </c>
      <c r="P91" s="973">
        <f>K91</f>
        <v>494.65500000000003</v>
      </c>
      <c r="Q91" s="974">
        <f>L91</f>
        <v>330</v>
      </c>
      <c r="R91" s="974">
        <f>M91</f>
        <v>1033.7576827368421</v>
      </c>
      <c r="S91" s="974">
        <f>N91</f>
        <v>-539.1026827368421</v>
      </c>
      <c r="T91" s="975">
        <f>O91</f>
        <v>-209.1026827368421</v>
      </c>
    </row>
    <row r="92" spans="2:20" x14ac:dyDescent="0.3">
      <c r="B92" s="419">
        <v>2</v>
      </c>
      <c r="C92" s="197">
        <f>'Margins summary'!$H$12</f>
        <v>494.65500000000003</v>
      </c>
      <c r="D92" s="197">
        <f>'Margins summary'!$H$13</f>
        <v>330</v>
      </c>
      <c r="E92" s="197">
        <f>'Margins summary'!$H$18</f>
        <v>824.65499999999997</v>
      </c>
      <c r="F92" s="197">
        <f>'Margins summary'!$H$24</f>
        <v>255.07731473684206</v>
      </c>
      <c r="G92" s="197">
        <f>'Margins summary'!$H$29</f>
        <v>778.68036799999993</v>
      </c>
      <c r="H92" s="197">
        <f t="shared" ref="H92:H106" si="37">F92+G92</f>
        <v>1033.7576827368421</v>
      </c>
      <c r="I92" s="197">
        <f t="shared" ref="I92:I106" si="38">C92-H92</f>
        <v>-539.1026827368421</v>
      </c>
      <c r="J92" s="197">
        <f t="shared" si="36"/>
        <v>-209.1026827368421</v>
      </c>
      <c r="K92" s="973">
        <f t="shared" ref="K92:K106" si="39">C92/(1+$C$6)^($B92-1)</f>
        <v>480.247572815534</v>
      </c>
      <c r="L92" s="974">
        <f t="shared" ref="L92:L106" si="40">D92/(1+$C$6)^($B92-1)</f>
        <v>320.38834951456312</v>
      </c>
      <c r="M92" s="974">
        <f t="shared" ref="M92:M106" si="41">H92/(1+$C$6)^($B92-1)</f>
        <v>1003.648235666837</v>
      </c>
      <c r="N92" s="974">
        <f t="shared" ref="N92:N106" si="42">K92-M92</f>
        <v>-523.40066285130297</v>
      </c>
      <c r="O92" s="975">
        <f t="shared" ref="O92:O106" si="43">N92+L92</f>
        <v>-203.01231333673985</v>
      </c>
      <c r="P92" s="973">
        <f>P91+K92</f>
        <v>974.90257281553409</v>
      </c>
      <c r="Q92" s="974">
        <f t="shared" ref="Q92:Q106" si="44">Q91+L92</f>
        <v>650.38834951456306</v>
      </c>
      <c r="R92" s="974">
        <f t="shared" ref="R92:R105" si="45">R91+M92</f>
        <v>2037.4059184036792</v>
      </c>
      <c r="S92" s="974">
        <f t="shared" ref="S92:S106" si="46">S91+N92</f>
        <v>-1062.5033455881451</v>
      </c>
      <c r="T92" s="975">
        <f t="shared" ref="T92:T106" si="47">T91+O92</f>
        <v>-412.11499607358195</v>
      </c>
    </row>
    <row r="93" spans="2:20" x14ac:dyDescent="0.3">
      <c r="B93" s="419">
        <v>3</v>
      </c>
      <c r="C93" s="197">
        <f>'Margins summary'!$H$12</f>
        <v>494.65500000000003</v>
      </c>
      <c r="D93" s="197">
        <f>'Margins summary'!$H$13</f>
        <v>330</v>
      </c>
      <c r="E93" s="197">
        <f>'Margins summary'!$H$18</f>
        <v>824.65499999999997</v>
      </c>
      <c r="F93" s="197">
        <f>'Margins summary'!$H$24</f>
        <v>255.07731473684206</v>
      </c>
      <c r="G93" s="197">
        <f>'Margins summary'!$H$29</f>
        <v>778.68036799999993</v>
      </c>
      <c r="H93" s="197">
        <f t="shared" si="37"/>
        <v>1033.7576827368421</v>
      </c>
      <c r="I93" s="197">
        <f t="shared" si="38"/>
        <v>-539.1026827368421</v>
      </c>
      <c r="J93" s="197">
        <f t="shared" si="36"/>
        <v>-209.1026827368421</v>
      </c>
      <c r="K93" s="973">
        <f t="shared" si="39"/>
        <v>466.25977943255731</v>
      </c>
      <c r="L93" s="974">
        <f t="shared" si="40"/>
        <v>311.05665001413894</v>
      </c>
      <c r="M93" s="974">
        <f t="shared" si="41"/>
        <v>974.41576278333685</v>
      </c>
      <c r="N93" s="974">
        <f t="shared" si="42"/>
        <v>-508.15598335077954</v>
      </c>
      <c r="O93" s="975">
        <f t="shared" si="43"/>
        <v>-197.0993333366406</v>
      </c>
      <c r="P93" s="973">
        <f t="shared" ref="P93:P106" si="48">P92+K93</f>
        <v>1441.1623522480913</v>
      </c>
      <c r="Q93" s="974">
        <f t="shared" si="44"/>
        <v>961.44499952870206</v>
      </c>
      <c r="R93" s="974">
        <f t="shared" si="45"/>
        <v>3011.8216811870161</v>
      </c>
      <c r="S93" s="974">
        <f t="shared" si="46"/>
        <v>-1570.6593289389245</v>
      </c>
      <c r="T93" s="975">
        <f t="shared" si="47"/>
        <v>-609.21432941022249</v>
      </c>
    </row>
    <row r="94" spans="2:20" x14ac:dyDescent="0.3">
      <c r="B94" s="419">
        <v>4</v>
      </c>
      <c r="C94" s="197">
        <f>'Margins summary'!$H$12</f>
        <v>494.65500000000003</v>
      </c>
      <c r="D94" s="197">
        <f>'Margins summary'!$H$13</f>
        <v>330</v>
      </c>
      <c r="E94" s="197">
        <f>'Margins summary'!$H$18</f>
        <v>824.65499999999997</v>
      </c>
      <c r="F94" s="197">
        <f>'Margins summary'!$H$24</f>
        <v>255.07731473684206</v>
      </c>
      <c r="G94" s="197">
        <f>'Margins summary'!$H$29</f>
        <v>778.68036799999993</v>
      </c>
      <c r="H94" s="197">
        <f t="shared" si="37"/>
        <v>1033.7576827368421</v>
      </c>
      <c r="I94" s="197">
        <f t="shared" si="38"/>
        <v>-539.1026827368421</v>
      </c>
      <c r="J94" s="197">
        <f t="shared" si="36"/>
        <v>-209.1026827368421</v>
      </c>
      <c r="K94" s="973">
        <f t="shared" si="39"/>
        <v>452.67939750733717</v>
      </c>
      <c r="L94" s="974">
        <f t="shared" si="40"/>
        <v>301.99674758654265</v>
      </c>
      <c r="M94" s="974">
        <f t="shared" si="41"/>
        <v>946.03472114887074</v>
      </c>
      <c r="N94" s="974">
        <f t="shared" si="42"/>
        <v>-493.35532364153357</v>
      </c>
      <c r="O94" s="975">
        <f t="shared" si="43"/>
        <v>-191.35857605499092</v>
      </c>
      <c r="P94" s="973">
        <f t="shared" si="48"/>
        <v>1893.8417497554285</v>
      </c>
      <c r="Q94" s="974">
        <f t="shared" si="44"/>
        <v>1263.4417471152447</v>
      </c>
      <c r="R94" s="974">
        <f t="shared" si="45"/>
        <v>3957.8564023358867</v>
      </c>
      <c r="S94" s="974">
        <f t="shared" si="46"/>
        <v>-2064.014652580458</v>
      </c>
      <c r="T94" s="975">
        <f t="shared" si="47"/>
        <v>-800.57290546521335</v>
      </c>
    </row>
    <row r="95" spans="2:20" x14ac:dyDescent="0.3">
      <c r="B95" s="419">
        <v>5</v>
      </c>
      <c r="C95" s="197">
        <f>'Margins summary'!$H$12</f>
        <v>494.65500000000003</v>
      </c>
      <c r="D95" s="197">
        <f>'Margins summary'!$H$13</f>
        <v>330</v>
      </c>
      <c r="E95" s="197">
        <f>'Margins summary'!$H$18</f>
        <v>824.65499999999997</v>
      </c>
      <c r="F95" s="197">
        <f>'Margins summary'!$H$24</f>
        <v>255.07731473684206</v>
      </c>
      <c r="G95" s="197">
        <f>'Margins summary'!$H$29</f>
        <v>778.68036799999993</v>
      </c>
      <c r="H95" s="197">
        <f t="shared" si="37"/>
        <v>1033.7576827368421</v>
      </c>
      <c r="I95" s="197">
        <f t="shared" si="38"/>
        <v>-539.1026827368421</v>
      </c>
      <c r="J95" s="197">
        <f t="shared" si="36"/>
        <v>-209.1026827368421</v>
      </c>
      <c r="K95" s="973">
        <f t="shared" si="39"/>
        <v>439.49456068673516</v>
      </c>
      <c r="L95" s="974">
        <f t="shared" si="40"/>
        <v>293.20072581217738</v>
      </c>
      <c r="M95" s="974">
        <f t="shared" si="41"/>
        <v>918.48031179502016</v>
      </c>
      <c r="N95" s="974">
        <f t="shared" si="42"/>
        <v>-478.985751108285</v>
      </c>
      <c r="O95" s="975">
        <f t="shared" si="43"/>
        <v>-185.78502529610762</v>
      </c>
      <c r="P95" s="973">
        <f t="shared" si="48"/>
        <v>2333.3363104421637</v>
      </c>
      <c r="Q95" s="974">
        <f t="shared" si="44"/>
        <v>1556.642472927422</v>
      </c>
      <c r="R95" s="974">
        <f t="shared" si="45"/>
        <v>4876.3367141309072</v>
      </c>
      <c r="S95" s="974">
        <f t="shared" si="46"/>
        <v>-2543.0004036887431</v>
      </c>
      <c r="T95" s="975">
        <f t="shared" si="47"/>
        <v>-986.35793076132097</v>
      </c>
    </row>
    <row r="96" spans="2:20" x14ac:dyDescent="0.3">
      <c r="B96" s="419">
        <v>6</v>
      </c>
      <c r="C96" s="197">
        <f>'Margins summary'!$H$12</f>
        <v>494.65500000000003</v>
      </c>
      <c r="D96" s="197">
        <f>'Margins summary'!$H$13</f>
        <v>330</v>
      </c>
      <c r="E96" s="197">
        <f>'Margins summary'!$H$18</f>
        <v>824.65499999999997</v>
      </c>
      <c r="F96" s="197">
        <f>'Margins summary'!$H$24</f>
        <v>255.07731473684206</v>
      </c>
      <c r="G96" s="197">
        <f>'Margins summary'!$H$29</f>
        <v>778.68036799999993</v>
      </c>
      <c r="H96" s="197">
        <f t="shared" si="37"/>
        <v>1033.7576827368421</v>
      </c>
      <c r="I96" s="197">
        <f t="shared" si="38"/>
        <v>-539.1026827368421</v>
      </c>
      <c r="J96" s="197">
        <f t="shared" si="36"/>
        <v>-209.1026827368421</v>
      </c>
      <c r="K96" s="973">
        <f t="shared" si="39"/>
        <v>426.69374823954871</v>
      </c>
      <c r="L96" s="974">
        <f t="shared" si="40"/>
        <v>284.66089884677416</v>
      </c>
      <c r="M96" s="974">
        <f t="shared" si="41"/>
        <v>891.72845805341774</v>
      </c>
      <c r="N96" s="974">
        <f t="shared" si="42"/>
        <v>-465.03470981386903</v>
      </c>
      <c r="O96" s="975">
        <f t="shared" si="43"/>
        <v>-180.37381096709487</v>
      </c>
      <c r="P96" s="973">
        <f t="shared" si="48"/>
        <v>2760.0300586817125</v>
      </c>
      <c r="Q96" s="974">
        <f t="shared" si="44"/>
        <v>1841.3033717741962</v>
      </c>
      <c r="R96" s="974">
        <f t="shared" si="45"/>
        <v>5768.0651721843251</v>
      </c>
      <c r="S96" s="974">
        <f t="shared" si="46"/>
        <v>-3008.0351135026121</v>
      </c>
      <c r="T96" s="975">
        <f t="shared" si="47"/>
        <v>-1166.7317417284157</v>
      </c>
    </row>
    <row r="97" spans="2:20" x14ac:dyDescent="0.3">
      <c r="B97" s="419">
        <v>7</v>
      </c>
      <c r="C97" s="197">
        <f>'Margins summary'!$H$12</f>
        <v>494.65500000000003</v>
      </c>
      <c r="D97" s="197">
        <f>'Margins summary'!$H$13</f>
        <v>330</v>
      </c>
      <c r="E97" s="197">
        <f>'Margins summary'!$H$18</f>
        <v>824.65499999999997</v>
      </c>
      <c r="F97" s="197">
        <f>'Margins summary'!$H$24</f>
        <v>255.07731473684206</v>
      </c>
      <c r="G97" s="197">
        <f>'Margins summary'!$H$29</f>
        <v>778.68036799999993</v>
      </c>
      <c r="H97" s="197">
        <f t="shared" si="37"/>
        <v>1033.7576827368421</v>
      </c>
      <c r="I97" s="197">
        <f t="shared" si="38"/>
        <v>-539.1026827368421</v>
      </c>
      <c r="J97" s="197">
        <f t="shared" si="36"/>
        <v>-209.1026827368421</v>
      </c>
      <c r="K97" s="973">
        <f t="shared" si="39"/>
        <v>414.26577498985313</v>
      </c>
      <c r="L97" s="974">
        <f t="shared" si="40"/>
        <v>276.36980470560593</v>
      </c>
      <c r="M97" s="974">
        <f t="shared" si="41"/>
        <v>865.75578451788124</v>
      </c>
      <c r="N97" s="974">
        <f t="shared" si="42"/>
        <v>-451.49000952802811</v>
      </c>
      <c r="O97" s="975">
        <f t="shared" si="43"/>
        <v>-175.12020482242218</v>
      </c>
      <c r="P97" s="973">
        <f t="shared" si="48"/>
        <v>3174.2958336715656</v>
      </c>
      <c r="Q97" s="974">
        <f t="shared" si="44"/>
        <v>2117.6731764798024</v>
      </c>
      <c r="R97" s="974">
        <f t="shared" si="45"/>
        <v>6633.8209567022059</v>
      </c>
      <c r="S97" s="974">
        <f t="shared" si="46"/>
        <v>-3459.5251230306403</v>
      </c>
      <c r="T97" s="975">
        <f t="shared" si="47"/>
        <v>-1341.851946550838</v>
      </c>
    </row>
    <row r="98" spans="2:20" x14ac:dyDescent="0.3">
      <c r="B98" s="419">
        <v>8</v>
      </c>
      <c r="C98" s="197">
        <f>'Margins summary'!$H$12</f>
        <v>494.65500000000003</v>
      </c>
      <c r="D98" s="197">
        <f>'Margins summary'!$H$13</f>
        <v>330</v>
      </c>
      <c r="E98" s="197">
        <f>'Margins summary'!$H$18</f>
        <v>824.65499999999997</v>
      </c>
      <c r="F98" s="197">
        <f>'Margins summary'!$H$24</f>
        <v>255.07731473684206</v>
      </c>
      <c r="G98" s="197">
        <f>'Margins summary'!$H$29</f>
        <v>778.68036799999993</v>
      </c>
      <c r="H98" s="197">
        <f t="shared" si="37"/>
        <v>1033.7576827368421</v>
      </c>
      <c r="I98" s="197">
        <f t="shared" si="38"/>
        <v>-539.1026827368421</v>
      </c>
      <c r="J98" s="197">
        <f t="shared" si="36"/>
        <v>-209.1026827368421</v>
      </c>
      <c r="K98" s="973">
        <f t="shared" si="39"/>
        <v>402.19978154354669</v>
      </c>
      <c r="L98" s="974">
        <f t="shared" si="40"/>
        <v>268.32019874330672</v>
      </c>
      <c r="M98" s="974">
        <f t="shared" si="41"/>
        <v>840.53959661930207</v>
      </c>
      <c r="N98" s="974">
        <f t="shared" si="42"/>
        <v>-438.33981507575538</v>
      </c>
      <c r="O98" s="975">
        <f t="shared" si="43"/>
        <v>-170.01961633244866</v>
      </c>
      <c r="P98" s="973">
        <f t="shared" si="48"/>
        <v>3576.4956152151121</v>
      </c>
      <c r="Q98" s="974">
        <f t="shared" si="44"/>
        <v>2385.9933752231091</v>
      </c>
      <c r="R98" s="974">
        <f t="shared" si="45"/>
        <v>7474.3605533215077</v>
      </c>
      <c r="S98" s="974">
        <f t="shared" si="46"/>
        <v>-3897.8649381063956</v>
      </c>
      <c r="T98" s="975">
        <f t="shared" si="47"/>
        <v>-1511.8715628832865</v>
      </c>
    </row>
    <row r="99" spans="2:20" x14ac:dyDescent="0.3">
      <c r="B99" s="419">
        <v>9</v>
      </c>
      <c r="C99" s="197">
        <f>'Margins summary'!$H$12</f>
        <v>494.65500000000003</v>
      </c>
      <c r="D99" s="197">
        <f>'Margins summary'!$H$13</f>
        <v>330</v>
      </c>
      <c r="E99" s="197">
        <f>'Margins summary'!$H$18</f>
        <v>824.65499999999997</v>
      </c>
      <c r="F99" s="197">
        <f>'Margins summary'!$H$24</f>
        <v>255.07731473684206</v>
      </c>
      <c r="G99" s="197">
        <f>'Margins summary'!$H$29</f>
        <v>778.68036799999993</v>
      </c>
      <c r="H99" s="197">
        <f t="shared" si="37"/>
        <v>1033.7576827368421</v>
      </c>
      <c r="I99" s="197">
        <f t="shared" si="38"/>
        <v>-539.1026827368421</v>
      </c>
      <c r="J99" s="197">
        <f t="shared" si="36"/>
        <v>-209.1026827368421</v>
      </c>
      <c r="K99" s="973">
        <f t="shared" si="39"/>
        <v>390.48522479955994</v>
      </c>
      <c r="L99" s="974">
        <f t="shared" si="40"/>
        <v>260.50504732359883</v>
      </c>
      <c r="M99" s="974">
        <f t="shared" si="41"/>
        <v>816.05786079543907</v>
      </c>
      <c r="N99" s="974">
        <f t="shared" si="42"/>
        <v>-425.57263599587912</v>
      </c>
      <c r="O99" s="975">
        <f t="shared" si="43"/>
        <v>-165.06758867228029</v>
      </c>
      <c r="P99" s="973">
        <f t="shared" si="48"/>
        <v>3966.9808400146721</v>
      </c>
      <c r="Q99" s="974">
        <f t="shared" si="44"/>
        <v>2646.4984225467078</v>
      </c>
      <c r="R99" s="974">
        <f t="shared" si="45"/>
        <v>8290.4184141169462</v>
      </c>
      <c r="S99" s="974">
        <f t="shared" si="46"/>
        <v>-4323.437574102275</v>
      </c>
      <c r="T99" s="975">
        <f t="shared" si="47"/>
        <v>-1676.9391515555667</v>
      </c>
    </row>
    <row r="100" spans="2:20" x14ac:dyDescent="0.3">
      <c r="B100" s="419">
        <v>10</v>
      </c>
      <c r="C100" s="197">
        <f>'Margins summary'!$H$12</f>
        <v>494.65500000000003</v>
      </c>
      <c r="D100" s="197">
        <f>'Margins summary'!$H$13</f>
        <v>330</v>
      </c>
      <c r="E100" s="197">
        <f>'Margins summary'!$H$18</f>
        <v>824.65499999999997</v>
      </c>
      <c r="F100" s="197">
        <f>'Margins summary'!$H$24</f>
        <v>255.07731473684206</v>
      </c>
      <c r="G100" s="197">
        <f>'Margins summary'!$H$29</f>
        <v>778.68036799999993</v>
      </c>
      <c r="H100" s="197">
        <f t="shared" si="37"/>
        <v>1033.7576827368421</v>
      </c>
      <c r="I100" s="197">
        <f t="shared" si="38"/>
        <v>-539.1026827368421</v>
      </c>
      <c r="J100" s="197">
        <f t="shared" si="36"/>
        <v>-209.1026827368421</v>
      </c>
      <c r="K100" s="973">
        <f t="shared" si="39"/>
        <v>379.11186873743679</v>
      </c>
      <c r="L100" s="974">
        <f t="shared" si="40"/>
        <v>252.91752167339689</v>
      </c>
      <c r="M100" s="974">
        <f t="shared" si="41"/>
        <v>792.28918523829032</v>
      </c>
      <c r="N100" s="974">
        <f t="shared" si="42"/>
        <v>-413.17731650085352</v>
      </c>
      <c r="O100" s="975">
        <f t="shared" si="43"/>
        <v>-160.25979482745663</v>
      </c>
      <c r="P100" s="973">
        <f t="shared" si="48"/>
        <v>4346.0927087521086</v>
      </c>
      <c r="Q100" s="974">
        <f t="shared" si="44"/>
        <v>2899.4159442201048</v>
      </c>
      <c r="R100" s="974">
        <f t="shared" si="45"/>
        <v>9082.7075993552371</v>
      </c>
      <c r="S100" s="974">
        <f t="shared" si="46"/>
        <v>-4736.6148906031285</v>
      </c>
      <c r="T100" s="975">
        <f t="shared" si="47"/>
        <v>-1837.1989463830232</v>
      </c>
    </row>
    <row r="101" spans="2:20" x14ac:dyDescent="0.3">
      <c r="B101" s="419">
        <v>11</v>
      </c>
      <c r="C101" s="197">
        <f>'Margins summary'!$H$12</f>
        <v>494.65500000000003</v>
      </c>
      <c r="D101" s="197">
        <f>'Margins summary'!$H$13</f>
        <v>330</v>
      </c>
      <c r="E101" s="197">
        <f>'Margins summary'!$H$18</f>
        <v>824.65499999999997</v>
      </c>
      <c r="F101" s="197">
        <f>'Margins summary'!$H$24</f>
        <v>255.07731473684206</v>
      </c>
      <c r="G101" s="197">
        <f>'Margins summary'!$H$29</f>
        <v>778.68036799999993</v>
      </c>
      <c r="H101" s="197">
        <f t="shared" si="37"/>
        <v>1033.7576827368421</v>
      </c>
      <c r="I101" s="197">
        <f t="shared" si="38"/>
        <v>-539.1026827368421</v>
      </c>
      <c r="J101" s="197">
        <f t="shared" si="36"/>
        <v>-209.1026827368421</v>
      </c>
      <c r="K101" s="973">
        <f t="shared" si="39"/>
        <v>368.06977547323964</v>
      </c>
      <c r="L101" s="974">
        <f t="shared" si="40"/>
        <v>245.55099191591933</v>
      </c>
      <c r="M101" s="974">
        <f t="shared" si="41"/>
        <v>769.21280120222366</v>
      </c>
      <c r="N101" s="974">
        <f t="shared" si="42"/>
        <v>-401.14302572898401</v>
      </c>
      <c r="O101" s="975">
        <f t="shared" si="43"/>
        <v>-155.59203381306469</v>
      </c>
      <c r="P101" s="973">
        <f t="shared" si="48"/>
        <v>4714.1624842253486</v>
      </c>
      <c r="Q101" s="974">
        <f t="shared" si="44"/>
        <v>3144.9669361360243</v>
      </c>
      <c r="R101" s="974">
        <f t="shared" si="45"/>
        <v>9851.9204005574611</v>
      </c>
      <c r="S101" s="974">
        <f t="shared" si="46"/>
        <v>-5137.7579163321125</v>
      </c>
      <c r="T101" s="975">
        <f t="shared" si="47"/>
        <v>-1992.790980196088</v>
      </c>
    </row>
    <row r="102" spans="2:20" x14ac:dyDescent="0.3">
      <c r="B102" s="419">
        <v>12</v>
      </c>
      <c r="C102" s="197">
        <f>'Margins summary'!$H$12</f>
        <v>494.65500000000003</v>
      </c>
      <c r="D102" s="197">
        <f>'Margins summary'!$H$13</f>
        <v>330</v>
      </c>
      <c r="E102" s="197">
        <f>'Margins summary'!$H$18</f>
        <v>824.65499999999997</v>
      </c>
      <c r="F102" s="197">
        <f>'Margins summary'!$H$24</f>
        <v>255.07731473684206</v>
      </c>
      <c r="G102" s="197">
        <f>'Margins summary'!$H$29</f>
        <v>778.68036799999993</v>
      </c>
      <c r="H102" s="197">
        <f t="shared" si="37"/>
        <v>1033.7576827368421</v>
      </c>
      <c r="I102" s="197">
        <f t="shared" si="38"/>
        <v>-539.1026827368421</v>
      </c>
      <c r="J102" s="197">
        <f t="shared" si="36"/>
        <v>-209.1026827368421</v>
      </c>
      <c r="K102" s="973">
        <f t="shared" si="39"/>
        <v>357.34929657596081</v>
      </c>
      <c r="L102" s="974">
        <f t="shared" si="40"/>
        <v>238.39902127759154</v>
      </c>
      <c r="M102" s="974">
        <f t="shared" si="41"/>
        <v>746.80854485652776</v>
      </c>
      <c r="N102" s="974">
        <f t="shared" si="42"/>
        <v>-389.45924828056695</v>
      </c>
      <c r="O102" s="975">
        <f t="shared" si="43"/>
        <v>-151.06022700297541</v>
      </c>
      <c r="P102" s="973">
        <f t="shared" si="48"/>
        <v>5071.5117808013092</v>
      </c>
      <c r="Q102" s="974">
        <f t="shared" si="44"/>
        <v>3383.3659574136159</v>
      </c>
      <c r="R102" s="974">
        <f t="shared" si="45"/>
        <v>10598.728945413988</v>
      </c>
      <c r="S102" s="974">
        <f t="shared" si="46"/>
        <v>-5527.217164612679</v>
      </c>
      <c r="T102" s="975">
        <f t="shared" si="47"/>
        <v>-2143.8512071990635</v>
      </c>
    </row>
    <row r="103" spans="2:20" x14ac:dyDescent="0.3">
      <c r="B103" s="419">
        <v>13</v>
      </c>
      <c r="C103" s="197">
        <f>'Margins summary'!$H$12</f>
        <v>494.65500000000003</v>
      </c>
      <c r="D103" s="197">
        <f>'Margins summary'!$H$13</f>
        <v>330</v>
      </c>
      <c r="E103" s="197">
        <f>'Margins summary'!$H$18</f>
        <v>824.65499999999997</v>
      </c>
      <c r="F103" s="197">
        <f>'Margins summary'!$H$24</f>
        <v>255.07731473684206</v>
      </c>
      <c r="G103" s="197">
        <f>'Margins summary'!$H$29</f>
        <v>778.68036799999993</v>
      </c>
      <c r="H103" s="197">
        <f t="shared" si="37"/>
        <v>1033.7576827368421</v>
      </c>
      <c r="I103" s="197">
        <f t="shared" si="38"/>
        <v>-539.1026827368421</v>
      </c>
      <c r="J103" s="197">
        <f t="shared" si="36"/>
        <v>-209.1026827368421</v>
      </c>
      <c r="K103" s="973">
        <f t="shared" si="39"/>
        <v>346.94106463685517</v>
      </c>
      <c r="L103" s="974">
        <f t="shared" si="40"/>
        <v>231.45536046368116</v>
      </c>
      <c r="M103" s="974">
        <f t="shared" si="41"/>
        <v>725.05683966653191</v>
      </c>
      <c r="N103" s="974">
        <f t="shared" si="42"/>
        <v>-378.11577502967674</v>
      </c>
      <c r="O103" s="975">
        <f t="shared" si="43"/>
        <v>-146.66041456599558</v>
      </c>
      <c r="P103" s="973">
        <f t="shared" si="48"/>
        <v>5418.4528454381643</v>
      </c>
      <c r="Q103" s="974">
        <f t="shared" si="44"/>
        <v>3614.8213178772971</v>
      </c>
      <c r="R103" s="974">
        <f t="shared" si="45"/>
        <v>11323.785785080519</v>
      </c>
      <c r="S103" s="974">
        <f t="shared" si="46"/>
        <v>-5905.332939642356</v>
      </c>
      <c r="T103" s="975">
        <f t="shared" si="47"/>
        <v>-2290.5116217650593</v>
      </c>
    </row>
    <row r="104" spans="2:20" x14ac:dyDescent="0.3">
      <c r="B104" s="419">
        <v>14</v>
      </c>
      <c r="C104" s="197">
        <f>'Margins summary'!$H$12</f>
        <v>494.65500000000003</v>
      </c>
      <c r="D104" s="197">
        <f>'Margins summary'!$H$13</f>
        <v>330</v>
      </c>
      <c r="E104" s="197">
        <f>'Margins summary'!$H$18</f>
        <v>824.65499999999997</v>
      </c>
      <c r="F104" s="197">
        <f>'Margins summary'!$H$24</f>
        <v>255.07731473684206</v>
      </c>
      <c r="G104" s="197">
        <f>'Margins summary'!$H$29</f>
        <v>778.68036799999993</v>
      </c>
      <c r="H104" s="197">
        <f t="shared" si="37"/>
        <v>1033.7576827368421</v>
      </c>
      <c r="I104" s="197">
        <f t="shared" si="38"/>
        <v>-539.1026827368421</v>
      </c>
      <c r="J104" s="197">
        <f t="shared" si="36"/>
        <v>-209.1026827368421</v>
      </c>
      <c r="K104" s="973">
        <f t="shared" si="39"/>
        <v>336.83598508432544</v>
      </c>
      <c r="L104" s="974">
        <f t="shared" si="40"/>
        <v>224.71394219774871</v>
      </c>
      <c r="M104" s="974">
        <f t="shared" si="41"/>
        <v>703.93867928789507</v>
      </c>
      <c r="N104" s="974">
        <f t="shared" si="42"/>
        <v>-367.10269420356963</v>
      </c>
      <c r="O104" s="975">
        <f t="shared" si="43"/>
        <v>-142.38875200582092</v>
      </c>
      <c r="P104" s="973">
        <f t="shared" si="48"/>
        <v>5755.2888305224897</v>
      </c>
      <c r="Q104" s="974">
        <f t="shared" si="44"/>
        <v>3839.5352600750457</v>
      </c>
      <c r="R104" s="974">
        <f t="shared" si="45"/>
        <v>12027.724464368415</v>
      </c>
      <c r="S104" s="974">
        <f t="shared" si="46"/>
        <v>-6272.4356338459256</v>
      </c>
      <c r="T104" s="975">
        <f t="shared" si="47"/>
        <v>-2432.9003737708804</v>
      </c>
    </row>
    <row r="105" spans="2:20" x14ac:dyDescent="0.3">
      <c r="B105" s="419">
        <v>15</v>
      </c>
      <c r="C105" s="197">
        <f>'Margins summary'!$H$12</f>
        <v>494.65500000000003</v>
      </c>
      <c r="D105" s="197">
        <f>'Margins summary'!$H$13</f>
        <v>330</v>
      </c>
      <c r="E105" s="197">
        <f>'Margins summary'!$H$18</f>
        <v>824.65499999999997</v>
      </c>
      <c r="F105" s="197">
        <f>'Margins summary'!$H$24</f>
        <v>255.07731473684206</v>
      </c>
      <c r="G105" s="197">
        <f>'Margins summary'!$H$29</f>
        <v>778.68036799999993</v>
      </c>
      <c r="H105" s="197">
        <f t="shared" si="37"/>
        <v>1033.7576827368421</v>
      </c>
      <c r="I105" s="197">
        <f t="shared" si="38"/>
        <v>-539.1026827368421</v>
      </c>
      <c r="J105" s="197">
        <f t="shared" si="36"/>
        <v>-209.1026827368421</v>
      </c>
      <c r="K105" s="973">
        <f t="shared" si="39"/>
        <v>327.02522823720915</v>
      </c>
      <c r="L105" s="974">
        <f t="shared" si="40"/>
        <v>218.16887592014436</v>
      </c>
      <c r="M105" s="974">
        <f t="shared" si="41"/>
        <v>683.43561095912139</v>
      </c>
      <c r="N105" s="974">
        <f t="shared" si="42"/>
        <v>-356.41038272191224</v>
      </c>
      <c r="O105" s="975">
        <f t="shared" si="43"/>
        <v>-138.24150680176788</v>
      </c>
      <c r="P105" s="973">
        <f t="shared" si="48"/>
        <v>6082.314058759699</v>
      </c>
      <c r="Q105" s="974">
        <f t="shared" si="44"/>
        <v>4057.70413599519</v>
      </c>
      <c r="R105" s="974">
        <f t="shared" si="45"/>
        <v>12711.160075327536</v>
      </c>
      <c r="S105" s="974">
        <f t="shared" si="46"/>
        <v>-6628.846016567838</v>
      </c>
      <c r="T105" s="975">
        <f t="shared" si="47"/>
        <v>-2571.1418805726485</v>
      </c>
    </row>
    <row r="106" spans="2:20" x14ac:dyDescent="0.3">
      <c r="B106" s="560">
        <v>16</v>
      </c>
      <c r="C106" s="207">
        <f>'Margins summary'!$H$12</f>
        <v>494.65500000000003</v>
      </c>
      <c r="D106" s="207">
        <f>'Margins summary'!$H$13</f>
        <v>330</v>
      </c>
      <c r="E106" s="207">
        <f>'Margins summary'!$H$18</f>
        <v>824.65499999999997</v>
      </c>
      <c r="F106" s="207">
        <f>'Margins summary'!$H$24</f>
        <v>255.07731473684206</v>
      </c>
      <c r="G106" s="207">
        <f>'Margins summary'!$H$29</f>
        <v>778.68036799999993</v>
      </c>
      <c r="H106" s="207">
        <f t="shared" si="37"/>
        <v>1033.7576827368421</v>
      </c>
      <c r="I106" s="207">
        <f t="shared" si="38"/>
        <v>-539.1026827368421</v>
      </c>
      <c r="J106" s="207">
        <f t="shared" si="36"/>
        <v>-209.1026827368421</v>
      </c>
      <c r="K106" s="976">
        <f t="shared" si="39"/>
        <v>317.50022158952339</v>
      </c>
      <c r="L106" s="977">
        <f t="shared" si="40"/>
        <v>211.81444264091684</v>
      </c>
      <c r="M106" s="977">
        <f t="shared" si="41"/>
        <v>663.52971937778773</v>
      </c>
      <c r="N106" s="977">
        <f t="shared" si="42"/>
        <v>-346.02949778826434</v>
      </c>
      <c r="O106" s="978">
        <f t="shared" si="43"/>
        <v>-134.2150551473475</v>
      </c>
      <c r="P106" s="976">
        <f t="shared" si="48"/>
        <v>6399.8142803492228</v>
      </c>
      <c r="Q106" s="977">
        <f t="shared" si="44"/>
        <v>4269.5185786361071</v>
      </c>
      <c r="R106" s="977">
        <f>R105+M106</f>
        <v>13374.689794705324</v>
      </c>
      <c r="S106" s="977">
        <f t="shared" si="46"/>
        <v>-6974.875514356102</v>
      </c>
      <c r="T106" s="978">
        <f t="shared" si="47"/>
        <v>-2705.3569357199958</v>
      </c>
    </row>
    <row r="113" spans="2:20" x14ac:dyDescent="0.3">
      <c r="B113" s="211" t="s">
        <v>255</v>
      </c>
      <c r="C113" s="194"/>
      <c r="D113" s="193"/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</row>
    <row r="114" spans="2:20" x14ac:dyDescent="0.3">
      <c r="B114" s="210"/>
      <c r="C114" s="1108"/>
      <c r="D114" s="1108"/>
      <c r="E114" s="1108"/>
      <c r="F114" s="148"/>
      <c r="G114" s="1108"/>
      <c r="H114" s="1108"/>
      <c r="I114" s="148"/>
      <c r="J114" s="148"/>
      <c r="K114" s="1109" t="s">
        <v>270</v>
      </c>
      <c r="L114" s="1110"/>
      <c r="M114" s="1110"/>
      <c r="N114" s="1110"/>
      <c r="O114" s="1111"/>
      <c r="P114" s="1109" t="s">
        <v>271</v>
      </c>
      <c r="Q114" s="1110"/>
      <c r="R114" s="1110"/>
      <c r="S114" s="1110"/>
      <c r="T114" s="1111"/>
    </row>
    <row r="115" spans="2:20" ht="51" x14ac:dyDescent="0.3">
      <c r="B115" s="204" t="s">
        <v>272</v>
      </c>
      <c r="C115" s="171" t="s">
        <v>676</v>
      </c>
      <c r="D115" s="171" t="s">
        <v>672</v>
      </c>
      <c r="E115" s="171" t="s">
        <v>677</v>
      </c>
      <c r="F115" s="205" t="s">
        <v>274</v>
      </c>
      <c r="G115" s="171" t="s">
        <v>275</v>
      </c>
      <c r="H115" s="171" t="s">
        <v>276</v>
      </c>
      <c r="I115" s="171" t="s">
        <v>678</v>
      </c>
      <c r="J115" s="171" t="s">
        <v>679</v>
      </c>
      <c r="K115" s="195" t="s">
        <v>277</v>
      </c>
      <c r="L115" s="171" t="s">
        <v>680</v>
      </c>
      <c r="M115" s="171" t="s">
        <v>278</v>
      </c>
      <c r="N115" s="171" t="s">
        <v>681</v>
      </c>
      <c r="O115" s="198" t="s">
        <v>279</v>
      </c>
      <c r="P115" s="195" t="s">
        <v>280</v>
      </c>
      <c r="Q115" s="171" t="s">
        <v>682</v>
      </c>
      <c r="R115" s="171" t="s">
        <v>281</v>
      </c>
      <c r="S115" s="171" t="s">
        <v>683</v>
      </c>
      <c r="T115" s="198" t="s">
        <v>282</v>
      </c>
    </row>
    <row r="116" spans="2:20" x14ac:dyDescent="0.3">
      <c r="B116" s="173"/>
      <c r="C116" s="201" t="s">
        <v>567</v>
      </c>
      <c r="D116" s="201" t="s">
        <v>567</v>
      </c>
      <c r="E116" s="201" t="s">
        <v>567</v>
      </c>
      <c r="F116" s="201" t="s">
        <v>567</v>
      </c>
      <c r="G116" s="201" t="s">
        <v>567</v>
      </c>
      <c r="H116" s="201" t="s">
        <v>567</v>
      </c>
      <c r="I116" s="201" t="s">
        <v>567</v>
      </c>
      <c r="J116" s="202" t="s">
        <v>567</v>
      </c>
      <c r="K116" s="201" t="s">
        <v>567</v>
      </c>
      <c r="L116" s="201" t="s">
        <v>567</v>
      </c>
      <c r="M116" s="201" t="s">
        <v>567</v>
      </c>
      <c r="N116" s="201" t="s">
        <v>567</v>
      </c>
      <c r="O116" s="202" t="s">
        <v>567</v>
      </c>
      <c r="P116" s="201" t="s">
        <v>567</v>
      </c>
      <c r="Q116" s="201" t="s">
        <v>567</v>
      </c>
      <c r="R116" s="201" t="s">
        <v>567</v>
      </c>
      <c r="S116" s="201" t="s">
        <v>567</v>
      </c>
      <c r="T116" s="202" t="s">
        <v>567</v>
      </c>
    </row>
    <row r="117" spans="2:20" x14ac:dyDescent="0.3">
      <c r="B117" s="728">
        <v>1</v>
      </c>
      <c r="C117" s="197">
        <f>'Margins summary'!$I$12</f>
        <v>886.28571428571433</v>
      </c>
      <c r="D117" s="197">
        <f>'Margins summary'!$I$13</f>
        <v>330</v>
      </c>
      <c r="E117" s="197">
        <f>'Margins summary'!$I$18</f>
        <v>1216.2857142857142</v>
      </c>
      <c r="F117" s="197">
        <f>'Margins summary'!$I$24</f>
        <v>566.71194999999989</v>
      </c>
      <c r="G117" s="197">
        <f>'Margins summary'!$I$29</f>
        <v>691.46913599999993</v>
      </c>
      <c r="H117" s="197">
        <f>F117+G117</f>
        <v>1258.1810859999998</v>
      </c>
      <c r="I117" s="197">
        <f>C117-H117</f>
        <v>-371.89537171428549</v>
      </c>
      <c r="J117" s="197">
        <f t="shared" ref="J117:J132" si="49">E117-H117</f>
        <v>-41.895371714285602</v>
      </c>
      <c r="K117" s="973">
        <f>C117/(1+$C$6)^($B117-1)</f>
        <v>886.28571428571433</v>
      </c>
      <c r="L117" s="974">
        <f>D117/(1+$C$6)^($B117-1)</f>
        <v>330</v>
      </c>
      <c r="M117" s="974">
        <f>H117/(1+$C$6)^($B117-1)</f>
        <v>1258.1810859999998</v>
      </c>
      <c r="N117" s="974">
        <f t="shared" ref="N117:O117" si="50">I117/(1+$C$6)^($B117-1)</f>
        <v>-371.89537171428549</v>
      </c>
      <c r="O117" s="974">
        <f t="shared" si="50"/>
        <v>-41.895371714285602</v>
      </c>
      <c r="P117" s="973">
        <f>K117</f>
        <v>886.28571428571433</v>
      </c>
      <c r="Q117" s="974">
        <f>L117</f>
        <v>330</v>
      </c>
      <c r="R117" s="974">
        <f>M117</f>
        <v>1258.1810859999998</v>
      </c>
      <c r="S117" s="974">
        <f>N117</f>
        <v>-371.89537171428549</v>
      </c>
      <c r="T117" s="975">
        <f>O117</f>
        <v>-41.895371714285602</v>
      </c>
    </row>
    <row r="118" spans="2:20" x14ac:dyDescent="0.3">
      <c r="B118" s="419">
        <v>2</v>
      </c>
      <c r="C118" s="197">
        <f>'Margins summary'!$I$12</f>
        <v>886.28571428571433</v>
      </c>
      <c r="D118" s="197">
        <f>'Margins summary'!$I$13</f>
        <v>330</v>
      </c>
      <c r="E118" s="197">
        <f>'Margins summary'!$I$18</f>
        <v>1216.2857142857142</v>
      </c>
      <c r="F118" s="197">
        <f>'Margins summary'!$I$24</f>
        <v>566.71194999999989</v>
      </c>
      <c r="G118" s="197">
        <f>'Margins summary'!$I$29</f>
        <v>691.46913599999993</v>
      </c>
      <c r="H118" s="197">
        <f t="shared" ref="H118:H132" si="51">F118+G118</f>
        <v>1258.1810859999998</v>
      </c>
      <c r="I118" s="197">
        <f t="shared" ref="I118:I132" si="52">C118-H118</f>
        <v>-371.89537171428549</v>
      </c>
      <c r="J118" s="197">
        <f t="shared" si="49"/>
        <v>-41.895371714285602</v>
      </c>
      <c r="K118" s="973">
        <f t="shared" ref="K118:K132" si="53">C118/(1+$C$6)^($B118-1)</f>
        <v>860.47156726768378</v>
      </c>
      <c r="L118" s="974">
        <f t="shared" ref="L118:L132" si="54">D118/(1+$C$6)^($B118-1)</f>
        <v>320.38834951456312</v>
      </c>
      <c r="M118" s="974">
        <f t="shared" ref="M118:M132" si="55">H118/(1+$C$6)^($B118-1)</f>
        <v>1221.5350349514561</v>
      </c>
      <c r="N118" s="974">
        <f t="shared" ref="N118:N132" si="56">I118/(1+$C$6)^($B118-1)</f>
        <v>-361.06346768377233</v>
      </c>
      <c r="O118" s="974">
        <f t="shared" ref="O118:O132" si="57">J118/(1+$C$6)^($B118-1)</f>
        <v>-40.67511816920932</v>
      </c>
      <c r="P118" s="973">
        <f>P117+K118</f>
        <v>1746.7572815533981</v>
      </c>
      <c r="Q118" s="974">
        <f t="shared" ref="Q118:Q132" si="58">Q117+L118</f>
        <v>650.38834951456306</v>
      </c>
      <c r="R118" s="974">
        <f>R117+M118</f>
        <v>2479.7161209514561</v>
      </c>
      <c r="S118" s="974">
        <f t="shared" ref="S118:S132" si="59">S117+N118</f>
        <v>-732.95883939805776</v>
      </c>
      <c r="T118" s="975">
        <f t="shared" ref="T118:T132" si="60">T117+O118</f>
        <v>-82.570489883494929</v>
      </c>
    </row>
    <row r="119" spans="2:20" x14ac:dyDescent="0.3">
      <c r="B119" s="419">
        <v>3</v>
      </c>
      <c r="C119" s="197">
        <f>'Margins summary'!$I$12</f>
        <v>886.28571428571433</v>
      </c>
      <c r="D119" s="197">
        <f>'Margins summary'!$I$13</f>
        <v>330</v>
      </c>
      <c r="E119" s="197">
        <f>'Margins summary'!$I$18</f>
        <v>1216.2857142857142</v>
      </c>
      <c r="F119" s="197">
        <f>'Margins summary'!$I$24</f>
        <v>566.71194999999989</v>
      </c>
      <c r="G119" s="197">
        <f>'Margins summary'!$I$29</f>
        <v>691.46913599999993</v>
      </c>
      <c r="H119" s="197">
        <f t="shared" si="51"/>
        <v>1258.1810859999998</v>
      </c>
      <c r="I119" s="197">
        <f t="shared" si="52"/>
        <v>-371.89537171428549</v>
      </c>
      <c r="J119" s="197">
        <f t="shared" si="49"/>
        <v>-41.895371714285602</v>
      </c>
      <c r="K119" s="973">
        <f t="shared" si="53"/>
        <v>835.40928860940176</v>
      </c>
      <c r="L119" s="974">
        <f t="shared" si="54"/>
        <v>311.05665001413894</v>
      </c>
      <c r="M119" s="974">
        <f t="shared" si="55"/>
        <v>1185.9563446130642</v>
      </c>
      <c r="N119" s="974">
        <f t="shared" si="56"/>
        <v>-350.54705600366248</v>
      </c>
      <c r="O119" s="974">
        <f t="shared" si="57"/>
        <v>-39.490405989523616</v>
      </c>
      <c r="P119" s="973">
        <f t="shared" ref="P119:P132" si="61">P118+K119</f>
        <v>2582.1665701627999</v>
      </c>
      <c r="Q119" s="974">
        <f t="shared" si="58"/>
        <v>961.44499952870206</v>
      </c>
      <c r="R119" s="974">
        <f t="shared" ref="R119:R132" si="62">R118+M119</f>
        <v>3665.6724655645203</v>
      </c>
      <c r="S119" s="974">
        <f t="shared" si="59"/>
        <v>-1083.5058954017202</v>
      </c>
      <c r="T119" s="975">
        <f t="shared" si="60"/>
        <v>-122.06089587301855</v>
      </c>
    </row>
    <row r="120" spans="2:20" x14ac:dyDescent="0.3">
      <c r="B120" s="419">
        <v>4</v>
      </c>
      <c r="C120" s="197">
        <f>'Margins summary'!$I$12</f>
        <v>886.28571428571433</v>
      </c>
      <c r="D120" s="197">
        <f>'Margins summary'!$I$13</f>
        <v>330</v>
      </c>
      <c r="E120" s="197">
        <f>'Margins summary'!$I$18</f>
        <v>1216.2857142857142</v>
      </c>
      <c r="F120" s="197">
        <f>'Margins summary'!$I$24</f>
        <v>566.71194999999989</v>
      </c>
      <c r="G120" s="197">
        <f>'Margins summary'!$I$29</f>
        <v>691.46913599999993</v>
      </c>
      <c r="H120" s="197">
        <f t="shared" si="51"/>
        <v>1258.1810859999998</v>
      </c>
      <c r="I120" s="197">
        <f t="shared" si="52"/>
        <v>-371.89537171428549</v>
      </c>
      <c r="J120" s="197">
        <f t="shared" si="49"/>
        <v>-41.895371714285602</v>
      </c>
      <c r="K120" s="973">
        <f t="shared" si="53"/>
        <v>811.07697923242893</v>
      </c>
      <c r="L120" s="974">
        <f t="shared" si="54"/>
        <v>301.99674758654265</v>
      </c>
      <c r="M120" s="974">
        <f t="shared" si="55"/>
        <v>1151.4139268088002</v>
      </c>
      <c r="N120" s="974">
        <f t="shared" si="56"/>
        <v>-340.3369475763713</v>
      </c>
      <c r="O120" s="974">
        <f t="shared" si="57"/>
        <v>-38.340199989828754</v>
      </c>
      <c r="P120" s="973">
        <f t="shared" si="61"/>
        <v>3393.2435493952289</v>
      </c>
      <c r="Q120" s="974">
        <f t="shared" si="58"/>
        <v>1263.4417471152447</v>
      </c>
      <c r="R120" s="974">
        <f t="shared" si="62"/>
        <v>4817.0863923733205</v>
      </c>
      <c r="S120" s="974">
        <f t="shared" si="59"/>
        <v>-1423.8428429780915</v>
      </c>
      <c r="T120" s="975">
        <f t="shared" si="60"/>
        <v>-160.40109586284731</v>
      </c>
    </row>
    <row r="121" spans="2:20" x14ac:dyDescent="0.3">
      <c r="B121" s="419">
        <v>5</v>
      </c>
      <c r="C121" s="197">
        <f>'Margins summary'!$I$12</f>
        <v>886.28571428571433</v>
      </c>
      <c r="D121" s="197">
        <f>'Margins summary'!$I$13</f>
        <v>330</v>
      </c>
      <c r="E121" s="197">
        <f>'Margins summary'!$I$18</f>
        <v>1216.2857142857142</v>
      </c>
      <c r="F121" s="197">
        <f>'Margins summary'!$I$24</f>
        <v>566.71194999999989</v>
      </c>
      <c r="G121" s="197">
        <f>'Margins summary'!$I$29</f>
        <v>691.46913599999993</v>
      </c>
      <c r="H121" s="197">
        <f t="shared" si="51"/>
        <v>1258.1810859999998</v>
      </c>
      <c r="I121" s="197">
        <f t="shared" si="52"/>
        <v>-371.89537171428549</v>
      </c>
      <c r="J121" s="197">
        <f t="shared" si="49"/>
        <v>-41.895371714285602</v>
      </c>
      <c r="K121" s="973">
        <f t="shared" si="53"/>
        <v>787.45337789556208</v>
      </c>
      <c r="L121" s="974">
        <f t="shared" si="54"/>
        <v>293.20072581217738</v>
      </c>
      <c r="M121" s="974">
        <f t="shared" si="55"/>
        <v>1117.8775988434954</v>
      </c>
      <c r="N121" s="974">
        <f t="shared" si="56"/>
        <v>-330.42422094793335</v>
      </c>
      <c r="O121" s="974">
        <f t="shared" si="57"/>
        <v>-37.223495135756075</v>
      </c>
      <c r="P121" s="973">
        <f t="shared" si="61"/>
        <v>4180.6969272907909</v>
      </c>
      <c r="Q121" s="974">
        <f t="shared" si="58"/>
        <v>1556.642472927422</v>
      </c>
      <c r="R121" s="974">
        <f t="shared" si="62"/>
        <v>5934.9639912168159</v>
      </c>
      <c r="S121" s="974">
        <f t="shared" si="59"/>
        <v>-1754.267063926025</v>
      </c>
      <c r="T121" s="975">
        <f t="shared" si="60"/>
        <v>-197.6245909986034</v>
      </c>
    </row>
    <row r="122" spans="2:20" x14ac:dyDescent="0.3">
      <c r="B122" s="419">
        <v>6</v>
      </c>
      <c r="C122" s="197">
        <f>'Margins summary'!$I$12</f>
        <v>886.28571428571433</v>
      </c>
      <c r="D122" s="197">
        <f>'Margins summary'!$I$13</f>
        <v>330</v>
      </c>
      <c r="E122" s="197">
        <f>'Margins summary'!$I$18</f>
        <v>1216.2857142857142</v>
      </c>
      <c r="F122" s="197">
        <f>'Margins summary'!$I$24</f>
        <v>566.71194999999989</v>
      </c>
      <c r="G122" s="197">
        <f>'Margins summary'!$I$29</f>
        <v>691.46913599999993</v>
      </c>
      <c r="H122" s="197">
        <f t="shared" si="51"/>
        <v>1258.1810859999998</v>
      </c>
      <c r="I122" s="197">
        <f t="shared" si="52"/>
        <v>-371.89537171428549</v>
      </c>
      <c r="J122" s="197">
        <f t="shared" si="49"/>
        <v>-41.895371714285602</v>
      </c>
      <c r="K122" s="973">
        <f t="shared" si="53"/>
        <v>764.51784261705063</v>
      </c>
      <c r="L122" s="974">
        <f t="shared" si="54"/>
        <v>284.66089884677416</v>
      </c>
      <c r="M122" s="974">
        <f t="shared" si="55"/>
        <v>1085.3180571296073</v>
      </c>
      <c r="N122" s="974">
        <f t="shared" si="56"/>
        <v>-320.80021451255664</v>
      </c>
      <c r="O122" s="974">
        <f t="shared" si="57"/>
        <v>-36.139315665782597</v>
      </c>
      <c r="P122" s="973">
        <f t="shared" si="61"/>
        <v>4945.2147699078414</v>
      </c>
      <c r="Q122" s="974">
        <f t="shared" si="58"/>
        <v>1841.3033717741962</v>
      </c>
      <c r="R122" s="974">
        <f t="shared" si="62"/>
        <v>7020.2820483464229</v>
      </c>
      <c r="S122" s="974">
        <f t="shared" si="59"/>
        <v>-2075.0672784385815</v>
      </c>
      <c r="T122" s="975">
        <f t="shared" si="60"/>
        <v>-233.76390666438598</v>
      </c>
    </row>
    <row r="123" spans="2:20" x14ac:dyDescent="0.3">
      <c r="B123" s="419">
        <v>7</v>
      </c>
      <c r="C123" s="197">
        <f>'Margins summary'!$I$12</f>
        <v>886.28571428571433</v>
      </c>
      <c r="D123" s="197">
        <f>'Margins summary'!$I$13</f>
        <v>330</v>
      </c>
      <c r="E123" s="197">
        <f>'Margins summary'!$I$18</f>
        <v>1216.2857142857142</v>
      </c>
      <c r="F123" s="197">
        <f>'Margins summary'!$I$24</f>
        <v>566.71194999999989</v>
      </c>
      <c r="G123" s="197">
        <f>'Margins summary'!$I$29</f>
        <v>691.46913599999993</v>
      </c>
      <c r="H123" s="197">
        <f t="shared" si="51"/>
        <v>1258.1810859999998</v>
      </c>
      <c r="I123" s="197">
        <f t="shared" si="52"/>
        <v>-371.89537171428549</v>
      </c>
      <c r="J123" s="197">
        <f t="shared" si="49"/>
        <v>-41.895371714285602</v>
      </c>
      <c r="K123" s="973">
        <f t="shared" si="53"/>
        <v>742.25033263791317</v>
      </c>
      <c r="L123" s="974">
        <f t="shared" si="54"/>
        <v>276.36980470560593</v>
      </c>
      <c r="M123" s="974">
        <f t="shared" si="55"/>
        <v>1053.7068515821429</v>
      </c>
      <c r="N123" s="974">
        <f t="shared" si="56"/>
        <v>-311.45651894422974</v>
      </c>
      <c r="O123" s="974">
        <f t="shared" si="57"/>
        <v>-35.086714238623877</v>
      </c>
      <c r="P123" s="973">
        <f t="shared" si="61"/>
        <v>5687.4651025457542</v>
      </c>
      <c r="Q123" s="974">
        <f t="shared" si="58"/>
        <v>2117.6731764798024</v>
      </c>
      <c r="R123" s="974">
        <f t="shared" si="62"/>
        <v>8073.9888999285658</v>
      </c>
      <c r="S123" s="974">
        <f t="shared" si="59"/>
        <v>-2386.5237973828112</v>
      </c>
      <c r="T123" s="975">
        <f t="shared" si="60"/>
        <v>-268.85062090300988</v>
      </c>
    </row>
    <row r="124" spans="2:20" x14ac:dyDescent="0.3">
      <c r="B124" s="419">
        <v>8</v>
      </c>
      <c r="C124" s="197">
        <f>'Margins summary'!$I$12</f>
        <v>886.28571428571433</v>
      </c>
      <c r="D124" s="197">
        <f>'Margins summary'!$I$13</f>
        <v>330</v>
      </c>
      <c r="E124" s="197">
        <f>'Margins summary'!$I$18</f>
        <v>1216.2857142857142</v>
      </c>
      <c r="F124" s="197">
        <f>'Margins summary'!$I$24</f>
        <v>566.71194999999989</v>
      </c>
      <c r="G124" s="197">
        <f>'Margins summary'!$I$29</f>
        <v>691.46913599999993</v>
      </c>
      <c r="H124" s="197">
        <f t="shared" si="51"/>
        <v>1258.1810859999998</v>
      </c>
      <c r="I124" s="197">
        <f t="shared" si="52"/>
        <v>-371.89537171428549</v>
      </c>
      <c r="J124" s="197">
        <f t="shared" si="49"/>
        <v>-41.895371714285602</v>
      </c>
      <c r="K124" s="973">
        <f t="shared" si="53"/>
        <v>720.63139091059531</v>
      </c>
      <c r="L124" s="974">
        <f t="shared" si="54"/>
        <v>268.32019874330672</v>
      </c>
      <c r="M124" s="974">
        <f t="shared" si="55"/>
        <v>1023.016360759362</v>
      </c>
      <c r="N124" s="974">
        <f t="shared" si="56"/>
        <v>-302.38496984876673</v>
      </c>
      <c r="O124" s="974">
        <f t="shared" si="57"/>
        <v>-34.064771105460075</v>
      </c>
      <c r="P124" s="973">
        <f t="shared" si="61"/>
        <v>6408.0964934563499</v>
      </c>
      <c r="Q124" s="974">
        <f t="shared" si="58"/>
        <v>2385.9933752231091</v>
      </c>
      <c r="R124" s="974">
        <f t="shared" si="62"/>
        <v>9097.0052606879271</v>
      </c>
      <c r="S124" s="974">
        <f t="shared" si="59"/>
        <v>-2688.9087672315777</v>
      </c>
      <c r="T124" s="975">
        <f t="shared" si="60"/>
        <v>-302.91539200846995</v>
      </c>
    </row>
    <row r="125" spans="2:20" x14ac:dyDescent="0.3">
      <c r="B125" s="419">
        <v>9</v>
      </c>
      <c r="C125" s="197">
        <f>'Margins summary'!$I$12</f>
        <v>886.28571428571433</v>
      </c>
      <c r="D125" s="197">
        <f>'Margins summary'!$I$13</f>
        <v>330</v>
      </c>
      <c r="E125" s="197">
        <f>'Margins summary'!$I$18</f>
        <v>1216.2857142857142</v>
      </c>
      <c r="F125" s="197">
        <f>'Margins summary'!$I$24</f>
        <v>566.71194999999989</v>
      </c>
      <c r="G125" s="197">
        <f>'Margins summary'!$I$29</f>
        <v>691.46913599999993</v>
      </c>
      <c r="H125" s="197">
        <f t="shared" si="51"/>
        <v>1258.1810859999998</v>
      </c>
      <c r="I125" s="197">
        <f t="shared" si="52"/>
        <v>-371.89537171428549</v>
      </c>
      <c r="J125" s="197">
        <f t="shared" si="49"/>
        <v>-41.895371714285602</v>
      </c>
      <c r="K125" s="973">
        <f t="shared" si="53"/>
        <v>699.64212709766537</v>
      </c>
      <c r="L125" s="974">
        <f t="shared" si="54"/>
        <v>260.50504732359883</v>
      </c>
      <c r="M125" s="974">
        <f t="shared" si="55"/>
        <v>993.21976772753601</v>
      </c>
      <c r="N125" s="974">
        <f t="shared" si="56"/>
        <v>-293.57764062987064</v>
      </c>
      <c r="O125" s="974">
        <f t="shared" si="57"/>
        <v>-33.072593306271919</v>
      </c>
      <c r="P125" s="973">
        <f t="shared" si="61"/>
        <v>7107.7386205540151</v>
      </c>
      <c r="Q125" s="974">
        <f t="shared" si="58"/>
        <v>2646.4984225467078</v>
      </c>
      <c r="R125" s="974">
        <f t="shared" si="62"/>
        <v>10090.225028415463</v>
      </c>
      <c r="S125" s="974">
        <f t="shared" si="59"/>
        <v>-2982.4864078614482</v>
      </c>
      <c r="T125" s="975">
        <f t="shared" si="60"/>
        <v>-335.98798531474188</v>
      </c>
    </row>
    <row r="126" spans="2:20" x14ac:dyDescent="0.3">
      <c r="B126" s="419">
        <v>10</v>
      </c>
      <c r="C126" s="197">
        <f>'Margins summary'!$I$12</f>
        <v>886.28571428571433</v>
      </c>
      <c r="D126" s="197">
        <f>'Margins summary'!$I$13</f>
        <v>330</v>
      </c>
      <c r="E126" s="197">
        <f>'Margins summary'!$I$18</f>
        <v>1216.2857142857142</v>
      </c>
      <c r="F126" s="197">
        <f>'Margins summary'!$I$24</f>
        <v>566.71194999999989</v>
      </c>
      <c r="G126" s="197">
        <f>'Margins summary'!$I$29</f>
        <v>691.46913599999993</v>
      </c>
      <c r="H126" s="197">
        <f t="shared" si="51"/>
        <v>1258.1810859999998</v>
      </c>
      <c r="I126" s="197">
        <f t="shared" si="52"/>
        <v>-371.89537171428549</v>
      </c>
      <c r="J126" s="197">
        <f t="shared" si="49"/>
        <v>-41.895371714285602</v>
      </c>
      <c r="K126" s="973">
        <f t="shared" si="53"/>
        <v>679.26420106569458</v>
      </c>
      <c r="L126" s="974">
        <f t="shared" si="54"/>
        <v>252.91752167339689</v>
      </c>
      <c r="M126" s="974">
        <f t="shared" si="55"/>
        <v>964.29103662867578</v>
      </c>
      <c r="N126" s="974">
        <f t="shared" si="56"/>
        <v>-285.0268355629812</v>
      </c>
      <c r="O126" s="974">
        <f t="shared" si="57"/>
        <v>-32.109313889584385</v>
      </c>
      <c r="P126" s="973">
        <f t="shared" si="61"/>
        <v>7787.0028216197097</v>
      </c>
      <c r="Q126" s="974">
        <f t="shared" si="58"/>
        <v>2899.4159442201048</v>
      </c>
      <c r="R126" s="974">
        <f t="shared" si="62"/>
        <v>11054.516065044139</v>
      </c>
      <c r="S126" s="974">
        <f t="shared" si="59"/>
        <v>-3267.5132434244297</v>
      </c>
      <c r="T126" s="975">
        <f t="shared" si="60"/>
        <v>-368.09729920432625</v>
      </c>
    </row>
    <row r="127" spans="2:20" x14ac:dyDescent="0.3">
      <c r="B127" s="419">
        <v>11</v>
      </c>
      <c r="C127" s="197">
        <f>'Margins summary'!$I$12</f>
        <v>886.28571428571433</v>
      </c>
      <c r="D127" s="197">
        <f>'Margins summary'!$I$13</f>
        <v>330</v>
      </c>
      <c r="E127" s="197">
        <f>'Margins summary'!$I$18</f>
        <v>1216.2857142857142</v>
      </c>
      <c r="F127" s="197">
        <f>'Margins summary'!$I$24</f>
        <v>566.71194999999989</v>
      </c>
      <c r="G127" s="197">
        <f>'Margins summary'!$I$29</f>
        <v>691.46913599999993</v>
      </c>
      <c r="H127" s="197">
        <f t="shared" si="51"/>
        <v>1258.1810859999998</v>
      </c>
      <c r="I127" s="197">
        <f t="shared" si="52"/>
        <v>-371.89537171428549</v>
      </c>
      <c r="J127" s="197">
        <f t="shared" si="49"/>
        <v>-41.895371714285602</v>
      </c>
      <c r="K127" s="973">
        <f t="shared" si="53"/>
        <v>659.47980685989762</v>
      </c>
      <c r="L127" s="974">
        <f t="shared" si="54"/>
        <v>245.55099191591933</v>
      </c>
      <c r="M127" s="974">
        <f t="shared" si="55"/>
        <v>936.2048899307531</v>
      </c>
      <c r="N127" s="974">
        <f t="shared" si="56"/>
        <v>-276.72508307085553</v>
      </c>
      <c r="O127" s="974">
        <f t="shared" si="57"/>
        <v>-31.174091154936299</v>
      </c>
      <c r="P127" s="973">
        <f t="shared" si="61"/>
        <v>8446.4826284796072</v>
      </c>
      <c r="Q127" s="974">
        <f t="shared" si="58"/>
        <v>3144.9669361360243</v>
      </c>
      <c r="R127" s="974">
        <f t="shared" si="62"/>
        <v>11990.720954974893</v>
      </c>
      <c r="S127" s="974">
        <f t="shared" si="59"/>
        <v>-3544.238326495285</v>
      </c>
      <c r="T127" s="975">
        <f t="shared" si="60"/>
        <v>-399.27139035926257</v>
      </c>
    </row>
    <row r="128" spans="2:20" x14ac:dyDescent="0.3">
      <c r="B128" s="419">
        <v>12</v>
      </c>
      <c r="C128" s="197">
        <f>'Margins summary'!$I$12</f>
        <v>886.28571428571433</v>
      </c>
      <c r="D128" s="197">
        <f>'Margins summary'!$I$13</f>
        <v>330</v>
      </c>
      <c r="E128" s="197">
        <f>'Margins summary'!$I$18</f>
        <v>1216.2857142857142</v>
      </c>
      <c r="F128" s="197">
        <f>'Margins summary'!$I$24</f>
        <v>566.71194999999989</v>
      </c>
      <c r="G128" s="197">
        <f>'Margins summary'!$I$29</f>
        <v>691.46913599999993</v>
      </c>
      <c r="H128" s="197">
        <f t="shared" si="51"/>
        <v>1258.1810859999998</v>
      </c>
      <c r="I128" s="197">
        <f t="shared" si="52"/>
        <v>-371.89537171428549</v>
      </c>
      <c r="J128" s="197">
        <f t="shared" si="49"/>
        <v>-41.895371714285602</v>
      </c>
      <c r="K128" s="973">
        <f t="shared" si="53"/>
        <v>640.27165714553166</v>
      </c>
      <c r="L128" s="974">
        <f t="shared" si="54"/>
        <v>238.39902127759154</v>
      </c>
      <c r="M128" s="974">
        <f t="shared" si="55"/>
        <v>908.93678634053697</v>
      </c>
      <c r="N128" s="974">
        <f t="shared" si="56"/>
        <v>-268.66512919500536</v>
      </c>
      <c r="O128" s="974">
        <f t="shared" si="57"/>
        <v>-30.26610791741388</v>
      </c>
      <c r="P128" s="973">
        <f t="shared" si="61"/>
        <v>9086.7542856251384</v>
      </c>
      <c r="Q128" s="974">
        <f t="shared" si="58"/>
        <v>3383.3659574136159</v>
      </c>
      <c r="R128" s="974">
        <f t="shared" si="62"/>
        <v>12899.65774131543</v>
      </c>
      <c r="S128" s="974">
        <f t="shared" si="59"/>
        <v>-3812.9034556902902</v>
      </c>
      <c r="T128" s="975">
        <f t="shared" si="60"/>
        <v>-429.53749827667644</v>
      </c>
    </row>
    <row r="129" spans="2:21" x14ac:dyDescent="0.3">
      <c r="B129" s="419">
        <v>13</v>
      </c>
      <c r="C129" s="197">
        <f>'Margins summary'!$I$12</f>
        <v>886.28571428571433</v>
      </c>
      <c r="D129" s="197">
        <f>'Margins summary'!$I$13</f>
        <v>330</v>
      </c>
      <c r="E129" s="197">
        <f>'Margins summary'!$I$18</f>
        <v>1216.2857142857142</v>
      </c>
      <c r="F129" s="197">
        <f>'Margins summary'!$I$24</f>
        <v>566.71194999999989</v>
      </c>
      <c r="G129" s="197">
        <f>'Margins summary'!$I$29</f>
        <v>691.46913599999993</v>
      </c>
      <c r="H129" s="197">
        <f t="shared" si="51"/>
        <v>1258.1810859999998</v>
      </c>
      <c r="I129" s="197">
        <f t="shared" si="52"/>
        <v>-371.89537171428549</v>
      </c>
      <c r="J129" s="197">
        <f t="shared" si="49"/>
        <v>-41.895371714285602</v>
      </c>
      <c r="K129" s="973">
        <f t="shared" si="53"/>
        <v>621.622968102458</v>
      </c>
      <c r="L129" s="974">
        <f t="shared" si="54"/>
        <v>231.45536046368116</v>
      </c>
      <c r="M129" s="974">
        <f t="shared" si="55"/>
        <v>882.46289935974482</v>
      </c>
      <c r="N129" s="974">
        <f t="shared" si="56"/>
        <v>-260.83993125728682</v>
      </c>
      <c r="O129" s="974">
        <f t="shared" si="57"/>
        <v>-29.384570793605715</v>
      </c>
      <c r="P129" s="973">
        <f t="shared" si="61"/>
        <v>9708.3772537275963</v>
      </c>
      <c r="Q129" s="974">
        <f t="shared" si="58"/>
        <v>3614.8213178772971</v>
      </c>
      <c r="R129" s="974">
        <f t="shared" si="62"/>
        <v>13782.120640675175</v>
      </c>
      <c r="S129" s="974">
        <f t="shared" si="59"/>
        <v>-4073.7433869475772</v>
      </c>
      <c r="T129" s="975">
        <f t="shared" si="60"/>
        <v>-458.92206907028213</v>
      </c>
    </row>
    <row r="130" spans="2:21" x14ac:dyDescent="0.3">
      <c r="B130" s="419">
        <v>14</v>
      </c>
      <c r="C130" s="197">
        <f>'Margins summary'!$I$12</f>
        <v>886.28571428571433</v>
      </c>
      <c r="D130" s="197">
        <f>'Margins summary'!$I$13</f>
        <v>330</v>
      </c>
      <c r="E130" s="197">
        <f>'Margins summary'!$I$18</f>
        <v>1216.2857142857142</v>
      </c>
      <c r="F130" s="197">
        <f>'Margins summary'!$I$24</f>
        <v>566.71194999999989</v>
      </c>
      <c r="G130" s="197">
        <f>'Margins summary'!$I$29</f>
        <v>691.46913599999993</v>
      </c>
      <c r="H130" s="197">
        <f t="shared" si="51"/>
        <v>1258.1810859999998</v>
      </c>
      <c r="I130" s="197">
        <f t="shared" si="52"/>
        <v>-371.89537171428549</v>
      </c>
      <c r="J130" s="197">
        <f t="shared" si="49"/>
        <v>-41.895371714285602</v>
      </c>
      <c r="K130" s="973">
        <f t="shared" si="53"/>
        <v>603.51744475966802</v>
      </c>
      <c r="L130" s="974">
        <f t="shared" si="54"/>
        <v>224.71394219774871</v>
      </c>
      <c r="M130" s="974">
        <f t="shared" si="55"/>
        <v>856.76009646577165</v>
      </c>
      <c r="N130" s="974">
        <f t="shared" si="56"/>
        <v>-253.24265170610369</v>
      </c>
      <c r="O130" s="974">
        <f t="shared" si="57"/>
        <v>-28.528709508355064</v>
      </c>
      <c r="P130" s="973">
        <f t="shared" si="61"/>
        <v>10311.894698487264</v>
      </c>
      <c r="Q130" s="974">
        <f t="shared" si="58"/>
        <v>3839.5352600750457</v>
      </c>
      <c r="R130" s="974">
        <f t="shared" si="62"/>
        <v>14638.880737140948</v>
      </c>
      <c r="S130" s="974">
        <f t="shared" si="59"/>
        <v>-4326.9860386536811</v>
      </c>
      <c r="T130" s="975">
        <f t="shared" si="60"/>
        <v>-487.4507785786372</v>
      </c>
    </row>
    <row r="131" spans="2:21" x14ac:dyDescent="0.3">
      <c r="B131" s="419">
        <v>15</v>
      </c>
      <c r="C131" s="197">
        <f>'Margins summary'!$I$12</f>
        <v>886.28571428571433</v>
      </c>
      <c r="D131" s="197">
        <f>'Margins summary'!$I$13</f>
        <v>330</v>
      </c>
      <c r="E131" s="197">
        <f>'Margins summary'!$I$18</f>
        <v>1216.2857142857142</v>
      </c>
      <c r="F131" s="197">
        <f>'Margins summary'!$I$24</f>
        <v>566.71194999999989</v>
      </c>
      <c r="G131" s="197">
        <f>'Margins summary'!$I$29</f>
        <v>691.46913599999993</v>
      </c>
      <c r="H131" s="197">
        <f t="shared" si="51"/>
        <v>1258.1810859999998</v>
      </c>
      <c r="I131" s="197">
        <f t="shared" si="52"/>
        <v>-371.89537171428549</v>
      </c>
      <c r="J131" s="197">
        <f t="shared" si="49"/>
        <v>-41.895371714285602</v>
      </c>
      <c r="K131" s="973">
        <f t="shared" si="53"/>
        <v>585.93926675695911</v>
      </c>
      <c r="L131" s="974">
        <f t="shared" si="54"/>
        <v>218.16887592014436</v>
      </c>
      <c r="M131" s="974">
        <f t="shared" si="55"/>
        <v>831.80591889880736</v>
      </c>
      <c r="N131" s="974">
        <f t="shared" si="56"/>
        <v>-245.86665214184822</v>
      </c>
      <c r="O131" s="974">
        <f t="shared" si="57"/>
        <v>-27.697776221703943</v>
      </c>
      <c r="P131" s="973">
        <f t="shared" si="61"/>
        <v>10897.833965244223</v>
      </c>
      <c r="Q131" s="974">
        <f t="shared" si="58"/>
        <v>4057.70413599519</v>
      </c>
      <c r="R131" s="974">
        <f t="shared" si="62"/>
        <v>15470.686656039756</v>
      </c>
      <c r="S131" s="974">
        <f t="shared" si="59"/>
        <v>-4572.8526907955293</v>
      </c>
      <c r="T131" s="975">
        <f t="shared" si="60"/>
        <v>-515.14855480034112</v>
      </c>
    </row>
    <row r="132" spans="2:21" x14ac:dyDescent="0.3">
      <c r="B132" s="560">
        <v>16</v>
      </c>
      <c r="C132" s="207">
        <f>'Margins summary'!$I$12</f>
        <v>886.28571428571433</v>
      </c>
      <c r="D132" s="207">
        <f>'Margins summary'!$I$13</f>
        <v>330</v>
      </c>
      <c r="E132" s="207">
        <f>'Margins summary'!$I$18</f>
        <v>1216.2857142857142</v>
      </c>
      <c r="F132" s="207">
        <f>'Margins summary'!$I$24</f>
        <v>566.71194999999989</v>
      </c>
      <c r="G132" s="207">
        <f>'Margins summary'!$I$29</f>
        <v>691.46913599999993</v>
      </c>
      <c r="H132" s="207">
        <f t="shared" si="51"/>
        <v>1258.1810859999998</v>
      </c>
      <c r="I132" s="207">
        <f t="shared" si="52"/>
        <v>-371.89537171428549</v>
      </c>
      <c r="J132" s="207">
        <f t="shared" si="49"/>
        <v>-41.895371714285602</v>
      </c>
      <c r="K132" s="976">
        <f t="shared" si="53"/>
        <v>568.8730745213195</v>
      </c>
      <c r="L132" s="977">
        <f t="shared" si="54"/>
        <v>211.81444264091684</v>
      </c>
      <c r="M132" s="977">
        <f t="shared" si="55"/>
        <v>807.57856203767699</v>
      </c>
      <c r="N132" s="977">
        <f t="shared" si="56"/>
        <v>-238.70548751635749</v>
      </c>
      <c r="O132" s="978">
        <f t="shared" si="57"/>
        <v>-26.89104487544072</v>
      </c>
      <c r="P132" s="976">
        <f t="shared" si="61"/>
        <v>11466.707039765543</v>
      </c>
      <c r="Q132" s="977">
        <f t="shared" si="58"/>
        <v>4269.5185786361071</v>
      </c>
      <c r="R132" s="977">
        <f t="shared" si="62"/>
        <v>16278.265218077433</v>
      </c>
      <c r="S132" s="977">
        <f t="shared" si="59"/>
        <v>-4811.5581783118869</v>
      </c>
      <c r="T132" s="978">
        <f t="shared" si="60"/>
        <v>-542.0395996757818</v>
      </c>
    </row>
    <row r="139" spans="2:21" x14ac:dyDescent="0.3">
      <c r="B139" s="224" t="s">
        <v>285</v>
      </c>
    </row>
    <row r="140" spans="2:21" x14ac:dyDescent="0.3">
      <c r="B140" s="216"/>
      <c r="C140" s="1112"/>
      <c r="D140" s="1112"/>
      <c r="E140" s="1112"/>
      <c r="F140" s="148"/>
      <c r="G140" s="1108"/>
      <c r="H140" s="1108"/>
      <c r="I140" s="148"/>
      <c r="J140" s="148"/>
      <c r="K140" s="158"/>
      <c r="L140" s="222" t="s">
        <v>270</v>
      </c>
      <c r="M140" s="221"/>
      <c r="N140" s="221"/>
      <c r="O140" s="221"/>
      <c r="P140" s="223"/>
      <c r="Q140" s="221" t="s">
        <v>271</v>
      </c>
      <c r="R140" s="221"/>
      <c r="S140" s="221"/>
      <c r="T140" s="221"/>
      <c r="U140" s="217"/>
    </row>
    <row r="141" spans="2:21" ht="51" x14ac:dyDescent="0.3">
      <c r="B141" s="218" t="s">
        <v>273</v>
      </c>
      <c r="C141" s="214" t="s">
        <v>286</v>
      </c>
      <c r="D141" s="171" t="s">
        <v>676</v>
      </c>
      <c r="E141" s="171" t="s">
        <v>672</v>
      </c>
      <c r="F141" s="171" t="s">
        <v>677</v>
      </c>
      <c r="G141" s="205" t="s">
        <v>283</v>
      </c>
      <c r="H141" s="171" t="s">
        <v>275</v>
      </c>
      <c r="I141" s="171" t="s">
        <v>276</v>
      </c>
      <c r="J141" s="171" t="s">
        <v>678</v>
      </c>
      <c r="K141" s="171" t="s">
        <v>679</v>
      </c>
      <c r="L141" s="195" t="s">
        <v>277</v>
      </c>
      <c r="M141" s="171" t="s">
        <v>680</v>
      </c>
      <c r="N141" s="171" t="s">
        <v>278</v>
      </c>
      <c r="O141" s="171" t="s">
        <v>681</v>
      </c>
      <c r="P141" s="198" t="s">
        <v>279</v>
      </c>
      <c r="Q141" s="171" t="s">
        <v>280</v>
      </c>
      <c r="R141" s="171" t="s">
        <v>682</v>
      </c>
      <c r="S141" s="171" t="s">
        <v>281</v>
      </c>
      <c r="T141" s="171" t="s">
        <v>683</v>
      </c>
      <c r="U141" s="198" t="s">
        <v>282</v>
      </c>
    </row>
    <row r="142" spans="2:21" x14ac:dyDescent="0.3">
      <c r="B142" s="173"/>
      <c r="C142" s="215"/>
      <c r="D142" s="201" t="s">
        <v>567</v>
      </c>
      <c r="E142" s="201" t="s">
        <v>567</v>
      </c>
      <c r="F142" s="201" t="s">
        <v>567</v>
      </c>
      <c r="G142" s="201" t="s">
        <v>567</v>
      </c>
      <c r="H142" s="201" t="s">
        <v>567</v>
      </c>
      <c r="I142" s="201" t="s">
        <v>567</v>
      </c>
      <c r="J142" s="201" t="s">
        <v>567</v>
      </c>
      <c r="K142" s="202" t="s">
        <v>567</v>
      </c>
      <c r="L142" s="201" t="s">
        <v>567</v>
      </c>
      <c r="M142" s="201" t="s">
        <v>567</v>
      </c>
      <c r="N142" s="201" t="s">
        <v>567</v>
      </c>
      <c r="O142" s="201" t="s">
        <v>567</v>
      </c>
      <c r="P142" s="202" t="s">
        <v>567</v>
      </c>
      <c r="Q142" s="201" t="s">
        <v>567</v>
      </c>
      <c r="R142" s="201" t="s">
        <v>567</v>
      </c>
      <c r="S142" s="201" t="s">
        <v>567</v>
      </c>
      <c r="T142" s="201" t="s">
        <v>567</v>
      </c>
      <c r="U142" s="202" t="s">
        <v>567</v>
      </c>
    </row>
    <row r="143" spans="2:21" x14ac:dyDescent="0.3">
      <c r="B143" s="219" t="s">
        <v>4</v>
      </c>
      <c r="C143" s="640">
        <v>1</v>
      </c>
      <c r="D143" s="197">
        <f>C13</f>
        <v>1441.4549999999999</v>
      </c>
      <c r="E143" s="213">
        <f>'Margins summary'!$I$13</f>
        <v>330</v>
      </c>
      <c r="F143" s="197">
        <f>E13</f>
        <v>1771.4549999999999</v>
      </c>
      <c r="G143" s="197">
        <f>F13</f>
        <v>622.34710631578946</v>
      </c>
      <c r="H143" s="197">
        <f>G13</f>
        <v>943.00233600000001</v>
      </c>
      <c r="I143" s="197">
        <f>G143+H143</f>
        <v>1565.3494423157895</v>
      </c>
      <c r="J143" s="197">
        <f>D143-I143</f>
        <v>-123.89444231578955</v>
      </c>
      <c r="K143" s="197">
        <f t="shared" ref="K143:K158" si="63">F143-I143</f>
        <v>206.10555768421045</v>
      </c>
      <c r="L143" s="1032">
        <f>D143/(1+$C$6)^($C143-1)</f>
        <v>1441.4549999999999</v>
      </c>
      <c r="M143" s="979">
        <f>E143/(1+$C$6)^($C143-1)</f>
        <v>330</v>
      </c>
      <c r="N143" s="979">
        <f>I143/(1+$C$6)^($C143-1)</f>
        <v>1565.3494423157895</v>
      </c>
      <c r="O143" s="979">
        <f>J143/(1+$C$6)^($C143-1)</f>
        <v>-123.89444231578955</v>
      </c>
      <c r="P143" s="979">
        <f>K143/(1+$C$6)^($C143-1)</f>
        <v>206.10555768421045</v>
      </c>
      <c r="Q143" s="974">
        <f>L143</f>
        <v>1441.4549999999999</v>
      </c>
      <c r="R143" s="974">
        <f>M143</f>
        <v>330</v>
      </c>
      <c r="S143" s="974">
        <f>N143</f>
        <v>1565.3494423157895</v>
      </c>
      <c r="T143" s="974">
        <f>O143</f>
        <v>-123.89444231578955</v>
      </c>
      <c r="U143" s="975">
        <f>P143</f>
        <v>206.10555768421045</v>
      </c>
    </row>
    <row r="144" spans="2:21" x14ac:dyDescent="0.3">
      <c r="B144" s="219" t="s">
        <v>560</v>
      </c>
      <c r="C144" s="565">
        <v>2</v>
      </c>
      <c r="D144" s="197">
        <f>C92</f>
        <v>494.65500000000003</v>
      </c>
      <c r="E144" s="197">
        <f>'Margins summary'!$I$13</f>
        <v>330</v>
      </c>
      <c r="F144" s="197">
        <f>E92</f>
        <v>824.65499999999997</v>
      </c>
      <c r="G144" s="197">
        <f>F92</f>
        <v>255.07731473684206</v>
      </c>
      <c r="H144" s="197">
        <f>G92</f>
        <v>778.68036799999993</v>
      </c>
      <c r="I144" s="197">
        <f t="shared" ref="I144:I158" si="64">G144+H144</f>
        <v>1033.7576827368421</v>
      </c>
      <c r="J144" s="197">
        <f t="shared" ref="J144:J158" si="65">D144-I144</f>
        <v>-539.1026827368421</v>
      </c>
      <c r="K144" s="197">
        <f t="shared" si="63"/>
        <v>-209.1026827368421</v>
      </c>
      <c r="L144" s="973">
        <f t="shared" ref="L144:L158" si="66">D144/(1+$C$6)^($C144-1)</f>
        <v>480.247572815534</v>
      </c>
      <c r="M144" s="974">
        <f t="shared" ref="M144:M158" si="67">E144/(1+$C$6)^($C144-1)</f>
        <v>320.38834951456312</v>
      </c>
      <c r="N144" s="974">
        <f t="shared" ref="N144:N158" si="68">I144/(1+$C$6)^($C144-1)</f>
        <v>1003.648235666837</v>
      </c>
      <c r="O144" s="974">
        <f t="shared" ref="O144:O158" si="69">J144/(1+$C$6)^($C144-1)</f>
        <v>-523.40066285130297</v>
      </c>
      <c r="P144" s="974">
        <f t="shared" ref="P144:P158" si="70">K144/(1+$C$6)^($C144-1)</f>
        <v>-203.01231333673991</v>
      </c>
      <c r="Q144" s="974">
        <f>Q143+L144</f>
        <v>1921.702572815534</v>
      </c>
      <c r="R144" s="974">
        <f t="shared" ref="R144:U158" si="71">R143+M144</f>
        <v>650.38834951456306</v>
      </c>
      <c r="S144" s="974">
        <f t="shared" si="71"/>
        <v>2568.9976779826266</v>
      </c>
      <c r="T144" s="974">
        <f t="shared" si="71"/>
        <v>-647.29510516709252</v>
      </c>
      <c r="U144" s="975">
        <f t="shared" si="71"/>
        <v>3.0932443474705451</v>
      </c>
    </row>
    <row r="145" spans="2:21" x14ac:dyDescent="0.3">
      <c r="B145" s="219" t="s">
        <v>255</v>
      </c>
      <c r="C145" s="565">
        <v>3</v>
      </c>
      <c r="D145" s="197">
        <f>C119</f>
        <v>886.28571428571433</v>
      </c>
      <c r="E145" s="197">
        <f>'Margins summary'!$I$13</f>
        <v>330</v>
      </c>
      <c r="F145" s="197">
        <f>E119</f>
        <v>1216.2857142857142</v>
      </c>
      <c r="G145" s="197">
        <f>F119</f>
        <v>566.71194999999989</v>
      </c>
      <c r="H145" s="197">
        <f>G119</f>
        <v>691.46913599999993</v>
      </c>
      <c r="I145" s="197">
        <f t="shared" si="64"/>
        <v>1258.1810859999998</v>
      </c>
      <c r="J145" s="197">
        <f t="shared" si="65"/>
        <v>-371.89537171428549</v>
      </c>
      <c r="K145" s="197">
        <f t="shared" si="63"/>
        <v>-41.895371714285602</v>
      </c>
      <c r="L145" s="973">
        <f t="shared" si="66"/>
        <v>835.40928860940176</v>
      </c>
      <c r="M145" s="974">
        <f t="shared" si="67"/>
        <v>311.05665001413894</v>
      </c>
      <c r="N145" s="974">
        <f t="shared" si="68"/>
        <v>1185.9563446130642</v>
      </c>
      <c r="O145" s="974">
        <f t="shared" si="69"/>
        <v>-350.54705600366248</v>
      </c>
      <c r="P145" s="974">
        <f t="shared" si="70"/>
        <v>-39.490405989523616</v>
      </c>
      <c r="Q145" s="974">
        <f t="shared" ref="Q145:Q158" si="72">Q144+L145</f>
        <v>2757.1118614249358</v>
      </c>
      <c r="R145" s="974">
        <f t="shared" si="71"/>
        <v>961.44499952870206</v>
      </c>
      <c r="S145" s="974">
        <f t="shared" si="71"/>
        <v>3754.9540225956907</v>
      </c>
      <c r="T145" s="974">
        <f t="shared" si="71"/>
        <v>-997.84216117075493</v>
      </c>
      <c r="U145" s="975">
        <f t="shared" si="71"/>
        <v>-36.397161642053071</v>
      </c>
    </row>
    <row r="146" spans="2:21" x14ac:dyDescent="0.3">
      <c r="B146" s="219" t="s">
        <v>5</v>
      </c>
      <c r="C146" s="565">
        <v>4</v>
      </c>
      <c r="D146" s="197">
        <f>C68</f>
        <v>622.34900000000005</v>
      </c>
      <c r="E146" s="197">
        <f>'Margins summary'!$I$13</f>
        <v>330</v>
      </c>
      <c r="F146" s="197">
        <f>E68</f>
        <v>952.34900000000005</v>
      </c>
      <c r="G146" s="197">
        <f>F68</f>
        <v>327.77441459954235</v>
      </c>
      <c r="H146" s="197">
        <f>G68</f>
        <v>704.91322685714283</v>
      </c>
      <c r="I146" s="197">
        <f t="shared" si="64"/>
        <v>1032.6876414566852</v>
      </c>
      <c r="J146" s="197">
        <f t="shared" si="65"/>
        <v>-410.3386414566852</v>
      </c>
      <c r="K146" s="197">
        <f t="shared" si="63"/>
        <v>-80.338641456685195</v>
      </c>
      <c r="L146" s="973">
        <f t="shared" si="66"/>
        <v>569.5374965567795</v>
      </c>
      <c r="M146" s="974">
        <f t="shared" si="67"/>
        <v>301.99674758654265</v>
      </c>
      <c r="N146" s="974">
        <f t="shared" si="68"/>
        <v>945.05548179617165</v>
      </c>
      <c r="O146" s="974">
        <f t="shared" si="69"/>
        <v>-375.51798523939209</v>
      </c>
      <c r="P146" s="974">
        <f t="shared" si="70"/>
        <v>-73.521237652849422</v>
      </c>
      <c r="Q146" s="974">
        <f t="shared" si="72"/>
        <v>3326.6493579817152</v>
      </c>
      <c r="R146" s="974">
        <f t="shared" si="71"/>
        <v>1263.4417471152447</v>
      </c>
      <c r="S146" s="974">
        <f t="shared" si="71"/>
        <v>4700.0095043918627</v>
      </c>
      <c r="T146" s="974">
        <f t="shared" si="71"/>
        <v>-1373.3601464101471</v>
      </c>
      <c r="U146" s="975">
        <f t="shared" si="71"/>
        <v>-109.91839929490249</v>
      </c>
    </row>
    <row r="147" spans="2:21" x14ac:dyDescent="0.3">
      <c r="B147" s="219" t="s">
        <v>559</v>
      </c>
      <c r="C147" s="565">
        <v>5</v>
      </c>
      <c r="D147" s="197">
        <f>C43</f>
        <v>963.32500000000005</v>
      </c>
      <c r="E147" s="197">
        <f>'Margins summary'!$I$13</f>
        <v>330</v>
      </c>
      <c r="F147" s="197">
        <f>E43</f>
        <v>1293.325</v>
      </c>
      <c r="G147" s="197">
        <f>F43</f>
        <v>300.32802631578949</v>
      </c>
      <c r="H147" s="197">
        <f>G43</f>
        <v>547.62448399999994</v>
      </c>
      <c r="I147" s="197">
        <f t="shared" si="64"/>
        <v>847.95251031578937</v>
      </c>
      <c r="J147" s="197">
        <f t="shared" si="65"/>
        <v>115.37248968421068</v>
      </c>
      <c r="K147" s="197">
        <f t="shared" si="63"/>
        <v>445.37248968421068</v>
      </c>
      <c r="L147" s="973">
        <f t="shared" si="66"/>
        <v>855.90178543338106</v>
      </c>
      <c r="M147" s="974">
        <f t="shared" si="67"/>
        <v>293.20072581217738</v>
      </c>
      <c r="N147" s="974">
        <f t="shared" si="68"/>
        <v>753.3948226631735</v>
      </c>
      <c r="O147" s="974">
        <f t="shared" si="69"/>
        <v>102.50696277020762</v>
      </c>
      <c r="P147" s="974">
        <f t="shared" si="70"/>
        <v>395.707688582385</v>
      </c>
      <c r="Q147" s="974">
        <f t="shared" si="72"/>
        <v>4182.5511434150958</v>
      </c>
      <c r="R147" s="974">
        <f t="shared" si="71"/>
        <v>1556.642472927422</v>
      </c>
      <c r="S147" s="974">
        <f t="shared" si="71"/>
        <v>5453.4043270550364</v>
      </c>
      <c r="T147" s="974">
        <f t="shared" si="71"/>
        <v>-1270.8531836399395</v>
      </c>
      <c r="U147" s="975">
        <f t="shared" si="71"/>
        <v>285.78928928748252</v>
      </c>
    </row>
    <row r="148" spans="2:21" x14ac:dyDescent="0.3">
      <c r="B148" s="219" t="s">
        <v>4</v>
      </c>
      <c r="C148" s="565">
        <v>6</v>
      </c>
      <c r="D148" s="197">
        <f>C18</f>
        <v>1441.4549999999999</v>
      </c>
      <c r="E148" s="197">
        <f>'Margins summary'!$I$13</f>
        <v>330</v>
      </c>
      <c r="F148" s="197">
        <f>E18</f>
        <v>1771.4549999999999</v>
      </c>
      <c r="G148" s="197">
        <f>F18</f>
        <v>622.34710631578946</v>
      </c>
      <c r="H148" s="197">
        <f>G18</f>
        <v>943.00233600000001</v>
      </c>
      <c r="I148" s="197">
        <f t="shared" si="64"/>
        <v>1565.3494423157895</v>
      </c>
      <c r="J148" s="197">
        <f t="shared" si="65"/>
        <v>-123.89444231578955</v>
      </c>
      <c r="K148" s="197">
        <f t="shared" si="63"/>
        <v>206.10555768421045</v>
      </c>
      <c r="L148" s="973">
        <f t="shared" si="66"/>
        <v>1243.4117452944752</v>
      </c>
      <c r="M148" s="974">
        <f t="shared" si="67"/>
        <v>284.66089884677416</v>
      </c>
      <c r="N148" s="974">
        <f t="shared" si="68"/>
        <v>1350.2841795724523</v>
      </c>
      <c r="O148" s="974">
        <f t="shared" si="69"/>
        <v>-106.87243427797716</v>
      </c>
      <c r="P148" s="974">
        <f t="shared" si="70"/>
        <v>177.788464568797</v>
      </c>
      <c r="Q148" s="974">
        <f t="shared" si="72"/>
        <v>5425.9628887095714</v>
      </c>
      <c r="R148" s="974">
        <f t="shared" si="71"/>
        <v>1841.3033717741962</v>
      </c>
      <c r="S148" s="974">
        <f t="shared" si="71"/>
        <v>6803.688506627489</v>
      </c>
      <c r="T148" s="974">
        <f t="shared" si="71"/>
        <v>-1377.7256179179167</v>
      </c>
      <c r="U148" s="975">
        <f t="shared" si="71"/>
        <v>463.57775385627951</v>
      </c>
    </row>
    <row r="149" spans="2:21" x14ac:dyDescent="0.3">
      <c r="B149" s="219" t="s">
        <v>560</v>
      </c>
      <c r="C149" s="565">
        <v>7</v>
      </c>
      <c r="D149" s="197">
        <f>C97</f>
        <v>494.65500000000003</v>
      </c>
      <c r="E149" s="197">
        <f>'Margins summary'!$I$13</f>
        <v>330</v>
      </c>
      <c r="F149" s="197">
        <f>E97</f>
        <v>824.65499999999997</v>
      </c>
      <c r="G149" s="197">
        <f>F97</f>
        <v>255.07731473684206</v>
      </c>
      <c r="H149" s="197">
        <f>G97</f>
        <v>778.68036799999993</v>
      </c>
      <c r="I149" s="197">
        <f t="shared" si="64"/>
        <v>1033.7576827368421</v>
      </c>
      <c r="J149" s="197">
        <f t="shared" si="65"/>
        <v>-539.1026827368421</v>
      </c>
      <c r="K149" s="197">
        <f t="shared" si="63"/>
        <v>-209.1026827368421</v>
      </c>
      <c r="L149" s="973">
        <f t="shared" si="66"/>
        <v>414.26577498985313</v>
      </c>
      <c r="M149" s="974">
        <f t="shared" si="67"/>
        <v>276.36980470560593</v>
      </c>
      <c r="N149" s="974">
        <f t="shared" si="68"/>
        <v>865.75578451788124</v>
      </c>
      <c r="O149" s="974">
        <f t="shared" si="69"/>
        <v>-451.49000952802817</v>
      </c>
      <c r="P149" s="974">
        <f t="shared" si="70"/>
        <v>-175.12020482242221</v>
      </c>
      <c r="Q149" s="974">
        <f t="shared" si="72"/>
        <v>5840.2286636994249</v>
      </c>
      <c r="R149" s="974">
        <f t="shared" si="71"/>
        <v>2117.6731764798024</v>
      </c>
      <c r="S149" s="974">
        <f t="shared" si="71"/>
        <v>7669.4442911453698</v>
      </c>
      <c r="T149" s="974">
        <f t="shared" si="71"/>
        <v>-1829.2156274459448</v>
      </c>
      <c r="U149" s="975">
        <f t="shared" si="71"/>
        <v>288.45754903385728</v>
      </c>
    </row>
    <row r="150" spans="2:21" x14ac:dyDescent="0.3">
      <c r="B150" s="219" t="s">
        <v>255</v>
      </c>
      <c r="C150" s="565">
        <v>8</v>
      </c>
      <c r="D150" s="197">
        <f>C124</f>
        <v>886.28571428571433</v>
      </c>
      <c r="E150" s="197">
        <f>'Margins summary'!$I$13</f>
        <v>330</v>
      </c>
      <c r="F150" s="197">
        <f>E124</f>
        <v>1216.2857142857142</v>
      </c>
      <c r="G150" s="197">
        <f>F124</f>
        <v>566.71194999999989</v>
      </c>
      <c r="H150" s="197">
        <f>G124</f>
        <v>691.46913599999993</v>
      </c>
      <c r="I150" s="197">
        <f t="shared" si="64"/>
        <v>1258.1810859999998</v>
      </c>
      <c r="J150" s="197">
        <f t="shared" si="65"/>
        <v>-371.89537171428549</v>
      </c>
      <c r="K150" s="197">
        <f t="shared" si="63"/>
        <v>-41.895371714285602</v>
      </c>
      <c r="L150" s="973">
        <f t="shared" si="66"/>
        <v>720.63139091059531</v>
      </c>
      <c r="M150" s="974">
        <f t="shared" si="67"/>
        <v>268.32019874330672</v>
      </c>
      <c r="N150" s="974">
        <f t="shared" si="68"/>
        <v>1023.016360759362</v>
      </c>
      <c r="O150" s="974">
        <f t="shared" si="69"/>
        <v>-302.38496984876673</v>
      </c>
      <c r="P150" s="974">
        <f t="shared" si="70"/>
        <v>-34.064771105460075</v>
      </c>
      <c r="Q150" s="974">
        <f t="shared" si="72"/>
        <v>6560.8600546100206</v>
      </c>
      <c r="R150" s="974">
        <f t="shared" si="71"/>
        <v>2385.9933752231091</v>
      </c>
      <c r="S150" s="974">
        <f t="shared" si="71"/>
        <v>8692.460651904732</v>
      </c>
      <c r="T150" s="974">
        <f t="shared" si="71"/>
        <v>-2131.6005972947114</v>
      </c>
      <c r="U150" s="975">
        <f t="shared" si="71"/>
        <v>254.39277792839721</v>
      </c>
    </row>
    <row r="151" spans="2:21" x14ac:dyDescent="0.3">
      <c r="B151" s="219" t="s">
        <v>5</v>
      </c>
      <c r="C151" s="565">
        <v>9</v>
      </c>
      <c r="D151" s="197">
        <f>C73</f>
        <v>622.34900000000005</v>
      </c>
      <c r="E151" s="197">
        <f>'Margins summary'!$I$13</f>
        <v>330</v>
      </c>
      <c r="F151" s="197">
        <f>E73</f>
        <v>952.34900000000005</v>
      </c>
      <c r="G151" s="197">
        <f>F73</f>
        <v>327.77441459954235</v>
      </c>
      <c r="H151" s="197">
        <f>G73</f>
        <v>704.91322685714283</v>
      </c>
      <c r="I151" s="197">
        <f t="shared" si="64"/>
        <v>1032.6876414566852</v>
      </c>
      <c r="J151" s="197">
        <f t="shared" si="65"/>
        <v>-410.3386414566852</v>
      </c>
      <c r="K151" s="197">
        <f t="shared" si="63"/>
        <v>-80.338641456685195</v>
      </c>
      <c r="L151" s="973">
        <f t="shared" si="66"/>
        <v>491.28804756604364</v>
      </c>
      <c r="M151" s="974">
        <f t="shared" si="67"/>
        <v>260.50504732359883</v>
      </c>
      <c r="N151" s="974">
        <f t="shared" si="68"/>
        <v>815.21316032778611</v>
      </c>
      <c r="O151" s="974">
        <f t="shared" si="69"/>
        <v>-323.92511276174247</v>
      </c>
      <c r="P151" s="974">
        <f t="shared" si="70"/>
        <v>-63.420065438143681</v>
      </c>
      <c r="Q151" s="974">
        <f t="shared" si="72"/>
        <v>7052.1481021760646</v>
      </c>
      <c r="R151" s="974">
        <f t="shared" si="71"/>
        <v>2646.4984225467078</v>
      </c>
      <c r="S151" s="974">
        <f t="shared" si="71"/>
        <v>9507.6738122325187</v>
      </c>
      <c r="T151" s="974">
        <f t="shared" si="71"/>
        <v>-2455.525710056454</v>
      </c>
      <c r="U151" s="975">
        <f t="shared" si="71"/>
        <v>190.97271249025351</v>
      </c>
    </row>
    <row r="152" spans="2:21" x14ac:dyDescent="0.3">
      <c r="B152" s="219" t="s">
        <v>559</v>
      </c>
      <c r="C152" s="565">
        <v>10</v>
      </c>
      <c r="D152" s="197">
        <f>C48</f>
        <v>963.32500000000005</v>
      </c>
      <c r="E152" s="197">
        <f>'Margins summary'!$I$13</f>
        <v>330</v>
      </c>
      <c r="F152" s="197">
        <f>E48</f>
        <v>1293.325</v>
      </c>
      <c r="G152" s="197">
        <f>F48</f>
        <v>300.32802631578949</v>
      </c>
      <c r="H152" s="197">
        <f>G48</f>
        <v>547.62448399999994</v>
      </c>
      <c r="I152" s="197">
        <f t="shared" si="64"/>
        <v>847.95251031578937</v>
      </c>
      <c r="J152" s="197">
        <f t="shared" si="65"/>
        <v>115.37248968421068</v>
      </c>
      <c r="K152" s="197">
        <f t="shared" si="63"/>
        <v>445.37248968421068</v>
      </c>
      <c r="L152" s="973">
        <f t="shared" si="66"/>
        <v>738.30839868492444</v>
      </c>
      <c r="M152" s="974">
        <f t="shared" si="67"/>
        <v>252.91752167339689</v>
      </c>
      <c r="N152" s="974">
        <f t="shared" si="68"/>
        <v>649.88499213880289</v>
      </c>
      <c r="O152" s="974">
        <f t="shared" si="69"/>
        <v>88.423406546121555</v>
      </c>
      <c r="P152" s="974">
        <f t="shared" si="70"/>
        <v>341.34092821951845</v>
      </c>
      <c r="Q152" s="974">
        <f t="shared" si="72"/>
        <v>7790.4565008609889</v>
      </c>
      <c r="R152" s="974">
        <f t="shared" si="71"/>
        <v>2899.4159442201048</v>
      </c>
      <c r="S152" s="974">
        <f t="shared" si="71"/>
        <v>10157.558804371321</v>
      </c>
      <c r="T152" s="974">
        <f t="shared" si="71"/>
        <v>-2367.1023035103326</v>
      </c>
      <c r="U152" s="975">
        <f t="shared" si="71"/>
        <v>532.31364070977202</v>
      </c>
    </row>
    <row r="153" spans="2:21" x14ac:dyDescent="0.3">
      <c r="B153" s="219" t="s">
        <v>4</v>
      </c>
      <c r="C153" s="565">
        <v>11</v>
      </c>
      <c r="D153" s="197">
        <f>C23</f>
        <v>1441.4549999999999</v>
      </c>
      <c r="E153" s="197">
        <f>'Margins summary'!$I$13</f>
        <v>330</v>
      </c>
      <c r="F153" s="197">
        <f>E23</f>
        <v>1771.4549999999999</v>
      </c>
      <c r="G153" s="197">
        <f>F23</f>
        <v>622.34710631578946</v>
      </c>
      <c r="H153" s="197">
        <f>G23</f>
        <v>943.00233600000001</v>
      </c>
      <c r="I153" s="197">
        <f t="shared" si="64"/>
        <v>1565.3494423157895</v>
      </c>
      <c r="J153" s="197">
        <f t="shared" si="65"/>
        <v>-123.89444231578955</v>
      </c>
      <c r="K153" s="197">
        <f t="shared" si="63"/>
        <v>206.10555768421045</v>
      </c>
      <c r="L153" s="973">
        <f t="shared" si="66"/>
        <v>1072.577894097459</v>
      </c>
      <c r="M153" s="974">
        <f t="shared" si="67"/>
        <v>245.55099191591933</v>
      </c>
      <c r="N153" s="974">
        <f t="shared" si="68"/>
        <v>1164.7669947141612</v>
      </c>
      <c r="O153" s="974">
        <f t="shared" si="69"/>
        <v>-92.189100616702333</v>
      </c>
      <c r="P153" s="974">
        <f t="shared" si="70"/>
        <v>153.36189129921698</v>
      </c>
      <c r="Q153" s="974">
        <f t="shared" si="72"/>
        <v>8863.0343949584476</v>
      </c>
      <c r="R153" s="974">
        <f t="shared" si="71"/>
        <v>3144.9669361360243</v>
      </c>
      <c r="S153" s="974">
        <f t="shared" si="71"/>
        <v>11322.325799085484</v>
      </c>
      <c r="T153" s="974">
        <f t="shared" si="71"/>
        <v>-2459.2914041270351</v>
      </c>
      <c r="U153" s="975">
        <f t="shared" si="71"/>
        <v>685.67553200898897</v>
      </c>
    </row>
    <row r="154" spans="2:21" x14ac:dyDescent="0.3">
      <c r="B154" s="219" t="s">
        <v>560</v>
      </c>
      <c r="C154" s="565">
        <v>12</v>
      </c>
      <c r="D154" s="197">
        <f>C102</f>
        <v>494.65500000000003</v>
      </c>
      <c r="E154" s="197">
        <f>'Margins summary'!$I$13</f>
        <v>330</v>
      </c>
      <c r="F154" s="197">
        <f>E102</f>
        <v>824.65499999999997</v>
      </c>
      <c r="G154" s="197">
        <f>F102</f>
        <v>255.07731473684206</v>
      </c>
      <c r="H154" s="197">
        <f>G102</f>
        <v>778.68036799999993</v>
      </c>
      <c r="I154" s="197">
        <f t="shared" si="64"/>
        <v>1033.7576827368421</v>
      </c>
      <c r="J154" s="197">
        <f t="shared" si="65"/>
        <v>-539.1026827368421</v>
      </c>
      <c r="K154" s="197">
        <f t="shared" si="63"/>
        <v>-209.1026827368421</v>
      </c>
      <c r="L154" s="973">
        <f t="shared" si="66"/>
        <v>357.34929657596081</v>
      </c>
      <c r="M154" s="974">
        <f t="shared" si="67"/>
        <v>238.39902127759154</v>
      </c>
      <c r="N154" s="974">
        <f t="shared" si="68"/>
        <v>746.80854485652776</v>
      </c>
      <c r="O154" s="974">
        <f t="shared" si="69"/>
        <v>-389.45924828056701</v>
      </c>
      <c r="P154" s="974">
        <f t="shared" si="70"/>
        <v>-151.06022700297544</v>
      </c>
      <c r="Q154" s="974">
        <f t="shared" si="72"/>
        <v>9220.3836915344091</v>
      </c>
      <c r="R154" s="974">
        <f t="shared" si="71"/>
        <v>3383.3659574136159</v>
      </c>
      <c r="S154" s="974">
        <f t="shared" si="71"/>
        <v>12069.134343942011</v>
      </c>
      <c r="T154" s="974">
        <f t="shared" si="71"/>
        <v>-2848.750652407602</v>
      </c>
      <c r="U154" s="975">
        <f t="shared" si="71"/>
        <v>534.6153050060135</v>
      </c>
    </row>
    <row r="155" spans="2:21" x14ac:dyDescent="0.3">
      <c r="B155" s="219" t="s">
        <v>255</v>
      </c>
      <c r="C155" s="565">
        <v>13</v>
      </c>
      <c r="D155" s="197">
        <f>C129</f>
        <v>886.28571428571433</v>
      </c>
      <c r="E155" s="197">
        <f>'Margins summary'!$I$13</f>
        <v>330</v>
      </c>
      <c r="F155" s="197">
        <f>E129</f>
        <v>1216.2857142857142</v>
      </c>
      <c r="G155" s="197">
        <f>F129</f>
        <v>566.71194999999989</v>
      </c>
      <c r="H155" s="197">
        <f>G129</f>
        <v>691.46913599999993</v>
      </c>
      <c r="I155" s="197">
        <f t="shared" si="64"/>
        <v>1258.1810859999998</v>
      </c>
      <c r="J155" s="197">
        <f t="shared" si="65"/>
        <v>-371.89537171428549</v>
      </c>
      <c r="K155" s="197">
        <f t="shared" si="63"/>
        <v>-41.895371714285602</v>
      </c>
      <c r="L155" s="973">
        <f t="shared" si="66"/>
        <v>621.622968102458</v>
      </c>
      <c r="M155" s="974">
        <f t="shared" si="67"/>
        <v>231.45536046368116</v>
      </c>
      <c r="N155" s="974">
        <f t="shared" si="68"/>
        <v>882.46289935974482</v>
      </c>
      <c r="O155" s="974">
        <f t="shared" si="69"/>
        <v>-260.83993125728682</v>
      </c>
      <c r="P155" s="974">
        <f t="shared" si="70"/>
        <v>-29.384570793605715</v>
      </c>
      <c r="Q155" s="974">
        <f t="shared" si="72"/>
        <v>9842.006659636867</v>
      </c>
      <c r="R155" s="974">
        <f t="shared" si="71"/>
        <v>3614.8213178772971</v>
      </c>
      <c r="S155" s="974">
        <f t="shared" si="71"/>
        <v>12951.597243301756</v>
      </c>
      <c r="T155" s="974">
        <f t="shared" si="71"/>
        <v>-3109.590583664889</v>
      </c>
      <c r="U155" s="975">
        <f t="shared" si="71"/>
        <v>505.23073421240781</v>
      </c>
    </row>
    <row r="156" spans="2:21" x14ac:dyDescent="0.3">
      <c r="B156" s="219" t="s">
        <v>5</v>
      </c>
      <c r="C156" s="565">
        <v>14</v>
      </c>
      <c r="D156" s="197">
        <f>C78</f>
        <v>622.34900000000005</v>
      </c>
      <c r="E156" s="197">
        <f>'Margins summary'!$I$13</f>
        <v>330</v>
      </c>
      <c r="F156" s="197">
        <f>E78</f>
        <v>952.34900000000005</v>
      </c>
      <c r="G156" s="197">
        <f>F78</f>
        <v>327.77441459954235</v>
      </c>
      <c r="H156" s="197">
        <f>G78</f>
        <v>704.91322685714283</v>
      </c>
      <c r="I156" s="197">
        <f t="shared" si="64"/>
        <v>1032.6876414566852</v>
      </c>
      <c r="J156" s="197">
        <f t="shared" si="65"/>
        <v>-410.3386414566852</v>
      </c>
      <c r="K156" s="197">
        <f t="shared" si="63"/>
        <v>-80.338641456685195</v>
      </c>
      <c r="L156" s="973">
        <f t="shared" si="66"/>
        <v>423.78938549341433</v>
      </c>
      <c r="M156" s="974">
        <f t="shared" si="67"/>
        <v>224.71394219774871</v>
      </c>
      <c r="N156" s="974">
        <f t="shared" si="68"/>
        <v>703.21003324432422</v>
      </c>
      <c r="O156" s="974">
        <f t="shared" si="69"/>
        <v>-279.42064775090995</v>
      </c>
      <c r="P156" s="974">
        <f t="shared" si="70"/>
        <v>-54.706705553161257</v>
      </c>
      <c r="Q156" s="974">
        <f t="shared" si="72"/>
        <v>10265.796045130281</v>
      </c>
      <c r="R156" s="974">
        <f t="shared" si="71"/>
        <v>3839.5352600750457</v>
      </c>
      <c r="S156" s="974">
        <f t="shared" si="71"/>
        <v>13654.80727654608</v>
      </c>
      <c r="T156" s="974">
        <f t="shared" si="71"/>
        <v>-3389.0112314157991</v>
      </c>
      <c r="U156" s="975">
        <f t="shared" si="71"/>
        <v>450.52402865924654</v>
      </c>
    </row>
    <row r="157" spans="2:21" x14ac:dyDescent="0.3">
      <c r="B157" s="219" t="s">
        <v>559</v>
      </c>
      <c r="C157" s="565">
        <v>15</v>
      </c>
      <c r="D157" s="197">
        <f>C53</f>
        <v>963.32500000000005</v>
      </c>
      <c r="E157" s="197">
        <f>'Margins summary'!$I$13</f>
        <v>330</v>
      </c>
      <c r="F157" s="197">
        <f>E53</f>
        <v>1293.325</v>
      </c>
      <c r="G157" s="197">
        <f>F53</f>
        <v>300.32802631578949</v>
      </c>
      <c r="H157" s="197">
        <f>G53</f>
        <v>547.62448399999994</v>
      </c>
      <c r="I157" s="197">
        <f t="shared" si="64"/>
        <v>847.95251031578937</v>
      </c>
      <c r="J157" s="197">
        <f t="shared" si="65"/>
        <v>115.37248968421068</v>
      </c>
      <c r="K157" s="197">
        <f t="shared" si="63"/>
        <v>445.37248968421068</v>
      </c>
      <c r="L157" s="973">
        <f t="shared" si="66"/>
        <v>636.87131029022146</v>
      </c>
      <c r="M157" s="974">
        <f t="shared" si="67"/>
        <v>218.16887592014436</v>
      </c>
      <c r="N157" s="974">
        <f t="shared" si="68"/>
        <v>560.59650305836476</v>
      </c>
      <c r="O157" s="974">
        <f t="shared" si="69"/>
        <v>76.274807231856641</v>
      </c>
      <c r="P157" s="974">
        <f t="shared" si="70"/>
        <v>294.44368315200097</v>
      </c>
      <c r="Q157" s="974">
        <f t="shared" si="72"/>
        <v>10902.667355420503</v>
      </c>
      <c r="R157" s="974">
        <f t="shared" si="71"/>
        <v>4057.70413599519</v>
      </c>
      <c r="S157" s="974">
        <f t="shared" si="71"/>
        <v>14215.403779604445</v>
      </c>
      <c r="T157" s="974">
        <f t="shared" si="71"/>
        <v>-3312.7364241839423</v>
      </c>
      <c r="U157" s="975">
        <f t="shared" si="71"/>
        <v>744.96771181124745</v>
      </c>
    </row>
    <row r="158" spans="2:21" x14ac:dyDescent="0.3">
      <c r="B158" s="220" t="s">
        <v>4</v>
      </c>
      <c r="C158" s="643">
        <v>16</v>
      </c>
      <c r="D158" s="207">
        <f>C28</f>
        <v>1441.4549999999999</v>
      </c>
      <c r="E158" s="207">
        <f>'Margins summary'!$I$13</f>
        <v>330</v>
      </c>
      <c r="F158" s="207">
        <f>E28</f>
        <v>1771.4549999999999</v>
      </c>
      <c r="G158" s="207">
        <f>F28</f>
        <v>622.34710631578946</v>
      </c>
      <c r="H158" s="207">
        <f>G28</f>
        <v>943.00233600000001</v>
      </c>
      <c r="I158" s="207">
        <f t="shared" si="64"/>
        <v>1565.3494423157895</v>
      </c>
      <c r="J158" s="207">
        <f t="shared" si="65"/>
        <v>-123.89444231578955</v>
      </c>
      <c r="K158" s="207">
        <f t="shared" si="63"/>
        <v>206.10555768421045</v>
      </c>
      <c r="L158" s="976">
        <f t="shared" si="66"/>
        <v>925.21511338473567</v>
      </c>
      <c r="M158" s="977">
        <f t="shared" si="67"/>
        <v>211.81444264091684</v>
      </c>
      <c r="N158" s="977">
        <f t="shared" si="68"/>
        <v>1004.7382414011786</v>
      </c>
      <c r="O158" s="977">
        <f t="shared" si="69"/>
        <v>-79.523128016442982</v>
      </c>
      <c r="P158" s="977">
        <f t="shared" si="70"/>
        <v>132.29131462447384</v>
      </c>
      <c r="Q158" s="977">
        <f t="shared" si="72"/>
        <v>11827.882468805239</v>
      </c>
      <c r="R158" s="977">
        <f t="shared" si="71"/>
        <v>4269.5185786361071</v>
      </c>
      <c r="S158" s="977">
        <f t="shared" si="71"/>
        <v>15220.142021005624</v>
      </c>
      <c r="T158" s="977">
        <f t="shared" si="71"/>
        <v>-3392.2595522003853</v>
      </c>
      <c r="U158" s="978">
        <f t="shared" si="71"/>
        <v>877.25902643572135</v>
      </c>
    </row>
  </sheetData>
  <mergeCells count="22">
    <mergeCell ref="C10:E10"/>
    <mergeCell ref="G10:H10"/>
    <mergeCell ref="K10:O10"/>
    <mergeCell ref="P10:T10"/>
    <mergeCell ref="C36:E36"/>
    <mergeCell ref="G36:H36"/>
    <mergeCell ref="K36:O36"/>
    <mergeCell ref="P36:T36"/>
    <mergeCell ref="C62:E62"/>
    <mergeCell ref="G62:H62"/>
    <mergeCell ref="K62:O62"/>
    <mergeCell ref="P62:T62"/>
    <mergeCell ref="C88:E88"/>
    <mergeCell ref="G88:H88"/>
    <mergeCell ref="K88:O88"/>
    <mergeCell ref="P88:T88"/>
    <mergeCell ref="C114:E114"/>
    <mergeCell ref="G114:H114"/>
    <mergeCell ref="K114:O114"/>
    <mergeCell ref="P114:T114"/>
    <mergeCell ref="C140:E140"/>
    <mergeCell ref="G140:H140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F5DDB62B41D24CB974735F2B5F80B6" ma:contentTypeVersion="12" ma:contentTypeDescription="Create a new document." ma:contentTypeScope="" ma:versionID="8bb3696943aa399bf7c014a28e148342">
  <xsd:schema xmlns:xsd="http://www.w3.org/2001/XMLSchema" xmlns:xs="http://www.w3.org/2001/XMLSchema" xmlns:p="http://schemas.microsoft.com/office/2006/metadata/properties" xmlns:ns3="5b9dbb6f-f28e-4a32-a7d6-aa04ef18b565" xmlns:ns4="62dac45c-a09b-4542-889f-7647871c89a7" targetNamespace="http://schemas.microsoft.com/office/2006/metadata/properties" ma:root="true" ma:fieldsID="19c407efd3b5f119a351b661e40ee8fd" ns3:_="" ns4:_="">
    <xsd:import namespace="5b9dbb6f-f28e-4a32-a7d6-aa04ef18b565"/>
    <xsd:import namespace="62dac45c-a09b-4542-889f-7647871c89a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9dbb6f-f28e-4a32-a7d6-aa04ef18b56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dac45c-a09b-4542-889f-7647871c89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A8496B-EB0F-4B4B-AB7C-FC38A15949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9dbb6f-f28e-4a32-a7d6-aa04ef18b565"/>
    <ds:schemaRef ds:uri="62dac45c-a09b-4542-889f-7647871c89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2A3495-2C16-4059-87A8-7F241E039BE3}">
  <ds:schemaRefs>
    <ds:schemaRef ds:uri="http://www.w3.org/XML/1998/namespace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openxmlformats.org/package/2006/metadata/core-properties"/>
    <ds:schemaRef ds:uri="5b9dbb6f-f28e-4a32-a7d6-aa04ef18b565"/>
    <ds:schemaRef ds:uri="http://schemas.microsoft.com/office/infopath/2007/PartnerControls"/>
    <ds:schemaRef ds:uri="http://purl.org/dc/terms/"/>
    <ds:schemaRef ds:uri="62dac45c-a09b-4542-889f-7647871c89a7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6BC3E2D8-F68B-4A8F-8E98-40BF9012FA1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</vt:i4>
      </vt:variant>
    </vt:vector>
  </HeadingPairs>
  <TitlesOfParts>
    <vt:vector size="21" baseType="lpstr">
      <vt:lpstr>Introduction</vt:lpstr>
      <vt:lpstr>Arable Inputs</vt:lpstr>
      <vt:lpstr>Arable fixed costs</vt:lpstr>
      <vt:lpstr>Arable margins</vt:lpstr>
      <vt:lpstr>Energy Inputs</vt:lpstr>
      <vt:lpstr>Energy fixed costs</vt:lpstr>
      <vt:lpstr>Energy margins</vt:lpstr>
      <vt:lpstr>Margins summary</vt:lpstr>
      <vt:lpstr>Arable NPV</vt:lpstr>
      <vt:lpstr>Arable Model tables</vt:lpstr>
      <vt:lpstr>Arable Model</vt:lpstr>
      <vt:lpstr>Energy Model tables</vt:lpstr>
      <vt:lpstr>Energy Model</vt:lpstr>
      <vt:lpstr>Energy NPV</vt:lpstr>
      <vt:lpstr>Sensitivity Analysis Price</vt:lpstr>
      <vt:lpstr>Sensitivity Analysis Yield</vt:lpstr>
      <vt:lpstr>Sensitivity Analysis Costs</vt:lpstr>
      <vt:lpstr>Sensitivity Analysis Discount R</vt:lpstr>
      <vt:lpstr>Summary NPV</vt:lpstr>
      <vt:lpstr>Summary SA</vt:lpstr>
      <vt:lpstr>'Energy margins'!Rate_PLN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Cumplido-marín, Laura</dc:creator>
  <cp:lastModifiedBy>Laura Cumplido-Marin</cp:lastModifiedBy>
  <dcterms:created xsi:type="dcterms:W3CDTF">2019-10-07T08:07:47Z</dcterms:created>
  <dcterms:modified xsi:type="dcterms:W3CDTF">2021-08-15T06:33:18Z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0x01010049F5DDB62B41D24CB974735F2B5F80B6</vt:lpwstr>
  </property>
</Properties>
</file>