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Encina\Documents\Experiments\Chapter 2 -Transport\CORD\"/>
    </mc:Choice>
  </mc:AlternateContent>
  <xr:revisionPtr revIDLastSave="0" documentId="13_ncr:1_{AEC86B55-4C3E-48E0-AD71-BCF61CD89B90}" xr6:coauthVersionLast="46" xr6:coauthVersionMax="46" xr10:uidLastSave="{00000000-0000-0000-0000-000000000000}"/>
  <bookViews>
    <workbookView xWindow="-108" yWindow="-108" windowWidth="23256" windowHeight="12576" tabRatio="680" activeTab="8" xr2:uid="{00000000-000D-0000-FFFF-FFFF00000000}"/>
  </bookViews>
  <sheets>
    <sheet name="St(1)" sheetId="10" r:id="rId1"/>
    <sheet name="St(1b)" sheetId="13" r:id="rId2"/>
    <sheet name="St(1c)" sheetId="14" r:id="rId3"/>
    <sheet name="St(2)" sheetId="2" r:id="rId4"/>
    <sheet name="St(3)" sheetId="6" r:id="rId5"/>
    <sheet name="QS(1)" sheetId="12" r:id="rId6"/>
    <sheet name="QS(2)" sheetId="3" r:id="rId7"/>
    <sheet name="QS(3)" sheetId="8" r:id="rId8"/>
    <sheet name="Sand(1)" sheetId="15" r:id="rId9"/>
    <sheet name="Sand(2)" sheetId="4" r:id="rId10"/>
    <sheet name="Sand(3)" sheetId="7" r:id="rId11"/>
    <sheet name="Loam(1)" sheetId="11" r:id="rId12"/>
    <sheet name="Loam(2)" sheetId="5" r:id="rId13"/>
    <sheet name="Loam(3)" sheetId="9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5" l="1"/>
  <c r="F7" i="15" s="1"/>
  <c r="E7" i="15"/>
  <c r="E8" i="15" s="1"/>
  <c r="E9" i="15" s="1"/>
  <c r="E10" i="15" s="1"/>
  <c r="E11" i="15" s="1"/>
  <c r="E12" i="15" s="1"/>
  <c r="E13" i="15" s="1"/>
  <c r="E14" i="15" s="1"/>
  <c r="E15" i="15" s="1"/>
  <c r="E16" i="15" s="1"/>
  <c r="E17" i="15" s="1"/>
  <c r="E18" i="15" s="1"/>
  <c r="L7" i="15"/>
  <c r="D8" i="15"/>
  <c r="F8" i="15"/>
  <c r="I8" i="15"/>
  <c r="J8" i="15"/>
  <c r="N8" i="15" s="1"/>
  <c r="K8" i="15"/>
  <c r="D9" i="15"/>
  <c r="F9" i="15" s="1"/>
  <c r="I9" i="15"/>
  <c r="J9" i="15"/>
  <c r="K9" i="15"/>
  <c r="L9" i="15"/>
  <c r="D10" i="15"/>
  <c r="F10" i="15" s="1"/>
  <c r="I10" i="15"/>
  <c r="K10" i="15" s="1"/>
  <c r="J10" i="15"/>
  <c r="L10" i="15" s="1"/>
  <c r="I11" i="15"/>
  <c r="K11" i="15" s="1"/>
  <c r="J11" i="15"/>
  <c r="L11" i="15" s="1"/>
  <c r="I12" i="15"/>
  <c r="M12" i="15" s="1"/>
  <c r="J12" i="15"/>
  <c r="N12" i="15" s="1"/>
  <c r="K12" i="15"/>
  <c r="L12" i="15"/>
  <c r="I13" i="15"/>
  <c r="J13" i="15"/>
  <c r="K13" i="15"/>
  <c r="L13" i="15"/>
  <c r="I14" i="15"/>
  <c r="K14" i="15" s="1"/>
  <c r="J14" i="15"/>
  <c r="L14" i="15" s="1"/>
  <c r="I15" i="15"/>
  <c r="K15" i="15" s="1"/>
  <c r="J15" i="15"/>
  <c r="L15" i="15" s="1"/>
  <c r="I16" i="15"/>
  <c r="M16" i="15" s="1"/>
  <c r="J16" i="15"/>
  <c r="N16" i="15" s="1"/>
  <c r="K16" i="15"/>
  <c r="L16" i="15"/>
  <c r="I17" i="15"/>
  <c r="J17" i="15"/>
  <c r="N7" i="15" s="1"/>
  <c r="K17" i="15"/>
  <c r="L17" i="15"/>
  <c r="I18" i="15"/>
  <c r="K18" i="15" s="1"/>
  <c r="J18" i="15"/>
  <c r="L18" i="15"/>
  <c r="I19" i="15"/>
  <c r="M17" i="15" s="1"/>
  <c r="J19" i="15"/>
  <c r="N10" i="15" s="1"/>
  <c r="D27" i="15"/>
  <c r="F27" i="15" s="1"/>
  <c r="D28" i="15"/>
  <c r="F28" i="15" s="1"/>
  <c r="G19" i="14"/>
  <c r="F19" i="14"/>
  <c r="H15" i="14"/>
  <c r="H19" i="14" s="1"/>
  <c r="H14" i="14"/>
  <c r="G8" i="14"/>
  <c r="F8" i="14"/>
  <c r="H4" i="14"/>
  <c r="H8" i="14" s="1"/>
  <c r="H3" i="14"/>
  <c r="K20" i="15" l="1"/>
  <c r="G27" i="15" s="1"/>
  <c r="N9" i="15"/>
  <c r="L8" i="15"/>
  <c r="L20" i="15" s="1"/>
  <c r="G28" i="15" s="1"/>
  <c r="N13" i="15"/>
  <c r="D11" i="15"/>
  <c r="N17" i="15"/>
  <c r="M9" i="15"/>
  <c r="N18" i="15"/>
  <c r="N14" i="15"/>
  <c r="M18" i="15"/>
  <c r="M14" i="15"/>
  <c r="M10" i="15"/>
  <c r="N15" i="15"/>
  <c r="N11" i="15"/>
  <c r="M13" i="15"/>
  <c r="M15" i="15"/>
  <c r="M11" i="15"/>
  <c r="D12" i="15" l="1"/>
  <c r="F11" i="15"/>
  <c r="D13" i="15" l="1"/>
  <c r="F12" i="15"/>
  <c r="D14" i="15" l="1"/>
  <c r="F13" i="15"/>
  <c r="F14" i="15" l="1"/>
  <c r="D15" i="15"/>
  <c r="F19" i="13"/>
  <c r="G15" i="13"/>
  <c r="G14" i="13"/>
  <c r="G19" i="13" s="1"/>
  <c r="F8" i="13"/>
  <c r="G4" i="13"/>
  <c r="G8" i="13" s="1"/>
  <c r="G3" i="13"/>
  <c r="F26" i="12"/>
  <c r="D26" i="12"/>
  <c r="D25" i="12"/>
  <c r="F25" i="12" s="1"/>
  <c r="J17" i="12"/>
  <c r="N16" i="12" s="1"/>
  <c r="I17" i="12"/>
  <c r="M16" i="12" s="1"/>
  <c r="K16" i="12"/>
  <c r="J16" i="12"/>
  <c r="L16" i="12" s="1"/>
  <c r="I16" i="12"/>
  <c r="N15" i="12"/>
  <c r="L15" i="12"/>
  <c r="K15" i="12"/>
  <c r="J15" i="12"/>
  <c r="I15" i="12"/>
  <c r="J14" i="12"/>
  <c r="N14" i="12" s="1"/>
  <c r="I14" i="12"/>
  <c r="M14" i="12" s="1"/>
  <c r="K13" i="12"/>
  <c r="J13" i="12"/>
  <c r="L13" i="12" s="1"/>
  <c r="I13" i="12"/>
  <c r="N12" i="12"/>
  <c r="L12" i="12"/>
  <c r="K12" i="12"/>
  <c r="J12" i="12"/>
  <c r="I12" i="12"/>
  <c r="J11" i="12"/>
  <c r="N11" i="12" s="1"/>
  <c r="I11" i="12"/>
  <c r="M11" i="12" s="1"/>
  <c r="K10" i="12"/>
  <c r="J10" i="12"/>
  <c r="L10" i="12" s="1"/>
  <c r="I10" i="12"/>
  <c r="N9" i="12"/>
  <c r="L9" i="12"/>
  <c r="K9" i="12"/>
  <c r="J9" i="12"/>
  <c r="I9" i="12"/>
  <c r="J8" i="12"/>
  <c r="N8" i="12" s="1"/>
  <c r="I8" i="12"/>
  <c r="M8" i="12" s="1"/>
  <c r="K7" i="12"/>
  <c r="J7" i="12"/>
  <c r="L7" i="12" s="1"/>
  <c r="I7" i="12"/>
  <c r="N6" i="12"/>
  <c r="M6" i="12"/>
  <c r="L6" i="12"/>
  <c r="K6" i="12"/>
  <c r="D6" i="12"/>
  <c r="F6" i="12" s="1"/>
  <c r="L5" i="12"/>
  <c r="K5" i="12"/>
  <c r="F5" i="12"/>
  <c r="D5" i="12"/>
  <c r="F15" i="15" l="1"/>
  <c r="D16" i="15"/>
  <c r="K18" i="12"/>
  <c r="G25" i="12" s="1"/>
  <c r="M12" i="12"/>
  <c r="D7" i="12"/>
  <c r="K8" i="12"/>
  <c r="K11" i="12"/>
  <c r="K14" i="12"/>
  <c r="L8" i="12"/>
  <c r="L18" i="12" s="1"/>
  <c r="G26" i="12" s="1"/>
  <c r="L11" i="12"/>
  <c r="L14" i="12"/>
  <c r="M15" i="12"/>
  <c r="M5" i="12"/>
  <c r="M9" i="12"/>
  <c r="N5" i="12"/>
  <c r="M7" i="12"/>
  <c r="M10" i="12"/>
  <c r="M13" i="12"/>
  <c r="N7" i="12"/>
  <c r="N10" i="12"/>
  <c r="N13" i="12"/>
  <c r="D17" i="15" l="1"/>
  <c r="F16" i="15"/>
  <c r="D8" i="12"/>
  <c r="F7" i="12"/>
  <c r="F17" i="15" l="1"/>
  <c r="D18" i="15"/>
  <c r="D9" i="12"/>
  <c r="F8" i="12"/>
  <c r="F18" i="15" l="1"/>
  <c r="D19" i="15"/>
  <c r="F19" i="15" s="1"/>
  <c r="F9" i="12"/>
  <c r="D10" i="12"/>
  <c r="F10" i="12" l="1"/>
  <c r="D11" i="12"/>
  <c r="D12" i="12" l="1"/>
  <c r="F11" i="12"/>
  <c r="F12" i="12" l="1"/>
  <c r="D13" i="12"/>
  <c r="D14" i="12" l="1"/>
  <c r="F13" i="12"/>
  <c r="F14" i="12" l="1"/>
  <c r="D15" i="12"/>
  <c r="F15" i="12" l="1"/>
  <c r="D16" i="12"/>
  <c r="F16" i="12" l="1"/>
  <c r="D17" i="12"/>
  <c r="F17" i="12" s="1"/>
  <c r="D25" i="11" l="1"/>
  <c r="F25" i="11" s="1"/>
  <c r="H17" i="11"/>
  <c r="J16" i="11"/>
  <c r="I16" i="11"/>
  <c r="J15" i="11"/>
  <c r="I15" i="11"/>
  <c r="J14" i="11"/>
  <c r="I14" i="11"/>
  <c r="J13" i="11"/>
  <c r="I13" i="11"/>
  <c r="J12" i="11"/>
  <c r="I12" i="11"/>
  <c r="J11" i="11"/>
  <c r="I11" i="11"/>
  <c r="J10" i="11"/>
  <c r="H10" i="11"/>
  <c r="I10" i="11" s="1"/>
  <c r="H9" i="11"/>
  <c r="J9" i="11" s="1"/>
  <c r="J8" i="11"/>
  <c r="H8" i="11"/>
  <c r="I8" i="11" s="1"/>
  <c r="H7" i="11"/>
  <c r="J7" i="11" s="1"/>
  <c r="D7" i="11"/>
  <c r="D8" i="11" s="1"/>
  <c r="J6" i="11"/>
  <c r="I6" i="11"/>
  <c r="F6" i="11"/>
  <c r="D6" i="11"/>
  <c r="J5" i="11"/>
  <c r="I5" i="11"/>
  <c r="E5" i="11"/>
  <c r="E6" i="11" s="1"/>
  <c r="E7" i="11" s="1"/>
  <c r="E8" i="11" s="1"/>
  <c r="E9" i="11" s="1"/>
  <c r="E10" i="11" s="1"/>
  <c r="E11" i="11" s="1"/>
  <c r="E12" i="11" s="1"/>
  <c r="E13" i="11" s="1"/>
  <c r="E14" i="11" s="1"/>
  <c r="E15" i="11" s="1"/>
  <c r="E16" i="11" s="1"/>
  <c r="D5" i="11"/>
  <c r="F5" i="11" s="1"/>
  <c r="H2" i="10"/>
  <c r="H3" i="10"/>
  <c r="F7" i="10"/>
  <c r="G7" i="10"/>
  <c r="H7" i="10"/>
  <c r="H13" i="10"/>
  <c r="H14" i="10"/>
  <c r="F18" i="10"/>
  <c r="G18" i="10"/>
  <c r="H18" i="10"/>
  <c r="D9" i="11" l="1"/>
  <c r="F8" i="11"/>
  <c r="F7" i="11"/>
  <c r="I7" i="11"/>
  <c r="I19" i="11" s="1"/>
  <c r="G25" i="11" s="1"/>
  <c r="I9" i="11"/>
  <c r="F9" i="11" l="1"/>
  <c r="D10" i="11"/>
  <c r="F10" i="11" l="1"/>
  <c r="D11" i="11"/>
  <c r="D12" i="11" l="1"/>
  <c r="F11" i="11"/>
  <c r="D13" i="11" l="1"/>
  <c r="F12" i="11"/>
  <c r="F13" i="11" l="1"/>
  <c r="D14" i="11"/>
  <c r="D15" i="11" l="1"/>
  <c r="F14" i="11"/>
  <c r="F15" i="11" l="1"/>
  <c r="D16" i="11"/>
  <c r="F16" i="11" l="1"/>
  <c r="D17" i="11"/>
  <c r="F4" i="9" l="1"/>
  <c r="F17" i="9" s="1"/>
  <c r="G4" i="9"/>
  <c r="F5" i="9"/>
  <c r="G5" i="9"/>
  <c r="F6" i="9"/>
  <c r="G6" i="9"/>
  <c r="F7" i="9"/>
  <c r="G7" i="9"/>
  <c r="F8" i="9"/>
  <c r="G8" i="9"/>
  <c r="F9" i="9"/>
  <c r="G9" i="9"/>
  <c r="F10" i="9"/>
  <c r="G10" i="9"/>
  <c r="F11" i="9"/>
  <c r="G11" i="9"/>
  <c r="F12" i="9"/>
  <c r="G12" i="9"/>
  <c r="F13" i="9"/>
  <c r="G13" i="9"/>
  <c r="F14" i="9"/>
  <c r="G14" i="9"/>
  <c r="F15" i="9"/>
  <c r="G15" i="9"/>
  <c r="F16" i="9"/>
  <c r="G16" i="9"/>
  <c r="C17" i="9"/>
  <c r="D25" i="9"/>
  <c r="F25" i="9" s="1"/>
  <c r="G25" i="9" s="1"/>
  <c r="C17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6" i="8"/>
  <c r="F6" i="8"/>
  <c r="G5" i="8"/>
  <c r="F5" i="8"/>
  <c r="G4" i="8"/>
  <c r="F4" i="8"/>
  <c r="F5" i="4"/>
  <c r="F13" i="4"/>
  <c r="C17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  <c r="G6" i="7"/>
  <c r="F6" i="7"/>
  <c r="G5" i="7"/>
  <c r="F5" i="7"/>
  <c r="G4" i="7"/>
  <c r="F4" i="7"/>
  <c r="H19" i="6"/>
  <c r="H18" i="6"/>
  <c r="H17" i="6"/>
  <c r="H16" i="6"/>
  <c r="H15" i="6"/>
  <c r="C15" i="6"/>
  <c r="C6" i="6"/>
  <c r="C9" i="6" s="1"/>
  <c r="G16" i="5"/>
  <c r="H15" i="5"/>
  <c r="G15" i="5"/>
  <c r="E15" i="5"/>
  <c r="H14" i="5"/>
  <c r="E14" i="5"/>
  <c r="G14" i="5" s="1"/>
  <c r="H13" i="5"/>
  <c r="E13" i="5"/>
  <c r="G13" i="5" s="1"/>
  <c r="H12" i="5"/>
  <c r="G12" i="5"/>
  <c r="E12" i="5"/>
  <c r="H11" i="5"/>
  <c r="G11" i="5"/>
  <c r="H10" i="5"/>
  <c r="G10" i="5"/>
  <c r="H9" i="5"/>
  <c r="G9" i="5"/>
  <c r="E9" i="5"/>
  <c r="H8" i="5"/>
  <c r="G8" i="5"/>
  <c r="E8" i="5"/>
  <c r="H7" i="5"/>
  <c r="E7" i="5"/>
  <c r="G7" i="5" s="1"/>
  <c r="H6" i="5"/>
  <c r="E6" i="5"/>
  <c r="G6" i="5" s="1"/>
  <c r="H5" i="5"/>
  <c r="H4" i="5"/>
  <c r="E4" i="5"/>
  <c r="G4" i="5" s="1"/>
  <c r="F16" i="4"/>
  <c r="G15" i="4"/>
  <c r="F15" i="4"/>
  <c r="G14" i="4"/>
  <c r="F14" i="4"/>
  <c r="G13" i="4"/>
  <c r="G12" i="4"/>
  <c r="F12" i="4"/>
  <c r="G11" i="4"/>
  <c r="F11" i="4"/>
  <c r="G10" i="4"/>
  <c r="F10" i="4"/>
  <c r="G9" i="4"/>
  <c r="F9" i="4"/>
  <c r="G8" i="4"/>
  <c r="F8" i="4"/>
  <c r="G7" i="4"/>
  <c r="F7" i="4"/>
  <c r="G6" i="4"/>
  <c r="F6" i="4"/>
  <c r="G5" i="4"/>
  <c r="G4" i="4"/>
  <c r="F4" i="4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7" i="3"/>
  <c r="F7" i="3"/>
  <c r="G6" i="3"/>
  <c r="F6" i="3"/>
  <c r="G5" i="3"/>
  <c r="F5" i="3"/>
  <c r="G4" i="3"/>
  <c r="F4" i="3"/>
  <c r="H19" i="2"/>
  <c r="H18" i="2"/>
  <c r="H17" i="2"/>
  <c r="H16" i="2"/>
  <c r="H15" i="2"/>
  <c r="C15" i="2"/>
  <c r="C6" i="2"/>
  <c r="C9" i="2" s="1"/>
  <c r="H10" i="6" l="1"/>
  <c r="H6" i="6"/>
  <c r="H9" i="6"/>
  <c r="H7" i="6"/>
  <c r="H8" i="6"/>
  <c r="H9" i="2"/>
  <c r="H7" i="2"/>
  <c r="H10" i="2"/>
  <c r="H8" i="2"/>
  <c r="H6" i="2"/>
</calcChain>
</file>

<file path=xl/sharedStrings.xml><?xml version="1.0" encoding="utf-8"?>
<sst xmlns="http://schemas.openxmlformats.org/spreadsheetml/2006/main" count="364" uniqueCount="83">
  <si>
    <t>NTO</t>
  </si>
  <si>
    <t>Stock</t>
  </si>
  <si>
    <t>m (mg)</t>
  </si>
  <si>
    <t>Standard</t>
  </si>
  <si>
    <t>V final (ml)</t>
  </si>
  <si>
    <t>V stock 2 (ml)</t>
  </si>
  <si>
    <t>C (ppm)</t>
  </si>
  <si>
    <t>Area</t>
  </si>
  <si>
    <t>area 2 (15/9)</t>
  </si>
  <si>
    <t>V (L)</t>
  </si>
  <si>
    <t>blank</t>
  </si>
  <si>
    <t>v stock</t>
  </si>
  <si>
    <t>v final</t>
  </si>
  <si>
    <t>DNAN</t>
  </si>
  <si>
    <t>stock</t>
  </si>
  <si>
    <t>Area 2 (15/9)</t>
  </si>
  <si>
    <t>Quartz sand</t>
  </si>
  <si>
    <t>Area (UA)</t>
  </si>
  <si>
    <t>C/Co</t>
  </si>
  <si>
    <t>Sample</t>
  </si>
  <si>
    <t>Time  (min)</t>
  </si>
  <si>
    <t>Volume (ml)</t>
  </si>
  <si>
    <t>-</t>
  </si>
  <si>
    <t>Initial</t>
  </si>
  <si>
    <t>C</t>
  </si>
  <si>
    <t>slope</t>
  </si>
  <si>
    <t>oo</t>
  </si>
  <si>
    <t>Sand</t>
  </si>
  <si>
    <t>area</t>
  </si>
  <si>
    <t>average</t>
  </si>
  <si>
    <t>Co NTO</t>
  </si>
  <si>
    <t>Mass (mg)</t>
  </si>
  <si>
    <t>Vol (mL)</t>
  </si>
  <si>
    <t>Conc (ppm)</t>
  </si>
  <si>
    <t>Recovery (%)</t>
  </si>
  <si>
    <t>interc</t>
  </si>
  <si>
    <t>Loam</t>
  </si>
  <si>
    <t>Conc</t>
  </si>
  <si>
    <t>Conc2</t>
  </si>
  <si>
    <t>Conc1</t>
  </si>
  <si>
    <t>Test</t>
  </si>
  <si>
    <t>r2</t>
  </si>
  <si>
    <t>(kd-loam-dnan)</t>
  </si>
  <si>
    <t>Conc 1</t>
  </si>
  <si>
    <t>(kd-loam-NTO)</t>
  </si>
  <si>
    <t>Pore vol</t>
  </si>
  <si>
    <t>Time (min)</t>
  </si>
  <si>
    <t>1/2 ml</t>
  </si>
  <si>
    <t>Cum (mL)</t>
  </si>
  <si>
    <t>dnan</t>
  </si>
  <si>
    <t>sand-1</t>
  </si>
  <si>
    <t>nd</t>
  </si>
  <si>
    <t>sand-2</t>
  </si>
  <si>
    <t>sand-3</t>
  </si>
  <si>
    <t>sand-4</t>
  </si>
  <si>
    <t>sand-5</t>
  </si>
  <si>
    <t>sand-6</t>
  </si>
  <si>
    <t>sand-7</t>
  </si>
  <si>
    <t>sand-8</t>
  </si>
  <si>
    <t>sand-9</t>
  </si>
  <si>
    <t>sand-10</t>
  </si>
  <si>
    <t>sand-11</t>
  </si>
  <si>
    <t>sand-12</t>
  </si>
  <si>
    <t>Intial</t>
  </si>
  <si>
    <t>total</t>
  </si>
  <si>
    <t>Sum</t>
  </si>
  <si>
    <t>mass (mg)</t>
  </si>
  <si>
    <t>qs-1</t>
  </si>
  <si>
    <t>qs-2</t>
  </si>
  <si>
    <t>qs-3</t>
  </si>
  <si>
    <t>qs-4</t>
  </si>
  <si>
    <t>qs-5</t>
  </si>
  <si>
    <t>qs-6</t>
  </si>
  <si>
    <t>qs-7</t>
  </si>
  <si>
    <t>qs-8</t>
  </si>
  <si>
    <t>qs-9</t>
  </si>
  <si>
    <t>qs-10</t>
  </si>
  <si>
    <t>qs-11</t>
  </si>
  <si>
    <t>qs-12</t>
  </si>
  <si>
    <t>Vol</t>
  </si>
  <si>
    <t>mass</t>
  </si>
  <si>
    <t>Rec (%)</t>
  </si>
  <si>
    <t>Co DNAN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</si>
</sst>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4" xfId="0" applyBorder="1"/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1" fontId="0" fillId="0" borderId="0" xfId="0" applyNumberFormat="1"/>
    <xf numFmtId="0" fontId="0" fillId="0" borderId="6" xfId="0" applyBorder="1"/>
    <xf numFmtId="1" fontId="0" fillId="0" borderId="7" xfId="0" applyNumberFormat="1" applyBorder="1"/>
    <xf numFmtId="0" fontId="0" fillId="3" borderId="0" xfId="0" applyFill="1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0" borderId="4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165" fontId="0" fillId="4" borderId="9" xfId="0" applyNumberFormat="1" applyFill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2" xfId="0" applyBorder="1" applyAlignment="1">
      <alignment horizontal="center"/>
    </xf>
    <xf numFmtId="0" fontId="0" fillId="0" borderId="13" xfId="0" applyBorder="1"/>
    <xf numFmtId="1" fontId="0" fillId="0" borderId="0" xfId="0" applyNumberFormat="1" applyAlignment="1">
      <alignment horizontal="center"/>
    </xf>
    <xf numFmtId="0" fontId="0" fillId="0" borderId="9" xfId="0" applyBorder="1"/>
    <xf numFmtId="0" fontId="0" fillId="0" borderId="14" xfId="0" applyBorder="1"/>
    <xf numFmtId="16" fontId="0" fillId="0" borderId="13" xfId="0" applyNumberFormat="1" applyBorder="1"/>
    <xf numFmtId="16" fontId="0" fillId="0" borderId="0" xfId="0" applyNumberFormat="1"/>
    <xf numFmtId="0" fontId="2" fillId="5" borderId="0" xfId="0" applyFont="1" applyFill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10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3" xfId="0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0" fillId="0" borderId="1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165" fontId="0" fillId="4" borderId="5" xfId="0" applyNumberFormat="1" applyFill="1" applyBorder="1" applyAlignment="1">
      <alignment horizontal="center"/>
    </xf>
    <xf numFmtId="0" fontId="0" fillId="0" borderId="7" xfId="0" applyBorder="1" applyAlignment="1">
      <alignment horizontal="center"/>
    </xf>
    <xf numFmtId="165" fontId="0" fillId="0" borderId="9" xfId="0" applyNumberFormat="1" applyBorder="1" applyAlignment="1">
      <alignment horizontal="center"/>
    </xf>
    <xf numFmtId="165" fontId="0" fillId="4" borderId="8" xfId="0" applyNumberFormat="1" applyFill="1" applyBorder="1" applyAlignment="1">
      <alignment horizontal="center"/>
    </xf>
    <xf numFmtId="2" fontId="0" fillId="4" borderId="8" xfId="0" applyNumberFormat="1" applyFill="1" applyBorder="1" applyAlignment="1">
      <alignment horizontal="center"/>
    </xf>
    <xf numFmtId="2" fontId="0" fillId="4" borderId="5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GB">
                <a:solidFill>
                  <a:schemeClr val="dk1"/>
                </a:solidFill>
                <a:latin typeface="+mn-lt"/>
                <a:ea typeface="+mn-ea"/>
                <a:cs typeface="+mn-cs"/>
              </a:rPr>
              <a:t>NTO</a:t>
            </a:r>
            <a:endParaRPr lang="en-GB"/>
          </a:p>
        </c:rich>
      </c:tx>
      <c:layout>
        <c:manualLayout>
          <c:xMode val="edge"/>
          <c:yMode val="edge"/>
          <c:x val="0.18677260796945835"/>
          <c:y val="0.12077294685990338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790646623717489"/>
          <c:y val="9.1123188405797098E-2"/>
          <c:w val="0.82494201861131"/>
          <c:h val="0.76879065388565548"/>
        </c:manualLayout>
      </c:layout>
      <c:scatterChart>
        <c:scatterStyle val="lineMarker"/>
        <c:varyColors val="0"/>
        <c:ser>
          <c:idx val="0"/>
          <c:order val="0"/>
          <c:tx>
            <c:v>NTO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7730136005726556E-2"/>
                  <c:y val="0.28327294685990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[3]Standards!$B$4:$B$9</c:f>
              <c:numCache>
                <c:formatCode>General</c:formatCode>
                <c:ptCount val="6"/>
                <c:pt idx="0">
                  <c:v>0</c:v>
                </c:pt>
                <c:pt idx="1">
                  <c:v>4.7872000000000003</c:v>
                </c:pt>
                <c:pt idx="2">
                  <c:v>10.172800000000001</c:v>
                </c:pt>
                <c:pt idx="3">
                  <c:v>19.747199999999999</c:v>
                </c:pt>
                <c:pt idx="4">
                  <c:v>29.92</c:v>
                </c:pt>
                <c:pt idx="5">
                  <c:v>40.092799999999997</c:v>
                </c:pt>
              </c:numCache>
            </c:numRef>
          </c:xVal>
          <c:yVal>
            <c:numRef>
              <c:f>[3]Standards!$C$4:$C$9</c:f>
              <c:numCache>
                <c:formatCode>General</c:formatCode>
                <c:ptCount val="6"/>
                <c:pt idx="0">
                  <c:v>0</c:v>
                </c:pt>
                <c:pt idx="1">
                  <c:v>31277</c:v>
                </c:pt>
                <c:pt idx="2">
                  <c:v>98630</c:v>
                </c:pt>
                <c:pt idx="3">
                  <c:v>188813</c:v>
                </c:pt>
                <c:pt idx="4">
                  <c:v>352597</c:v>
                </c:pt>
                <c:pt idx="5">
                  <c:v>448462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02-4B6C-B12C-68E7C7360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479872"/>
        <c:axId val="260480288"/>
      </c:scatterChart>
      <c:valAx>
        <c:axId val="260479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480288"/>
        <c:crosses val="autoZero"/>
        <c:crossBetween val="midCat"/>
      </c:valAx>
      <c:valAx>
        <c:axId val="26048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479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Standards (15-Sep)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6324313825098237E-2"/>
                  <c:y val="0.225378523336756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'St(3)'!$H$5:$H$10</c:f>
              <c:numCache>
                <c:formatCode>0</c:formatCode>
                <c:ptCount val="6"/>
                <c:pt idx="0" formatCode="General">
                  <c:v>0</c:v>
                </c:pt>
                <c:pt idx="1">
                  <c:v>6.4032150000000012</c:v>
                </c:pt>
                <c:pt idx="2">
                  <c:v>9.8511000000000006</c:v>
                </c:pt>
                <c:pt idx="3">
                  <c:v>19.702200000000001</c:v>
                </c:pt>
                <c:pt idx="4">
                  <c:v>29.5533</c:v>
                </c:pt>
                <c:pt idx="5">
                  <c:v>39.404400000000003</c:v>
                </c:pt>
              </c:numCache>
            </c:numRef>
          </c:xVal>
          <c:yVal>
            <c:numRef>
              <c:f>'St(3)'!$J$5:$J$10</c:f>
              <c:numCache>
                <c:formatCode>General</c:formatCode>
                <c:ptCount val="6"/>
                <c:pt idx="0">
                  <c:v>0</c:v>
                </c:pt>
                <c:pt idx="1">
                  <c:v>80839</c:v>
                </c:pt>
                <c:pt idx="2">
                  <c:v>118008</c:v>
                </c:pt>
                <c:pt idx="3">
                  <c:v>231447</c:v>
                </c:pt>
                <c:pt idx="4">
                  <c:v>347241</c:v>
                </c:pt>
                <c:pt idx="5">
                  <c:v>464254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F52-46BB-8CF5-102B3174E555}"/>
            </c:ext>
          </c:extLst>
        </c:ser>
        <c:ser>
          <c:idx val="1"/>
          <c:order val="1"/>
          <c:tx>
            <c:v>DNAN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8617764098273296"/>
                  <c:y val="0.1154202898550724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'St(3)'!$H$14:$H$19</c:f>
              <c:numCache>
                <c:formatCode>0</c:formatCode>
                <c:ptCount val="6"/>
                <c:pt idx="0" formatCode="General">
                  <c:v>0</c:v>
                </c:pt>
                <c:pt idx="1">
                  <c:v>5.0049999999999999</c:v>
                </c:pt>
                <c:pt idx="2">
                  <c:v>10.01</c:v>
                </c:pt>
                <c:pt idx="3">
                  <c:v>20.02</c:v>
                </c:pt>
                <c:pt idx="4">
                  <c:v>25.024999999999999</c:v>
                </c:pt>
                <c:pt idx="5">
                  <c:v>40.04</c:v>
                </c:pt>
              </c:numCache>
            </c:numRef>
          </c:xVal>
          <c:yVal>
            <c:numRef>
              <c:f>'St(3)'!$J$14:$J$19</c:f>
              <c:numCache>
                <c:formatCode>General</c:formatCode>
                <c:ptCount val="6"/>
                <c:pt idx="0">
                  <c:v>0</c:v>
                </c:pt>
                <c:pt idx="1">
                  <c:v>91171</c:v>
                </c:pt>
                <c:pt idx="2">
                  <c:v>183542</c:v>
                </c:pt>
                <c:pt idx="3">
                  <c:v>362291</c:v>
                </c:pt>
                <c:pt idx="4">
                  <c:v>470465</c:v>
                </c:pt>
                <c:pt idx="5">
                  <c:v>748627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F52-46BB-8CF5-102B3174E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2581375"/>
        <c:axId val="842579295"/>
      </c:scatterChart>
      <c:valAx>
        <c:axId val="842581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2579295"/>
        <c:crosses val="autoZero"/>
        <c:crossBetween val="midCat"/>
      </c:valAx>
      <c:valAx>
        <c:axId val="8425792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25813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Experimental breaktrhough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587270341207349"/>
          <c:y val="0.17171296296296296"/>
          <c:w val="0.84775240594925638"/>
          <c:h val="0.71775408282298037"/>
        </c:manualLayout>
      </c:layout>
      <c:scatterChart>
        <c:scatterStyle val="lineMarker"/>
        <c:varyColors val="0"/>
        <c:ser>
          <c:idx val="0"/>
          <c:order val="0"/>
          <c:tx>
            <c:strRef>
              <c:f>'QS(1)'!$M$4</c:f>
              <c:strCache>
                <c:ptCount val="1"/>
                <c:pt idx="0">
                  <c:v>NTO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'QS(1)'!$F$5:$F$16</c:f>
              <c:numCache>
                <c:formatCode>0.0</c:formatCode>
                <c:ptCount val="12"/>
                <c:pt idx="0">
                  <c:v>0</c:v>
                </c:pt>
                <c:pt idx="1">
                  <c:v>0.35915492957746481</c:v>
                </c:pt>
                <c:pt idx="2">
                  <c:v>1.0774647887323943</c:v>
                </c:pt>
                <c:pt idx="3">
                  <c:v>1.8098591549295775</c:v>
                </c:pt>
                <c:pt idx="4">
                  <c:v>2.5422535211267605</c:v>
                </c:pt>
                <c:pt idx="5">
                  <c:v>3.2746478873239435</c:v>
                </c:pt>
                <c:pt idx="6">
                  <c:v>4.007042253521127</c:v>
                </c:pt>
                <c:pt idx="7">
                  <c:v>4.73943661971831</c:v>
                </c:pt>
                <c:pt idx="8">
                  <c:v>5.5</c:v>
                </c:pt>
                <c:pt idx="9">
                  <c:v>6.246478873239437</c:v>
                </c:pt>
                <c:pt idx="10">
                  <c:v>6.97887323943662</c:v>
                </c:pt>
                <c:pt idx="11">
                  <c:v>7.711267605633803</c:v>
                </c:pt>
              </c:numCache>
            </c:numRef>
          </c:xVal>
          <c:yVal>
            <c:numRef>
              <c:f>'QS(1)'!$M$5:$M$16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0.56513832991369917</c:v>
                </c:pt>
                <c:pt idx="3">
                  <c:v>1.0002659450086286</c:v>
                </c:pt>
                <c:pt idx="4">
                  <c:v>1.0034382271636706</c:v>
                </c:pt>
                <c:pt idx="5">
                  <c:v>0.42851709473183269</c:v>
                </c:pt>
                <c:pt idx="6">
                  <c:v>9.100159364877923E-3</c:v>
                </c:pt>
                <c:pt idx="7">
                  <c:v>6.0231669523412136E-3</c:v>
                </c:pt>
                <c:pt idx="8">
                  <c:v>5.3873244887145399E-3</c:v>
                </c:pt>
                <c:pt idx="9">
                  <c:v>5.4956082870160853E-3</c:v>
                </c:pt>
                <c:pt idx="10">
                  <c:v>5.0806647719245637E-3</c:v>
                </c:pt>
                <c:pt idx="11">
                  <c:v>4.3521313769517679E-3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A40-425F-BF06-54EF1574F984}"/>
            </c:ext>
          </c:extLst>
        </c:ser>
        <c:ser>
          <c:idx val="1"/>
          <c:order val="1"/>
          <c:tx>
            <c:strRef>
              <c:f>'QS(1)'!$N$4</c:f>
              <c:strCache>
                <c:ptCount val="1"/>
                <c:pt idx="0">
                  <c:v>DNAN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'QS(1)'!$F$5:$F$16</c:f>
              <c:numCache>
                <c:formatCode>0.0</c:formatCode>
                <c:ptCount val="12"/>
                <c:pt idx="0">
                  <c:v>0</c:v>
                </c:pt>
                <c:pt idx="1">
                  <c:v>0.35915492957746481</c:v>
                </c:pt>
                <c:pt idx="2">
                  <c:v>1.0774647887323943</c:v>
                </c:pt>
                <c:pt idx="3">
                  <c:v>1.8098591549295775</c:v>
                </c:pt>
                <c:pt idx="4">
                  <c:v>2.5422535211267605</c:v>
                </c:pt>
                <c:pt idx="5">
                  <c:v>3.2746478873239435</c:v>
                </c:pt>
                <c:pt idx="6">
                  <c:v>4.007042253521127</c:v>
                </c:pt>
                <c:pt idx="7">
                  <c:v>4.73943661971831</c:v>
                </c:pt>
                <c:pt idx="8">
                  <c:v>5.5</c:v>
                </c:pt>
                <c:pt idx="9">
                  <c:v>6.246478873239437</c:v>
                </c:pt>
                <c:pt idx="10">
                  <c:v>6.97887323943662</c:v>
                </c:pt>
                <c:pt idx="11">
                  <c:v>7.711267605633803</c:v>
                </c:pt>
              </c:numCache>
            </c:numRef>
          </c:xVal>
          <c:yVal>
            <c:numRef>
              <c:f>'QS(1)'!$N$5:$N$16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0.41916163049805449</c:v>
                </c:pt>
                <c:pt idx="3">
                  <c:v>0.80836415360996705</c:v>
                </c:pt>
                <c:pt idx="4">
                  <c:v>0.87266864556461021</c:v>
                </c:pt>
                <c:pt idx="5">
                  <c:v>0.50479138756397834</c:v>
                </c:pt>
                <c:pt idx="6">
                  <c:v>0.11944461872563744</c:v>
                </c:pt>
                <c:pt idx="7">
                  <c:v>8.1624499713110157E-2</c:v>
                </c:pt>
                <c:pt idx="8">
                  <c:v>6.4886696135619246E-2</c:v>
                </c:pt>
                <c:pt idx="9">
                  <c:v>3.0359259794073792E-2</c:v>
                </c:pt>
                <c:pt idx="10">
                  <c:v>5.1584486803371521E-2</c:v>
                </c:pt>
                <c:pt idx="11">
                  <c:v>4.5916613768165845E-2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A40-425F-BF06-54EF1574F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1832992"/>
        <c:axId val="411823424"/>
      </c:scatterChart>
      <c:valAx>
        <c:axId val="411832992"/>
        <c:scaling>
          <c:orientation val="minMax"/>
          <c:max val="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Pore volume (mL)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823424"/>
        <c:crosses val="autoZero"/>
        <c:crossBetween val="midCat"/>
      </c:valAx>
      <c:valAx>
        <c:axId val="4118234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832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579986876640427"/>
          <c:y val="0.20891149023038783"/>
          <c:w val="0.28840026246719158"/>
          <c:h val="7.39164174780386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Quartz sand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'QS(3)'!$D$3</c:f>
              <c:strCache>
                <c:ptCount val="1"/>
                <c:pt idx="0">
                  <c:v>NTO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'QS(3)'!$B$4:$B$15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'QS(3)'!$F$4:$F$15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0.49399241390475751</c:v>
                </c:pt>
                <c:pt idx="3">
                  <c:v>0.97473421683588901</c:v>
                </c:pt>
                <c:pt idx="4">
                  <c:v>0.99311353701690686</c:v>
                </c:pt>
                <c:pt idx="5">
                  <c:v>0.51841786741294105</c:v>
                </c:pt>
                <c:pt idx="6">
                  <c:v>2.5161705637918141E-2</c:v>
                </c:pt>
                <c:pt idx="7">
                  <c:v>1.7538990525090394E-3</c:v>
                </c:pt>
                <c:pt idx="8">
                  <c:v>9.5404399010107081E-4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F-4721-B09C-0580453705B4}"/>
            </c:ext>
          </c:extLst>
        </c:ser>
        <c:ser>
          <c:idx val="1"/>
          <c:order val="1"/>
          <c:tx>
            <c:strRef>
              <c:f>'QS(3)'!$E$3</c:f>
              <c:strCache>
                <c:ptCount val="1"/>
                <c:pt idx="0">
                  <c:v>DNAN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'QS(3)'!$B$4:$B$15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'QS(3)'!$G$4:$G$15</c:f>
              <c:numCache>
                <c:formatCode>0.000</c:formatCode>
                <c:ptCount val="12"/>
                <c:pt idx="0">
                  <c:v>3.5086566735647536E-3</c:v>
                </c:pt>
                <c:pt idx="1">
                  <c:v>6.823874924419107E-3</c:v>
                </c:pt>
                <c:pt idx="2">
                  <c:v>0.38174160276507452</c:v>
                </c:pt>
                <c:pt idx="3">
                  <c:v>0.86108444742915469</c:v>
                </c:pt>
                <c:pt idx="4">
                  <c:v>0.91250743642992971</c:v>
                </c:pt>
                <c:pt idx="5">
                  <c:v>0.58702478323339013</c:v>
                </c:pt>
                <c:pt idx="6">
                  <c:v>0.1086904948738818</c:v>
                </c:pt>
                <c:pt idx="7">
                  <c:v>4.7619916614657282E-2</c:v>
                </c:pt>
                <c:pt idx="8">
                  <c:v>2.8234710152597368E-2</c:v>
                </c:pt>
                <c:pt idx="9">
                  <c:v>2.0770906861224354E-2</c:v>
                </c:pt>
                <c:pt idx="10">
                  <c:v>2.4318494538101896E-2</c:v>
                </c:pt>
                <c:pt idx="11">
                  <c:v>2.4056926859594121E-2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F-4721-B09C-0580453705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3190911"/>
        <c:axId val="1023189247"/>
      </c:scatterChart>
      <c:valAx>
        <c:axId val="1023190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3189247"/>
        <c:crosses val="autoZero"/>
        <c:crossBetween val="midCat"/>
      </c:valAx>
      <c:valAx>
        <c:axId val="1023189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31909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Sand- Experiment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'Sand(1)'!$F$7:$F$18</c:f>
              <c:numCache>
                <c:formatCode>0.0</c:formatCode>
                <c:ptCount val="12"/>
                <c:pt idx="0">
                  <c:v>0</c:v>
                </c:pt>
                <c:pt idx="1">
                  <c:v>0.40350877192982454</c:v>
                </c:pt>
                <c:pt idx="2">
                  <c:v>1.2105263157894737</c:v>
                </c:pt>
                <c:pt idx="3">
                  <c:v>2.0175438596491229</c:v>
                </c:pt>
                <c:pt idx="4">
                  <c:v>2.807017543859649</c:v>
                </c:pt>
                <c:pt idx="5">
                  <c:v>3.6315789473684212</c:v>
                </c:pt>
                <c:pt idx="6">
                  <c:v>4.4736842105263159</c:v>
                </c:pt>
                <c:pt idx="7">
                  <c:v>5.2982456140350873</c:v>
                </c:pt>
                <c:pt idx="8">
                  <c:v>6.1403508771929829</c:v>
                </c:pt>
                <c:pt idx="9">
                  <c:v>6.9824561403508776</c:v>
                </c:pt>
                <c:pt idx="10">
                  <c:v>7.8245614035087723</c:v>
                </c:pt>
                <c:pt idx="11">
                  <c:v>8.6666666666666661</c:v>
                </c:pt>
              </c:numCache>
            </c:numRef>
          </c:xVal>
          <c:yVal>
            <c:numRef>
              <c:f>'Sand(1)'!$M$7:$M$18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0.69419652364856699</c:v>
                </c:pt>
                <c:pt idx="3">
                  <c:v>0.93374538839945609</c:v>
                </c:pt>
                <c:pt idx="4">
                  <c:v>0.9079849285176117</c:v>
                </c:pt>
                <c:pt idx="5">
                  <c:v>0.33336030499378316</c:v>
                </c:pt>
                <c:pt idx="6">
                  <c:v>9.640628689720003E-2</c:v>
                </c:pt>
                <c:pt idx="7">
                  <c:v>4.8331564706522952E-2</c:v>
                </c:pt>
                <c:pt idx="8">
                  <c:v>3.5486807720546812E-2</c:v>
                </c:pt>
                <c:pt idx="9">
                  <c:v>3.2258768820453386E-2</c:v>
                </c:pt>
                <c:pt idx="10">
                  <c:v>3.2058346625008026E-2</c:v>
                </c:pt>
                <c:pt idx="11">
                  <c:v>3.1696522484557989E-2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A68-4474-B12E-8C011A1B30C8}"/>
            </c:ext>
          </c:extLst>
        </c:ser>
        <c:ser>
          <c:idx val="1"/>
          <c:order val="1"/>
          <c:tx>
            <c:v>DNAN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'Sand(1)'!$F$7:$F$18</c:f>
              <c:numCache>
                <c:formatCode>0.0</c:formatCode>
                <c:ptCount val="12"/>
                <c:pt idx="0">
                  <c:v>0</c:v>
                </c:pt>
                <c:pt idx="1">
                  <c:v>0.40350877192982454</c:v>
                </c:pt>
                <c:pt idx="2">
                  <c:v>1.2105263157894737</c:v>
                </c:pt>
                <c:pt idx="3">
                  <c:v>2.0175438596491229</c:v>
                </c:pt>
                <c:pt idx="4">
                  <c:v>2.807017543859649</c:v>
                </c:pt>
                <c:pt idx="5">
                  <c:v>3.6315789473684212</c:v>
                </c:pt>
                <c:pt idx="6">
                  <c:v>4.4736842105263159</c:v>
                </c:pt>
                <c:pt idx="7">
                  <c:v>5.2982456140350873</c:v>
                </c:pt>
                <c:pt idx="8">
                  <c:v>6.1403508771929829</c:v>
                </c:pt>
                <c:pt idx="9">
                  <c:v>6.9824561403508776</c:v>
                </c:pt>
                <c:pt idx="10">
                  <c:v>7.8245614035087723</c:v>
                </c:pt>
                <c:pt idx="11">
                  <c:v>8.6666666666666661</c:v>
                </c:pt>
              </c:numCache>
            </c:numRef>
          </c:xVal>
          <c:yVal>
            <c:numRef>
              <c:f>'Sand(1)'!$N$7:$N$18</c:f>
              <c:numCache>
                <c:formatCode>0.00</c:formatCode>
                <c:ptCount val="12"/>
                <c:pt idx="0">
                  <c:v>0</c:v>
                </c:pt>
                <c:pt idx="1">
                  <c:v>9.2385873864758813E-2</c:v>
                </c:pt>
                <c:pt idx="2">
                  <c:v>0.45692754041121381</c:v>
                </c:pt>
                <c:pt idx="3">
                  <c:v>0.72069510977285045</c:v>
                </c:pt>
                <c:pt idx="4">
                  <c:v>0.77525041403694084</c:v>
                </c:pt>
                <c:pt idx="5">
                  <c:v>0.41774089926869529</c:v>
                </c:pt>
                <c:pt idx="6">
                  <c:v>0.20910141339245455</c:v>
                </c:pt>
                <c:pt idx="7">
                  <c:v>0.14124405096014561</c:v>
                </c:pt>
                <c:pt idx="8">
                  <c:v>0.11377802784136132</c:v>
                </c:pt>
                <c:pt idx="9">
                  <c:v>9.8086286573928733E-2</c:v>
                </c:pt>
                <c:pt idx="10">
                  <c:v>8.9948002838704605E-2</c:v>
                </c:pt>
                <c:pt idx="11">
                  <c:v>8.4340680442748797E-2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A68-4474-B12E-8C011A1B30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2094416"/>
        <c:axId val="712105232"/>
      </c:scatterChart>
      <c:valAx>
        <c:axId val="712094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2105232"/>
        <c:crosses val="autoZero"/>
        <c:crossBetween val="midCat"/>
      </c:valAx>
      <c:valAx>
        <c:axId val="712105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2094416"/>
        <c:crosses val="autoZero"/>
        <c:crossBetween val="midCat"/>
        <c:majorUnit val="0.4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191097987751533"/>
          <c:y val="0.22743000874890634"/>
          <c:w val="0.28840026246719158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'Sand(3)'!$B$4:$B$15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'Sand(3)'!$F$4:$F$15</c:f>
              <c:numCache>
                <c:formatCode>0.000</c:formatCode>
                <c:ptCount val="12"/>
                <c:pt idx="0">
                  <c:v>1.354935202103137E-3</c:v>
                </c:pt>
                <c:pt idx="1">
                  <c:v>0.14009991442514513</c:v>
                </c:pt>
                <c:pt idx="2">
                  <c:v>0.75644509717757169</c:v>
                </c:pt>
                <c:pt idx="3">
                  <c:v>0.91429022981859676</c:v>
                </c:pt>
                <c:pt idx="4">
                  <c:v>0.83423148383714563</c:v>
                </c:pt>
                <c:pt idx="5">
                  <c:v>0.22447980510519538</c:v>
                </c:pt>
                <c:pt idx="6">
                  <c:v>7.8233534549883979E-2</c:v>
                </c:pt>
                <c:pt idx="7">
                  <c:v>2.6890548989677052E-2</c:v>
                </c:pt>
                <c:pt idx="8">
                  <c:v>9.0971467338930388E-3</c:v>
                </c:pt>
                <c:pt idx="9">
                  <c:v>3.4519046187293291E-3</c:v>
                </c:pt>
                <c:pt idx="10">
                  <c:v>1.7673905836821857E-3</c:v>
                </c:pt>
                <c:pt idx="11">
                  <c:v>2.1162430325878299E-3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38-4F41-9F1F-7448E7DA84E8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'Sand(3)'!$B$4:$B$15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'Sand(3)'!$G$4:$G$15</c:f>
              <c:numCache>
                <c:formatCode>0.000</c:formatCode>
                <c:ptCount val="12"/>
                <c:pt idx="0">
                  <c:v>4.3809544665418445E-3</c:v>
                </c:pt>
                <c:pt idx="1">
                  <c:v>7.2170780578782359E-2</c:v>
                </c:pt>
                <c:pt idx="2">
                  <c:v>0.53659453481709118</c:v>
                </c:pt>
                <c:pt idx="3">
                  <c:v>0.73815128831206123</c:v>
                </c:pt>
                <c:pt idx="4">
                  <c:v>0.75977746065231333</c:v>
                </c:pt>
                <c:pt idx="5">
                  <c:v>0.34450653128410264</c:v>
                </c:pt>
                <c:pt idx="6">
                  <c:v>0.16962238143380451</c:v>
                </c:pt>
                <c:pt idx="7">
                  <c:v>0.10261725835708733</c:v>
                </c:pt>
                <c:pt idx="8">
                  <c:v>6.6564716101741306E-2</c:v>
                </c:pt>
                <c:pt idx="9">
                  <c:v>4.3541894017643044E-2</c:v>
                </c:pt>
                <c:pt idx="10">
                  <c:v>2.9787083909694673E-2</c:v>
                </c:pt>
                <c:pt idx="11">
                  <c:v>2.4441370517307874E-2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38-4F41-9F1F-7448E7DA8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85010832"/>
        <c:axId val="1585012080"/>
      </c:scatterChart>
      <c:valAx>
        <c:axId val="1585010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5012080"/>
        <c:crosses val="autoZero"/>
        <c:crossBetween val="midCat"/>
      </c:valAx>
      <c:valAx>
        <c:axId val="1585012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5010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GB">
                <a:solidFill>
                  <a:schemeClr val="dk1"/>
                </a:solidFill>
                <a:latin typeface="+mn-lt"/>
                <a:ea typeface="+mn-ea"/>
                <a:cs typeface="+mn-cs"/>
              </a:rPr>
              <a:t>NTO-loam</a:t>
            </a:r>
            <a:endParaRPr lang="en-GB"/>
          </a:p>
        </c:rich>
      </c:tx>
      <c:layout>
        <c:manualLayout>
          <c:xMode val="edge"/>
          <c:yMode val="edge"/>
          <c:x val="0.72701625268322601"/>
          <c:y val="0.12412346256974048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21623240057274"/>
          <c:y val="9.0291806958473636E-2"/>
          <c:w val="0.80664184456243804"/>
          <c:h val="0.8107394488638644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'Loam(1)'!$F$5:$F$16</c:f>
              <c:numCache>
                <c:formatCode>0.0</c:formatCode>
                <c:ptCount val="12"/>
                <c:pt idx="0">
                  <c:v>0</c:v>
                </c:pt>
                <c:pt idx="1">
                  <c:v>0.27058823529411763</c:v>
                </c:pt>
                <c:pt idx="2">
                  <c:v>0.81176470588235294</c:v>
                </c:pt>
                <c:pt idx="3">
                  <c:v>1.3529411764705883</c:v>
                </c:pt>
                <c:pt idx="4">
                  <c:v>1.9176470588235295</c:v>
                </c:pt>
                <c:pt idx="5">
                  <c:v>2.4823529411764707</c:v>
                </c:pt>
                <c:pt idx="6">
                  <c:v>3.0352941176470587</c:v>
                </c:pt>
                <c:pt idx="7">
                  <c:v>3.6235294117647059</c:v>
                </c:pt>
                <c:pt idx="8">
                  <c:v>4.1882352941176473</c:v>
                </c:pt>
                <c:pt idx="9">
                  <c:v>4.7647058823529411</c:v>
                </c:pt>
                <c:pt idx="10">
                  <c:v>5.341176470588235</c:v>
                </c:pt>
                <c:pt idx="11">
                  <c:v>5.9176470588235297</c:v>
                </c:pt>
              </c:numCache>
            </c:numRef>
          </c:xVal>
          <c:yVal>
            <c:numRef>
              <c:f>'Loam(1)'!$J$5:$J$16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0.60384713970128456</c:v>
                </c:pt>
                <c:pt idx="3">
                  <c:v>0.70369215316954503</c:v>
                </c:pt>
                <c:pt idx="4">
                  <c:v>0.72773177548823664</c:v>
                </c:pt>
                <c:pt idx="5">
                  <c:v>0.41369416273257298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4A-415F-9CD7-8BCAE0A7E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0875344"/>
        <c:axId val="820869520"/>
      </c:scatterChart>
      <c:valAx>
        <c:axId val="820875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Pore volume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0869520"/>
        <c:crosses val="autoZero"/>
        <c:crossBetween val="midCat"/>
      </c:valAx>
      <c:valAx>
        <c:axId val="820869520"/>
        <c:scaling>
          <c:orientation val="minMax"/>
          <c:min val="-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C/Co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0875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'Loam(3)'!$B$4:$B$15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'Loam(3)'!$F$4:$F$15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0.58471525159778281</c:v>
                </c:pt>
                <c:pt idx="3">
                  <c:v>0.91892553445737057</c:v>
                </c:pt>
                <c:pt idx="4">
                  <c:v>1.0148715220759996</c:v>
                </c:pt>
                <c:pt idx="5">
                  <c:v>0.60305024246208883</c:v>
                </c:pt>
                <c:pt idx="6">
                  <c:v>0.22310945101032295</c:v>
                </c:pt>
                <c:pt idx="7">
                  <c:v>0.10274186460670259</c:v>
                </c:pt>
                <c:pt idx="8">
                  <c:v>8.2909313782177307E-2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C4E-45CD-9F6C-215F0B065B6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'Loam(3)'!$B$4:$B$15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</c:numCache>
            </c:numRef>
          </c:xVal>
          <c:yVal>
            <c:numRef>
              <c:f>'Loam(3)'!$G$4:$G$15</c:f>
              <c:numCache>
                <c:formatCode>0.000</c:formatCode>
                <c:ptCount val="12"/>
                <c:pt idx="0">
                  <c:v>1.5336382117530266E-2</c:v>
                </c:pt>
                <c:pt idx="1">
                  <c:v>1.5945895638146058E-2</c:v>
                </c:pt>
                <c:pt idx="2">
                  <c:v>1.527068604943994E-2</c:v>
                </c:pt>
                <c:pt idx="3">
                  <c:v>2.0735625639472146E-2</c:v>
                </c:pt>
                <c:pt idx="4">
                  <c:v>1.8542106921567412E-2</c:v>
                </c:pt>
                <c:pt idx="5">
                  <c:v>3.6393188534332883E-2</c:v>
                </c:pt>
                <c:pt idx="6">
                  <c:v>5.8957354735652404E-2</c:v>
                </c:pt>
                <c:pt idx="7">
                  <c:v>7.9947248490511172E-2</c:v>
                </c:pt>
                <c:pt idx="8">
                  <c:v>9.3182573023004575E-2</c:v>
                </c:pt>
                <c:pt idx="9">
                  <c:v>9.9708382453310165E-2</c:v>
                </c:pt>
                <c:pt idx="10">
                  <c:v>0.10315377624649165</c:v>
                </c:pt>
                <c:pt idx="11">
                  <c:v>0.10385331771226826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C4E-45CD-9F6C-215F0B065B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3702656"/>
        <c:axId val="1663697248"/>
      </c:scatterChart>
      <c:valAx>
        <c:axId val="1663702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3697248"/>
        <c:crosses val="autoZero"/>
        <c:crossBetween val="midCat"/>
      </c:valAx>
      <c:valAx>
        <c:axId val="1663697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3702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DNAN</a:t>
            </a:r>
            <a:endParaRPr lang="en-US"/>
          </a:p>
        </c:rich>
      </c:tx>
      <c:layout>
        <c:manualLayout>
          <c:xMode val="edge"/>
          <c:yMode val="edge"/>
          <c:x val="0.15872389802377643"/>
          <c:y val="9.0811965811965809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accent2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75788366527714"/>
          <c:y val="5.3899572649572659E-2"/>
          <c:w val="0.81457054770727189"/>
          <c:h val="0.88733974358974355"/>
        </c:manualLayout>
      </c:layout>
      <c:scatterChart>
        <c:scatterStyle val="lineMarker"/>
        <c:varyColors val="0"/>
        <c:ser>
          <c:idx val="0"/>
          <c:order val="0"/>
          <c:tx>
            <c:v>dnan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982761116257527E-2"/>
                  <c:y val="0.3266303250555219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[3]Standards!$B$15:$B$20</c:f>
              <c:numCache>
                <c:formatCode>General</c:formatCode>
                <c:ptCount val="6"/>
                <c:pt idx="0">
                  <c:v>0</c:v>
                </c:pt>
                <c:pt idx="1">
                  <c:v>4.7872000000000003</c:v>
                </c:pt>
                <c:pt idx="2">
                  <c:v>10.172800000000001</c:v>
                </c:pt>
                <c:pt idx="3">
                  <c:v>19.747199999999999</c:v>
                </c:pt>
                <c:pt idx="4">
                  <c:v>29.92</c:v>
                </c:pt>
                <c:pt idx="5">
                  <c:v>40.092799999999997</c:v>
                </c:pt>
              </c:numCache>
            </c:numRef>
          </c:xVal>
          <c:yVal>
            <c:numRef>
              <c:f>[3]Standards!$C$15:$C$20</c:f>
              <c:numCache>
                <c:formatCode>General</c:formatCode>
                <c:ptCount val="6"/>
                <c:pt idx="0">
                  <c:v>0</c:v>
                </c:pt>
                <c:pt idx="1">
                  <c:v>75234</c:v>
                </c:pt>
                <c:pt idx="2">
                  <c:v>186922</c:v>
                </c:pt>
                <c:pt idx="3">
                  <c:v>302260</c:v>
                </c:pt>
                <c:pt idx="4">
                  <c:v>515499</c:v>
                </c:pt>
                <c:pt idx="5">
                  <c:v>788475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E3C-4D09-A854-9C2676FB2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9756032"/>
        <c:axId val="409751040"/>
      </c:scatterChart>
      <c:valAx>
        <c:axId val="409756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751040"/>
        <c:crosses val="autoZero"/>
        <c:crossBetween val="midCat"/>
      </c:valAx>
      <c:valAx>
        <c:axId val="409751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756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GB">
                <a:solidFill>
                  <a:schemeClr val="dk1"/>
                </a:solidFill>
                <a:latin typeface="+mn-lt"/>
                <a:ea typeface="+mn-ea"/>
                <a:cs typeface="+mn-cs"/>
              </a:rPr>
              <a:t>NTO</a:t>
            </a:r>
            <a:endParaRPr lang="en-GB"/>
          </a:p>
        </c:rich>
      </c:tx>
      <c:layout>
        <c:manualLayout>
          <c:xMode val="edge"/>
          <c:yMode val="edge"/>
          <c:x val="0.18677260796945835"/>
          <c:y val="0.12077294685990338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790646623717489"/>
          <c:y val="9.1123188405797098E-2"/>
          <c:w val="0.82494201861131"/>
          <c:h val="0.76879065388565548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3.1404676688141252E-2"/>
                  <c:y val="0.2936659658836177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'St(1b)'!$B$5:$B$9</c:f>
              <c:numCache>
                <c:formatCode>0</c:formatCode>
                <c:ptCount val="5"/>
                <c:pt idx="0">
                  <c:v>4.7872000000000003</c:v>
                </c:pt>
                <c:pt idx="1">
                  <c:v>10.172800000000001</c:v>
                </c:pt>
                <c:pt idx="2">
                  <c:v>19.747199999999999</c:v>
                </c:pt>
                <c:pt idx="3">
                  <c:v>29.92</c:v>
                </c:pt>
                <c:pt idx="4">
                  <c:v>40.092799999999997</c:v>
                </c:pt>
              </c:numCache>
            </c:numRef>
          </c:xVal>
          <c:yVal>
            <c:numRef>
              <c:f>'St(1b)'!$C$5:$C$9</c:f>
              <c:numCache>
                <c:formatCode>General</c:formatCode>
                <c:ptCount val="5"/>
                <c:pt idx="0">
                  <c:v>57863</c:v>
                </c:pt>
                <c:pt idx="1">
                  <c:v>115427</c:v>
                </c:pt>
                <c:pt idx="2">
                  <c:v>232673</c:v>
                </c:pt>
                <c:pt idx="3">
                  <c:v>376392</c:v>
                </c:pt>
                <c:pt idx="4">
                  <c:v>483437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0D4-408C-BD67-3E385ACFBA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479872"/>
        <c:axId val="260480288"/>
      </c:scatterChart>
      <c:valAx>
        <c:axId val="260479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480288"/>
        <c:crosses val="autoZero"/>
        <c:crossBetween val="midCat"/>
      </c:valAx>
      <c:valAx>
        <c:axId val="26048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479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DNAN</a:t>
            </a:r>
            <a:endParaRPr lang="en-US"/>
          </a:p>
        </c:rich>
      </c:tx>
      <c:layout>
        <c:manualLayout>
          <c:xMode val="edge"/>
          <c:yMode val="edge"/>
          <c:x val="0.15872389802377643"/>
          <c:y val="9.0811965811965809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accent2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75788366527714"/>
          <c:y val="5.3899572649572659E-2"/>
          <c:w val="0.81457054770727189"/>
          <c:h val="0.88733974358974355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048324841747723"/>
                  <c:y val="0.2879807692307692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'St(1b)'!$B$15:$B$20</c:f>
              <c:numCache>
                <c:formatCode>0</c:formatCode>
                <c:ptCount val="6"/>
                <c:pt idx="0">
                  <c:v>0</c:v>
                </c:pt>
                <c:pt idx="1">
                  <c:v>4.7872000000000003</c:v>
                </c:pt>
                <c:pt idx="2">
                  <c:v>10.172800000000001</c:v>
                </c:pt>
                <c:pt idx="3">
                  <c:v>19.747199999999999</c:v>
                </c:pt>
                <c:pt idx="4">
                  <c:v>29.92</c:v>
                </c:pt>
                <c:pt idx="5">
                  <c:v>40.092799999999997</c:v>
                </c:pt>
              </c:numCache>
            </c:numRef>
          </c:xVal>
          <c:yVal>
            <c:numRef>
              <c:f>'St(1b)'!$C$15:$C$20</c:f>
              <c:numCache>
                <c:formatCode>General</c:formatCode>
                <c:ptCount val="6"/>
                <c:pt idx="0">
                  <c:v>0</c:v>
                </c:pt>
                <c:pt idx="1">
                  <c:v>94681</c:v>
                </c:pt>
                <c:pt idx="2">
                  <c:v>193105</c:v>
                </c:pt>
                <c:pt idx="3">
                  <c:v>389753</c:v>
                </c:pt>
                <c:pt idx="4">
                  <c:v>571066</c:v>
                </c:pt>
                <c:pt idx="5">
                  <c:v>793728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7C1-4E0B-8B71-1F76CAEB4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9756032"/>
        <c:axId val="409751040"/>
      </c:scatterChart>
      <c:valAx>
        <c:axId val="409756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751040"/>
        <c:crosses val="autoZero"/>
        <c:crossBetween val="midCat"/>
      </c:valAx>
      <c:valAx>
        <c:axId val="409751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756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GB">
                <a:solidFill>
                  <a:schemeClr val="dk1"/>
                </a:solidFill>
                <a:latin typeface="+mn-lt"/>
                <a:ea typeface="+mn-ea"/>
                <a:cs typeface="+mn-cs"/>
              </a:rPr>
              <a:t>NTO</a:t>
            </a:r>
            <a:endParaRPr lang="en-GB"/>
          </a:p>
        </c:rich>
      </c:tx>
      <c:layout>
        <c:manualLayout>
          <c:xMode val="edge"/>
          <c:yMode val="edge"/>
          <c:x val="0.18677260796945835"/>
          <c:y val="0.12077294685990338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790646623717489"/>
          <c:y val="9.1123188405797098E-2"/>
          <c:w val="0.82494201861131"/>
          <c:h val="0.76879065388565548"/>
        </c:manualLayout>
      </c:layout>
      <c:scatterChart>
        <c:scatterStyle val="lineMarker"/>
        <c:varyColors val="0"/>
        <c:ser>
          <c:idx val="0"/>
          <c:order val="0"/>
          <c:tx>
            <c:v>NTO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7730136005726556E-2"/>
                  <c:y val="0.28327294685990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'St(1c)'!$B$4:$B$9</c:f>
              <c:numCache>
                <c:formatCode>0</c:formatCode>
                <c:ptCount val="6"/>
                <c:pt idx="0">
                  <c:v>0</c:v>
                </c:pt>
                <c:pt idx="1">
                  <c:v>4.7872000000000003</c:v>
                </c:pt>
                <c:pt idx="2">
                  <c:v>10.172800000000001</c:v>
                </c:pt>
                <c:pt idx="3">
                  <c:v>19.747199999999999</c:v>
                </c:pt>
                <c:pt idx="4">
                  <c:v>29.92</c:v>
                </c:pt>
                <c:pt idx="5">
                  <c:v>40.092799999999997</c:v>
                </c:pt>
              </c:numCache>
            </c:numRef>
          </c:xVal>
          <c:yVal>
            <c:numRef>
              <c:f>'St(1c)'!$C$4:$C$9</c:f>
              <c:numCache>
                <c:formatCode>General</c:formatCode>
                <c:ptCount val="6"/>
                <c:pt idx="0">
                  <c:v>0</c:v>
                </c:pt>
                <c:pt idx="1">
                  <c:v>31277</c:v>
                </c:pt>
                <c:pt idx="2">
                  <c:v>98630</c:v>
                </c:pt>
                <c:pt idx="3">
                  <c:v>188813</c:v>
                </c:pt>
                <c:pt idx="4">
                  <c:v>352597</c:v>
                </c:pt>
                <c:pt idx="5">
                  <c:v>448462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F19-4EF9-8A12-96CBD3996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479872"/>
        <c:axId val="260480288"/>
      </c:scatterChart>
      <c:valAx>
        <c:axId val="260479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480288"/>
        <c:crosses val="autoZero"/>
        <c:crossBetween val="midCat"/>
      </c:valAx>
      <c:valAx>
        <c:axId val="26048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479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DNAN</a:t>
            </a:r>
            <a:endParaRPr lang="en-US"/>
          </a:p>
        </c:rich>
      </c:tx>
      <c:layout>
        <c:manualLayout>
          <c:xMode val="edge"/>
          <c:yMode val="edge"/>
          <c:x val="0.15872389802377643"/>
          <c:y val="9.0811965811965809E-2"/>
        </c:manualLayout>
      </c:layout>
      <c:overlay val="0"/>
      <c:spPr>
        <a:solidFill>
          <a:schemeClr val="lt1"/>
        </a:solidFill>
        <a:ln w="12700" cap="flat" cmpd="sng" algn="ctr">
          <a:solidFill>
            <a:schemeClr val="accent2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75788366527714"/>
          <c:y val="5.3899572649572659E-2"/>
          <c:w val="0.81457054770727189"/>
          <c:h val="0.88733974358974355"/>
        </c:manualLayout>
      </c:layout>
      <c:scatterChart>
        <c:scatterStyle val="lineMarker"/>
        <c:varyColors val="0"/>
        <c:ser>
          <c:idx val="0"/>
          <c:order val="0"/>
          <c:tx>
            <c:v>dnan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982761116257527E-2"/>
                  <c:y val="0.3266303250555219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'St(1c)'!$B$15:$B$20</c:f>
              <c:numCache>
                <c:formatCode>0</c:formatCode>
                <c:ptCount val="6"/>
                <c:pt idx="0">
                  <c:v>0</c:v>
                </c:pt>
                <c:pt idx="1">
                  <c:v>4.7872000000000003</c:v>
                </c:pt>
                <c:pt idx="2">
                  <c:v>10.172800000000001</c:v>
                </c:pt>
                <c:pt idx="3">
                  <c:v>19.747199999999999</c:v>
                </c:pt>
                <c:pt idx="4">
                  <c:v>29.92</c:v>
                </c:pt>
                <c:pt idx="5">
                  <c:v>40.092799999999997</c:v>
                </c:pt>
              </c:numCache>
            </c:numRef>
          </c:xVal>
          <c:yVal>
            <c:numRef>
              <c:f>'St(1c)'!$C$15:$C$20</c:f>
              <c:numCache>
                <c:formatCode>General</c:formatCode>
                <c:ptCount val="6"/>
                <c:pt idx="0">
                  <c:v>0</c:v>
                </c:pt>
                <c:pt idx="1">
                  <c:v>75234</c:v>
                </c:pt>
                <c:pt idx="2">
                  <c:v>186922</c:v>
                </c:pt>
                <c:pt idx="3">
                  <c:v>302260</c:v>
                </c:pt>
                <c:pt idx="4">
                  <c:v>515499</c:v>
                </c:pt>
                <c:pt idx="5">
                  <c:v>788475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B43-4D69-9255-80B14909A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9756032"/>
        <c:axId val="409751040"/>
      </c:scatterChart>
      <c:valAx>
        <c:axId val="409756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751040"/>
        <c:crosses val="autoZero"/>
        <c:crossBetween val="midCat"/>
      </c:valAx>
      <c:valAx>
        <c:axId val="409751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756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5892388451442"/>
          <c:y val="6.0185185185185182E-2"/>
          <c:w val="0.670557305336833"/>
          <c:h val="0.8092359288422280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'St(2)'!$A$2</c:f>
              <c:strCache>
                <c:ptCount val="1"/>
                <c:pt idx="0">
                  <c:v>NTO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187182852143482E-2"/>
                  <c:y val="0.194160469524642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'St(2)'!$H$5:$H$10</c:f>
              <c:numCache>
                <c:formatCode>0</c:formatCode>
                <c:ptCount val="6"/>
                <c:pt idx="0" formatCode="General">
                  <c:v>0</c:v>
                </c:pt>
                <c:pt idx="1">
                  <c:v>6.4032150000000012</c:v>
                </c:pt>
                <c:pt idx="2">
                  <c:v>9.8511000000000006</c:v>
                </c:pt>
                <c:pt idx="3">
                  <c:v>19.702200000000001</c:v>
                </c:pt>
                <c:pt idx="4">
                  <c:v>29.5533</c:v>
                </c:pt>
                <c:pt idx="5">
                  <c:v>39.404400000000003</c:v>
                </c:pt>
              </c:numCache>
            </c:numRef>
          </c:xVal>
          <c:yVal>
            <c:numRef>
              <c:f>'St(2)'!$I$5:$I$10</c:f>
              <c:numCache>
                <c:formatCode>General</c:formatCode>
                <c:ptCount val="6"/>
                <c:pt idx="0">
                  <c:v>0</c:v>
                </c:pt>
                <c:pt idx="1">
                  <c:v>78823</c:v>
                </c:pt>
                <c:pt idx="2">
                  <c:v>116771</c:v>
                </c:pt>
                <c:pt idx="3">
                  <c:v>229114</c:v>
                </c:pt>
                <c:pt idx="4">
                  <c:v>339639</c:v>
                </c:pt>
                <c:pt idx="5">
                  <c:v>454994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C5-4FC1-A731-395D1F25AEC3}"/>
            </c:ext>
          </c:extLst>
        </c:ser>
        <c:ser>
          <c:idx val="1"/>
          <c:order val="1"/>
          <c:tx>
            <c:strRef>
              <c:f>'St(2)'!$A$12</c:f>
              <c:strCache>
                <c:ptCount val="1"/>
                <c:pt idx="0">
                  <c:v>DNAN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1244750656167979"/>
                  <c:y val="9.32968795567220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'St(2)'!$H$14:$H$19</c:f>
              <c:numCache>
                <c:formatCode>0</c:formatCode>
                <c:ptCount val="6"/>
                <c:pt idx="0" formatCode="General">
                  <c:v>0</c:v>
                </c:pt>
                <c:pt idx="1">
                  <c:v>5.0049999999999999</c:v>
                </c:pt>
                <c:pt idx="2">
                  <c:v>10.01</c:v>
                </c:pt>
                <c:pt idx="3">
                  <c:v>20.02</c:v>
                </c:pt>
                <c:pt idx="4">
                  <c:v>25.024999999999999</c:v>
                </c:pt>
                <c:pt idx="5">
                  <c:v>40.04</c:v>
                </c:pt>
              </c:numCache>
            </c:numRef>
          </c:xVal>
          <c:yVal>
            <c:numRef>
              <c:f>'St(2)'!$I$14:$I$19</c:f>
              <c:numCache>
                <c:formatCode>General</c:formatCode>
                <c:ptCount val="6"/>
                <c:pt idx="0">
                  <c:v>0</c:v>
                </c:pt>
                <c:pt idx="1">
                  <c:v>60780</c:v>
                </c:pt>
                <c:pt idx="2">
                  <c:v>150525</c:v>
                </c:pt>
                <c:pt idx="3">
                  <c:v>352869</c:v>
                </c:pt>
                <c:pt idx="4">
                  <c:v>456655</c:v>
                </c:pt>
                <c:pt idx="5">
                  <c:v>737242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4C5-4FC1-A731-395D1F25A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1000799"/>
        <c:axId val="871000383"/>
      </c:scatterChart>
      <c:valAx>
        <c:axId val="87100079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000383"/>
        <c:crosses val="autoZero"/>
        <c:crossBetween val="midCat"/>
      </c:valAx>
      <c:valAx>
        <c:axId val="87100038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0007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0869400699912513"/>
          <c:y val="0.89930446194225722"/>
          <c:w val="0.24839733963602809"/>
          <c:h val="0.10069564475172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Standards (15-Sep)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NTO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6324313825098237E-2"/>
                  <c:y val="0.225378523336756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'St(2)'!$H$5:$H$10</c:f>
              <c:numCache>
                <c:formatCode>0</c:formatCode>
                <c:ptCount val="6"/>
                <c:pt idx="0" formatCode="General">
                  <c:v>0</c:v>
                </c:pt>
                <c:pt idx="1">
                  <c:v>6.4032150000000012</c:v>
                </c:pt>
                <c:pt idx="2">
                  <c:v>9.8511000000000006</c:v>
                </c:pt>
                <c:pt idx="3">
                  <c:v>19.702200000000001</c:v>
                </c:pt>
                <c:pt idx="4">
                  <c:v>29.5533</c:v>
                </c:pt>
                <c:pt idx="5">
                  <c:v>39.404400000000003</c:v>
                </c:pt>
              </c:numCache>
            </c:numRef>
          </c:xVal>
          <c:yVal>
            <c:numRef>
              <c:f>'St(2)'!$J$5:$J$10</c:f>
              <c:numCache>
                <c:formatCode>General</c:formatCode>
                <c:ptCount val="6"/>
                <c:pt idx="0">
                  <c:v>0</c:v>
                </c:pt>
                <c:pt idx="1">
                  <c:v>80839</c:v>
                </c:pt>
                <c:pt idx="2">
                  <c:v>118008</c:v>
                </c:pt>
                <c:pt idx="3">
                  <c:v>231447</c:v>
                </c:pt>
                <c:pt idx="4">
                  <c:v>347241</c:v>
                </c:pt>
                <c:pt idx="5">
                  <c:v>464254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3A-40CF-961E-1643DB1DD200}"/>
            </c:ext>
          </c:extLst>
        </c:ser>
        <c:ser>
          <c:idx val="1"/>
          <c:order val="1"/>
          <c:tx>
            <c:v>DNAN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8617764098273296"/>
                  <c:y val="0.1154202898550724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'St(2)'!$H$14:$H$19</c:f>
              <c:numCache>
                <c:formatCode>0</c:formatCode>
                <c:ptCount val="6"/>
                <c:pt idx="0" formatCode="General">
                  <c:v>0</c:v>
                </c:pt>
                <c:pt idx="1">
                  <c:v>5.0049999999999999</c:v>
                </c:pt>
                <c:pt idx="2">
                  <c:v>10.01</c:v>
                </c:pt>
                <c:pt idx="3">
                  <c:v>20.02</c:v>
                </c:pt>
                <c:pt idx="4">
                  <c:v>25.024999999999999</c:v>
                </c:pt>
                <c:pt idx="5">
                  <c:v>40.04</c:v>
                </c:pt>
              </c:numCache>
            </c:numRef>
          </c:xVal>
          <c:yVal>
            <c:numRef>
              <c:f>'St(2)'!$J$14:$J$19</c:f>
              <c:numCache>
                <c:formatCode>General</c:formatCode>
                <c:ptCount val="6"/>
                <c:pt idx="0">
                  <c:v>0</c:v>
                </c:pt>
                <c:pt idx="1">
                  <c:v>91171</c:v>
                </c:pt>
                <c:pt idx="2">
                  <c:v>183542</c:v>
                </c:pt>
                <c:pt idx="3">
                  <c:v>362291</c:v>
                </c:pt>
                <c:pt idx="4">
                  <c:v>470465</c:v>
                </c:pt>
                <c:pt idx="5">
                  <c:v>748627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73A-40CF-961E-1643DB1DD2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2581375"/>
        <c:axId val="842579295"/>
      </c:scatterChart>
      <c:valAx>
        <c:axId val="842581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2579295"/>
        <c:crosses val="autoZero"/>
        <c:crossBetween val="midCat"/>
      </c:valAx>
      <c:valAx>
        <c:axId val="8425792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258137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935892388451442"/>
          <c:y val="6.0185185185185182E-2"/>
          <c:w val="0.670557305336833"/>
          <c:h val="0.8092359288422280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'St(3)'!$A$2</c:f>
              <c:strCache>
                <c:ptCount val="1"/>
                <c:pt idx="0">
                  <c:v>NTO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8.187182852143482E-2"/>
                  <c:y val="0.194160469524642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'St(3)'!$H$5:$H$10</c:f>
              <c:numCache>
                <c:formatCode>0</c:formatCode>
                <c:ptCount val="6"/>
                <c:pt idx="0" formatCode="General">
                  <c:v>0</c:v>
                </c:pt>
                <c:pt idx="1">
                  <c:v>6.4032150000000012</c:v>
                </c:pt>
                <c:pt idx="2">
                  <c:v>9.8511000000000006</c:v>
                </c:pt>
                <c:pt idx="3">
                  <c:v>19.702200000000001</c:v>
                </c:pt>
                <c:pt idx="4">
                  <c:v>29.5533</c:v>
                </c:pt>
                <c:pt idx="5">
                  <c:v>39.404400000000003</c:v>
                </c:pt>
              </c:numCache>
            </c:numRef>
          </c:xVal>
          <c:yVal>
            <c:numRef>
              <c:f>'St(3)'!$I$5:$I$10</c:f>
              <c:numCache>
                <c:formatCode>General</c:formatCode>
                <c:ptCount val="6"/>
                <c:pt idx="0">
                  <c:v>0</c:v>
                </c:pt>
                <c:pt idx="1">
                  <c:v>78823</c:v>
                </c:pt>
                <c:pt idx="2">
                  <c:v>116771</c:v>
                </c:pt>
                <c:pt idx="3">
                  <c:v>229114</c:v>
                </c:pt>
                <c:pt idx="4">
                  <c:v>339639</c:v>
                </c:pt>
                <c:pt idx="5">
                  <c:v>454994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E37-4E0B-BF59-7AF7013680DA}"/>
            </c:ext>
          </c:extLst>
        </c:ser>
        <c:ser>
          <c:idx val="1"/>
          <c:order val="1"/>
          <c:tx>
            <c:strRef>
              <c:f>'St(3)'!$A$12</c:f>
              <c:strCache>
                <c:ptCount val="1"/>
                <c:pt idx="0">
                  <c:v>DNAN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1244750656167979"/>
                  <c:y val="9.32968795567220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'St(3)'!$H$14:$H$19</c:f>
              <c:numCache>
                <c:formatCode>0</c:formatCode>
                <c:ptCount val="6"/>
                <c:pt idx="0" formatCode="General">
                  <c:v>0</c:v>
                </c:pt>
                <c:pt idx="1">
                  <c:v>5.0049999999999999</c:v>
                </c:pt>
                <c:pt idx="2">
                  <c:v>10.01</c:v>
                </c:pt>
                <c:pt idx="3">
                  <c:v>20.02</c:v>
                </c:pt>
                <c:pt idx="4">
                  <c:v>25.024999999999999</c:v>
                </c:pt>
                <c:pt idx="5">
                  <c:v>40.04</c:v>
                </c:pt>
              </c:numCache>
            </c:numRef>
          </c:xVal>
          <c:yVal>
            <c:numRef>
              <c:f>'St(3)'!$I$14:$I$19</c:f>
              <c:numCache>
                <c:formatCode>General</c:formatCode>
                <c:ptCount val="6"/>
                <c:pt idx="0">
                  <c:v>0</c:v>
                </c:pt>
                <c:pt idx="1">
                  <c:v>60780</c:v>
                </c:pt>
                <c:pt idx="2">
                  <c:v>150525</c:v>
                </c:pt>
                <c:pt idx="3">
                  <c:v>352869</c:v>
                </c:pt>
                <c:pt idx="4">
                  <c:v>456655</c:v>
                </c:pt>
                <c:pt idx="5">
                  <c:v>737242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E37-4E0B-BF59-7AF701368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1000799"/>
        <c:axId val="871000383"/>
      </c:scatterChart>
      <c:valAx>
        <c:axId val="87100079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000383"/>
        <c:crosses val="autoZero"/>
        <c:crossBetween val="midCat"/>
      </c:valAx>
      <c:valAx>
        <c:axId val="87100038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0007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0869400699912513"/>
          <c:y val="0.89930446194225722"/>
          <c:w val="0.24839733963602809"/>
          <c:h val="0.10069564475172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525780</xdr:colOff>
      <xdr:row>0</xdr:row>
      <xdr:rowOff>30480</xdr:rowOff>
    </xdr:from>
    <xdr:to>
      <xdr:col>15</xdr:col>
      <xdr:colOff>449580</xdr:colOff>
      <xdr:row>11</xdr:row>
      <xdr:rowOff>106680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11A20C3-AD4A-4E44-8FBF-F871AFA8CD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533400</xdr:colOff>
      <xdr:row>12</xdr:row>
      <xdr:rowOff>22860</xdr:rowOff>
    </xdr:from>
    <xdr:to>
      <xdr:col>15</xdr:col>
      <xdr:colOff>411480</xdr:colOff>
      <xdr:row>25</xdr:row>
      <xdr:rowOff>22860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8027840-3B66-4621-9A86-B87060EDD2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416560</xdr:colOff>
      <xdr:row>2</xdr:row>
      <xdr:rowOff>82974</xdr:rowOff>
    </xdr:from>
    <xdr:to>
      <xdr:col>18</xdr:col>
      <xdr:colOff>290830</xdr:colOff>
      <xdr:row>15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95BA0F7-99B4-4CE2-8FA4-61F6CCDC3C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213360</xdr:colOff>
      <xdr:row>2</xdr:row>
      <xdr:rowOff>163830</xdr:rowOff>
    </xdr:from>
    <xdr:to>
      <xdr:col>17</xdr:col>
      <xdr:colOff>518160</xdr:colOff>
      <xdr:row>17</xdr:row>
      <xdr:rowOff>163830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65C3A7D-243D-418F-BA39-C84995F6F5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525780</xdr:colOff>
      <xdr:row>1</xdr:row>
      <xdr:rowOff>30480</xdr:rowOff>
    </xdr:from>
    <xdr:to>
      <xdr:col>15</xdr:col>
      <xdr:colOff>449580</xdr:colOff>
      <xdr:row>12</xdr:row>
      <xdr:rowOff>106680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9C53E95-9CD6-4A58-AEC8-5964083A4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533400</xdr:colOff>
      <xdr:row>13</xdr:row>
      <xdr:rowOff>22860</xdr:rowOff>
    </xdr:from>
    <xdr:to>
      <xdr:col>15</xdr:col>
      <xdr:colOff>411480</xdr:colOff>
      <xdr:row>26</xdr:row>
      <xdr:rowOff>22860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35F173C-8D94-477D-94EC-A5DB43F420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525780</xdr:colOff>
      <xdr:row>1</xdr:row>
      <xdr:rowOff>30480</xdr:rowOff>
    </xdr:from>
    <xdr:to>
      <xdr:col>15</xdr:col>
      <xdr:colOff>449580</xdr:colOff>
      <xdr:row>12</xdr:row>
      <xdr:rowOff>106680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BA91D14-C114-4B2C-918A-F2BEC67E0D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533400</xdr:colOff>
      <xdr:row>13</xdr:row>
      <xdr:rowOff>22860</xdr:rowOff>
    </xdr:from>
    <xdr:to>
      <xdr:col>15</xdr:col>
      <xdr:colOff>411480</xdr:colOff>
      <xdr:row>26</xdr:row>
      <xdr:rowOff>22860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CAF39F8-D190-48EA-9A6F-C9DE0CCC9D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586740</xdr:colOff>
      <xdr:row>14</xdr:row>
      <xdr:rowOff>22860</xdr:rowOff>
    </xdr:from>
    <xdr:to>
      <xdr:col>18</xdr:col>
      <xdr:colOff>304800</xdr:colOff>
      <xdr:row>29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A513CE7-CE53-4122-96F1-6F53A5955B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259080</xdr:colOff>
      <xdr:row>1</xdr:row>
      <xdr:rowOff>91440</xdr:rowOff>
    </xdr:from>
    <xdr:to>
      <xdr:col>19</xdr:col>
      <xdr:colOff>7620</xdr:colOff>
      <xdr:row>13</xdr:row>
      <xdr:rowOff>87630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99BEE44-84E0-42D8-8992-457589E80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586740</xdr:colOff>
      <xdr:row>14</xdr:row>
      <xdr:rowOff>22860</xdr:rowOff>
    </xdr:from>
    <xdr:to>
      <xdr:col>18</xdr:col>
      <xdr:colOff>304800</xdr:colOff>
      <xdr:row>29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68684B5-CD2B-474F-82F2-681D66E1C0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259080</xdr:colOff>
      <xdr:row>1</xdr:row>
      <xdr:rowOff>91440</xdr:rowOff>
    </xdr:from>
    <xdr:to>
      <xdr:col>19</xdr:col>
      <xdr:colOff>7620</xdr:colOff>
      <xdr:row>13</xdr:row>
      <xdr:rowOff>87630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23A7A5-D3E2-4BAF-AB8B-EE793CD00D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76200</xdr:colOff>
      <xdr:row>1</xdr:row>
      <xdr:rowOff>34290</xdr:rowOff>
    </xdr:from>
    <xdr:to>
      <xdr:col>22</xdr:col>
      <xdr:colOff>381000</xdr:colOff>
      <xdr:row>17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F3527-CFC5-4CF7-9C36-1AF67D6538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</xdr:colOff>
      <xdr:row>3</xdr:row>
      <xdr:rowOff>49530</xdr:rowOff>
    </xdr:from>
    <xdr:to>
      <xdr:col>16</xdr:col>
      <xdr:colOff>327660</xdr:colOff>
      <xdr:row>18</xdr:row>
      <xdr:rowOff>49530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9FEF5DA-74A8-4A52-AF91-BA4DCA5BE6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259080</xdr:colOff>
      <xdr:row>4</xdr:row>
      <xdr:rowOff>26670</xdr:rowOff>
    </xdr:from>
    <xdr:to>
      <xdr:col>21</xdr:col>
      <xdr:colOff>563880</xdr:colOff>
      <xdr:row>19</xdr:row>
      <xdr:rowOff>26670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C1F76C-050F-4348-9DD1-7492A3B3F8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1</xdr:row>
      <xdr:rowOff>133350</xdr:rowOff>
    </xdr:from>
    <xdr:to>
      <xdr:col>15</xdr:col>
      <xdr:colOff>495300</xdr:colOff>
      <xdr:row>16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054EB62-650C-4DF0-B437-03D189D796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cina/Documents/Experiments/Chapter%202%20-Transport/Small%20soil%20columns/QS-%202nd%20triplicat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cina/Documents/Experiments/Chapter%202%20-Transport/Small%20soil%20columns/QS-%203rd%20triplicat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cina/Documents/Experiments/Chapter%202%20-Transport/Small%20soil%20columns/Sand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cina/Documents/Experiments/Chapter%202%20-Transport/Small%20soil%20columns/Loam-small%20column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cina/Documents/Experiments/Chapter%202%20-Transport/Small%20soil%20columns/Quartz%20sand%20-%20small%20colum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cina/Documents/Experiments/Chapter%202%20-Transport/Small%20soil%20columns/Sand-%20small%20colum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ndards(2)"/>
      <sheetName val="QS(2)"/>
      <sheetName val="Sand(2)"/>
      <sheetName val="Loam(2)"/>
    </sheetNames>
    <sheetDataSet>
      <sheetData sheetId="0">
        <row r="2">
          <cell r="A2" t="str">
            <v>NTO</v>
          </cell>
        </row>
        <row r="5">
          <cell r="H5">
            <v>0</v>
          </cell>
          <cell r="I5">
            <v>0</v>
          </cell>
          <cell r="J5">
            <v>0</v>
          </cell>
        </row>
        <row r="6">
          <cell r="H6">
            <v>6.4032150000000012</v>
          </cell>
          <cell r="I6">
            <v>78823</v>
          </cell>
          <cell r="J6">
            <v>80839</v>
          </cell>
        </row>
        <row r="7">
          <cell r="H7">
            <v>9.8511000000000006</v>
          </cell>
          <cell r="I7">
            <v>116771</v>
          </cell>
          <cell r="J7">
            <v>118008</v>
          </cell>
        </row>
        <row r="8">
          <cell r="H8">
            <v>19.702200000000001</v>
          </cell>
          <cell r="I8">
            <v>229114</v>
          </cell>
          <cell r="J8">
            <v>231447</v>
          </cell>
        </row>
        <row r="9">
          <cell r="H9">
            <v>29.5533</v>
          </cell>
          <cell r="I9">
            <v>339639</v>
          </cell>
          <cell r="J9">
            <v>347241</v>
          </cell>
        </row>
        <row r="10">
          <cell r="H10">
            <v>39.404400000000003</v>
          </cell>
          <cell r="I10">
            <v>454994</v>
          </cell>
          <cell r="J10">
            <v>464254</v>
          </cell>
        </row>
        <row r="12">
          <cell r="A12" t="str">
            <v>DNAN</v>
          </cell>
        </row>
        <row r="14">
          <cell r="H14">
            <v>0</v>
          </cell>
          <cell r="I14">
            <v>0</v>
          </cell>
          <cell r="J14">
            <v>0</v>
          </cell>
        </row>
        <row r="15">
          <cell r="H15">
            <v>5.0049999999999999</v>
          </cell>
          <cell r="I15">
            <v>60780</v>
          </cell>
          <cell r="J15">
            <v>91171</v>
          </cell>
        </row>
        <row r="16">
          <cell r="H16">
            <v>10.01</v>
          </cell>
          <cell r="I16">
            <v>150525</v>
          </cell>
          <cell r="J16">
            <v>183542</v>
          </cell>
        </row>
        <row r="17">
          <cell r="H17">
            <v>20.02</v>
          </cell>
          <cell r="I17">
            <v>352869</v>
          </cell>
          <cell r="J17">
            <v>362291</v>
          </cell>
        </row>
        <row r="18">
          <cell r="H18">
            <v>25.024999999999999</v>
          </cell>
          <cell r="I18">
            <v>456655</v>
          </cell>
          <cell r="J18">
            <v>470465</v>
          </cell>
        </row>
        <row r="19">
          <cell r="H19">
            <v>40.04</v>
          </cell>
          <cell r="I19">
            <v>737242</v>
          </cell>
          <cell r="J19">
            <v>748627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ndards(3)"/>
      <sheetName val="QS(3)"/>
      <sheetName val="Sand(3)"/>
    </sheetNames>
    <sheetDataSet>
      <sheetData sheetId="0" refreshError="1"/>
      <sheetData sheetId="1">
        <row r="3">
          <cell r="D3" t="str">
            <v>NTO</v>
          </cell>
          <cell r="E3" t="str">
            <v>DNAN</v>
          </cell>
        </row>
        <row r="4">
          <cell r="B4">
            <v>0</v>
          </cell>
          <cell r="F4">
            <v>0</v>
          </cell>
          <cell r="G4">
            <v>3.5086566735647536E-3</v>
          </cell>
        </row>
        <row r="5">
          <cell r="B5">
            <v>5</v>
          </cell>
          <cell r="F5">
            <v>0</v>
          </cell>
          <cell r="G5">
            <v>6.823874924419107E-3</v>
          </cell>
        </row>
        <row r="6">
          <cell r="B6">
            <v>10</v>
          </cell>
          <cell r="F6">
            <v>0.49399241390475751</v>
          </cell>
          <cell r="G6">
            <v>0.38174160276507452</v>
          </cell>
        </row>
        <row r="7">
          <cell r="B7">
            <v>15</v>
          </cell>
          <cell r="F7">
            <v>0.97473421683588901</v>
          </cell>
          <cell r="G7">
            <v>0.86108444742915469</v>
          </cell>
        </row>
        <row r="8">
          <cell r="B8">
            <v>20</v>
          </cell>
          <cell r="F8">
            <v>0.99311353701690686</v>
          </cell>
          <cell r="G8">
            <v>0.91250743642992971</v>
          </cell>
        </row>
        <row r="9">
          <cell r="B9">
            <v>25</v>
          </cell>
          <cell r="F9">
            <v>0.51841786741294105</v>
          </cell>
          <cell r="G9">
            <v>0.58702478323339013</v>
          </cell>
        </row>
        <row r="10">
          <cell r="B10">
            <v>30</v>
          </cell>
          <cell r="F10">
            <v>2.5161705637918141E-2</v>
          </cell>
          <cell r="G10">
            <v>0.1086904948738818</v>
          </cell>
        </row>
        <row r="11">
          <cell r="B11">
            <v>35</v>
          </cell>
          <cell r="F11">
            <v>1.7538990525090394E-3</v>
          </cell>
          <cell r="G11">
            <v>4.7619916614657282E-2</v>
          </cell>
        </row>
        <row r="12">
          <cell r="B12">
            <v>40</v>
          </cell>
          <cell r="F12">
            <v>9.5404399010107081E-4</v>
          </cell>
          <cell r="G12">
            <v>2.8234710152597368E-2</v>
          </cell>
        </row>
        <row r="13">
          <cell r="B13">
            <v>45</v>
          </cell>
          <cell r="F13">
            <v>0</v>
          </cell>
          <cell r="G13">
            <v>2.0770906861224354E-2</v>
          </cell>
        </row>
        <row r="14">
          <cell r="B14">
            <v>50</v>
          </cell>
          <cell r="F14">
            <v>0</v>
          </cell>
          <cell r="G14">
            <v>2.4318494538101896E-2</v>
          </cell>
        </row>
        <row r="15">
          <cell r="B15">
            <v>55</v>
          </cell>
          <cell r="F15">
            <v>0</v>
          </cell>
          <cell r="G15">
            <v>2.4056926859594121E-2</v>
          </cell>
        </row>
      </sheetData>
      <sheetData sheetId="2">
        <row r="4">
          <cell r="B4">
            <v>0</v>
          </cell>
          <cell r="F4">
            <v>1.354935202103137E-3</v>
          </cell>
          <cell r="G4">
            <v>4.3809544665418445E-3</v>
          </cell>
        </row>
        <row r="5">
          <cell r="B5">
            <v>5</v>
          </cell>
          <cell r="F5">
            <v>0.14009991442514513</v>
          </cell>
          <cell r="G5">
            <v>7.2170780578782359E-2</v>
          </cell>
        </row>
        <row r="6">
          <cell r="B6">
            <v>10</v>
          </cell>
          <cell r="F6">
            <v>0.75644509717757169</v>
          </cell>
          <cell r="G6">
            <v>0.53659453481709118</v>
          </cell>
        </row>
        <row r="7">
          <cell r="B7">
            <v>15</v>
          </cell>
          <cell r="F7">
            <v>0.91429022981859676</v>
          </cell>
          <cell r="G7">
            <v>0.73815128831206123</v>
          </cell>
        </row>
        <row r="8">
          <cell r="B8">
            <v>20</v>
          </cell>
          <cell r="F8">
            <v>0.83423148383714563</v>
          </cell>
          <cell r="G8">
            <v>0.75977746065231333</v>
          </cell>
        </row>
        <row r="9">
          <cell r="B9">
            <v>25</v>
          </cell>
          <cell r="F9">
            <v>0.22447980510519538</v>
          </cell>
          <cell r="G9">
            <v>0.34450653128410264</v>
          </cell>
        </row>
        <row r="10">
          <cell r="B10">
            <v>30</v>
          </cell>
          <cell r="F10">
            <v>7.8233534549883979E-2</v>
          </cell>
          <cell r="G10">
            <v>0.16962238143380451</v>
          </cell>
        </row>
        <row r="11">
          <cell r="B11">
            <v>35</v>
          </cell>
          <cell r="F11">
            <v>2.6890548989677052E-2</v>
          </cell>
          <cell r="G11">
            <v>0.10261725835708733</v>
          </cell>
        </row>
        <row r="12">
          <cell r="B12">
            <v>40</v>
          </cell>
          <cell r="F12">
            <v>9.0971467338930388E-3</v>
          </cell>
          <cell r="G12">
            <v>6.6564716101741306E-2</v>
          </cell>
        </row>
        <row r="13">
          <cell r="B13">
            <v>45</v>
          </cell>
          <cell r="F13">
            <v>3.4519046187293291E-3</v>
          </cell>
          <cell r="G13">
            <v>4.3541894017643044E-2</v>
          </cell>
        </row>
        <row r="14">
          <cell r="B14">
            <v>50</v>
          </cell>
          <cell r="F14">
            <v>1.7673905836821857E-3</v>
          </cell>
          <cell r="G14">
            <v>2.9787083909694673E-2</v>
          </cell>
        </row>
        <row r="15">
          <cell r="B15">
            <v>55</v>
          </cell>
          <cell r="F15">
            <v>2.1162430325878299E-3</v>
          </cell>
          <cell r="G15">
            <v>2.4441370517307874E-2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ndards"/>
      <sheetName val="Experiemnt"/>
    </sheetNames>
    <sheetDataSet>
      <sheetData sheetId="0">
        <row r="4">
          <cell r="B4">
            <v>0</v>
          </cell>
          <cell r="C4">
            <v>0</v>
          </cell>
        </row>
        <row r="5">
          <cell r="B5">
            <v>4.7872000000000003</v>
          </cell>
          <cell r="C5">
            <v>31277</v>
          </cell>
        </row>
        <row r="6">
          <cell r="B6">
            <v>10.172800000000001</v>
          </cell>
          <cell r="C6">
            <v>98630</v>
          </cell>
        </row>
        <row r="7">
          <cell r="B7">
            <v>19.747199999999999</v>
          </cell>
          <cell r="C7">
            <v>188813</v>
          </cell>
        </row>
        <row r="8">
          <cell r="B8">
            <v>29.92</v>
          </cell>
          <cell r="C8">
            <v>352597</v>
          </cell>
        </row>
        <row r="9">
          <cell r="B9">
            <v>40.092799999999997</v>
          </cell>
          <cell r="C9">
            <v>448462</v>
          </cell>
        </row>
        <row r="15">
          <cell r="B15">
            <v>0</v>
          </cell>
          <cell r="C15">
            <v>0</v>
          </cell>
        </row>
        <row r="16">
          <cell r="B16">
            <v>4.7872000000000003</v>
          </cell>
          <cell r="C16">
            <v>75234</v>
          </cell>
        </row>
        <row r="17">
          <cell r="B17">
            <v>10.172800000000001</v>
          </cell>
          <cell r="C17">
            <v>186922</v>
          </cell>
        </row>
        <row r="18">
          <cell r="B18">
            <v>19.747199999999999</v>
          </cell>
          <cell r="C18">
            <v>302260</v>
          </cell>
        </row>
        <row r="19">
          <cell r="B19">
            <v>29.92</v>
          </cell>
          <cell r="C19">
            <v>515499</v>
          </cell>
        </row>
        <row r="20">
          <cell r="B20">
            <v>40.092799999999997</v>
          </cell>
          <cell r="C20">
            <v>788475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(1)"/>
      <sheetName val="Experiment"/>
      <sheetName val="GoldSim"/>
      <sheetName val="NTO - MonteCarlo"/>
    </sheetNames>
    <sheetDataSet>
      <sheetData sheetId="0" refreshError="1"/>
      <sheetData sheetId="1">
        <row r="5">
          <cell r="F5">
            <v>0</v>
          </cell>
          <cell r="J5">
            <v>0</v>
          </cell>
        </row>
        <row r="6">
          <cell r="F6">
            <v>0.27058823529411763</v>
          </cell>
          <cell r="J6">
            <v>0</v>
          </cell>
        </row>
        <row r="7">
          <cell r="F7">
            <v>0.81176470588235294</v>
          </cell>
          <cell r="J7">
            <v>0.60384713970128456</v>
          </cell>
        </row>
        <row r="8">
          <cell r="F8">
            <v>1.3529411764705883</v>
          </cell>
          <cell r="J8">
            <v>0.70369215316954503</v>
          </cell>
        </row>
        <row r="9">
          <cell r="F9">
            <v>1.9176470588235295</v>
          </cell>
          <cell r="J9">
            <v>0.72773177548823664</v>
          </cell>
        </row>
        <row r="10">
          <cell r="F10">
            <v>2.4823529411764707</v>
          </cell>
          <cell r="J10">
            <v>0.41369416273257298</v>
          </cell>
        </row>
        <row r="11">
          <cell r="F11">
            <v>3.0352941176470587</v>
          </cell>
          <cell r="J11">
            <v>0</v>
          </cell>
        </row>
        <row r="12">
          <cell r="F12">
            <v>3.6235294117647059</v>
          </cell>
          <cell r="J12">
            <v>0</v>
          </cell>
        </row>
        <row r="13">
          <cell r="F13">
            <v>4.1882352941176473</v>
          </cell>
          <cell r="J13">
            <v>0</v>
          </cell>
        </row>
        <row r="14">
          <cell r="F14">
            <v>4.7647058823529411</v>
          </cell>
          <cell r="J14">
            <v>0</v>
          </cell>
        </row>
        <row r="15">
          <cell r="F15">
            <v>5.341176470588235</v>
          </cell>
          <cell r="J15">
            <v>0</v>
          </cell>
        </row>
        <row r="16">
          <cell r="F16">
            <v>5.9176470588235297</v>
          </cell>
          <cell r="J16">
            <v>0</v>
          </cell>
        </row>
      </sheetData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ndards"/>
      <sheetName val="Experiment"/>
      <sheetName val="GS-Pore vol"/>
      <sheetName val="Comparison"/>
      <sheetName val="GS- Av voidspace"/>
      <sheetName val="GS-Outflow"/>
      <sheetName val="NTO-Montecarlo"/>
      <sheetName val="DNAN-MonteCarlo"/>
      <sheetName val="NTO-MonteCarlo (2)"/>
      <sheetName val="DNAN-MonteCarlo (2)"/>
    </sheetNames>
    <sheetDataSet>
      <sheetData sheetId="0">
        <row r="5">
          <cell r="B5">
            <v>4.7872000000000003</v>
          </cell>
          <cell r="C5">
            <v>57863</v>
          </cell>
        </row>
        <row r="6">
          <cell r="B6">
            <v>10.172800000000001</v>
          </cell>
          <cell r="C6">
            <v>115427</v>
          </cell>
        </row>
        <row r="7">
          <cell r="B7">
            <v>19.747199999999999</v>
          </cell>
          <cell r="C7">
            <v>232673</v>
          </cell>
        </row>
        <row r="8">
          <cell r="B8">
            <v>29.92</v>
          </cell>
          <cell r="C8">
            <v>376392</v>
          </cell>
        </row>
        <row r="9">
          <cell r="B9">
            <v>40.092799999999997</v>
          </cell>
          <cell r="C9">
            <v>483437</v>
          </cell>
        </row>
        <row r="15">
          <cell r="B15">
            <v>0</v>
          </cell>
          <cell r="C15">
            <v>0</v>
          </cell>
        </row>
        <row r="16">
          <cell r="B16">
            <v>4.7872000000000003</v>
          </cell>
          <cell r="C16">
            <v>94681</v>
          </cell>
        </row>
        <row r="17">
          <cell r="B17">
            <v>10.172800000000001</v>
          </cell>
          <cell r="C17">
            <v>193105</v>
          </cell>
        </row>
        <row r="18">
          <cell r="B18">
            <v>19.747199999999999</v>
          </cell>
          <cell r="C18">
            <v>389753</v>
          </cell>
        </row>
        <row r="19">
          <cell r="B19">
            <v>29.92</v>
          </cell>
          <cell r="C19">
            <v>571066</v>
          </cell>
        </row>
        <row r="20">
          <cell r="B20">
            <v>40.092799999999997</v>
          </cell>
          <cell r="C20">
            <v>793728</v>
          </cell>
        </row>
      </sheetData>
      <sheetData sheetId="1">
        <row r="4">
          <cell r="M4" t="str">
            <v>NTO</v>
          </cell>
          <cell r="N4" t="str">
            <v>DNAN</v>
          </cell>
        </row>
        <row r="5">
          <cell r="F5">
            <v>0</v>
          </cell>
          <cell r="M5">
            <v>0</v>
          </cell>
          <cell r="N5">
            <v>0</v>
          </cell>
        </row>
        <row r="6">
          <cell r="F6">
            <v>0.35915492957746481</v>
          </cell>
          <cell r="M6">
            <v>0</v>
          </cell>
          <cell r="N6">
            <v>0</v>
          </cell>
        </row>
        <row r="7">
          <cell r="F7">
            <v>1.0774647887323943</v>
          </cell>
          <cell r="M7">
            <v>0.56513832991369917</v>
          </cell>
          <cell r="N7">
            <v>0.41916163049805449</v>
          </cell>
        </row>
        <row r="8">
          <cell r="F8">
            <v>1.8098591549295775</v>
          </cell>
          <cell r="M8">
            <v>1.0002659450086286</v>
          </cell>
          <cell r="N8">
            <v>0.80836415360996705</v>
          </cell>
        </row>
        <row r="9">
          <cell r="F9">
            <v>2.5422535211267605</v>
          </cell>
          <cell r="M9">
            <v>1.0034382271636706</v>
          </cell>
          <cell r="N9">
            <v>0.87266864556461021</v>
          </cell>
        </row>
        <row r="10">
          <cell r="F10">
            <v>3.2746478873239435</v>
          </cell>
          <cell r="M10">
            <v>0.42851709473183269</v>
          </cell>
          <cell r="N10">
            <v>0.50479138756397834</v>
          </cell>
        </row>
        <row r="11">
          <cell r="F11">
            <v>4.007042253521127</v>
          </cell>
          <cell r="M11">
            <v>9.100159364877923E-3</v>
          </cell>
          <cell r="N11">
            <v>0.11944461872563744</v>
          </cell>
        </row>
        <row r="12">
          <cell r="F12">
            <v>4.73943661971831</v>
          </cell>
          <cell r="M12">
            <v>6.0231669523412136E-3</v>
          </cell>
          <cell r="N12">
            <v>8.1624499713110157E-2</v>
          </cell>
        </row>
        <row r="13">
          <cell r="F13">
            <v>5.5</v>
          </cell>
          <cell r="M13">
            <v>5.3873244887145399E-3</v>
          </cell>
          <cell r="N13">
            <v>6.4886696135619246E-2</v>
          </cell>
        </row>
        <row r="14">
          <cell r="F14">
            <v>6.246478873239437</v>
          </cell>
          <cell r="M14">
            <v>5.4956082870160853E-3</v>
          </cell>
          <cell r="N14">
            <v>3.0359259794073792E-2</v>
          </cell>
        </row>
        <row r="15">
          <cell r="F15">
            <v>6.97887323943662</v>
          </cell>
          <cell r="M15">
            <v>5.0806647719245637E-3</v>
          </cell>
          <cell r="N15">
            <v>5.1584486803371521E-2</v>
          </cell>
        </row>
        <row r="16">
          <cell r="F16">
            <v>7.711267605633803</v>
          </cell>
          <cell r="M16">
            <v>4.3521313769517679E-3</v>
          </cell>
          <cell r="N16">
            <v>4.5916613768165845E-2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ndards"/>
      <sheetName val="Goldsim"/>
      <sheetName val="NTO-MonteCarlo"/>
      <sheetName val="DNAN-MonteCarlo"/>
    </sheetNames>
    <sheetDataSet>
      <sheetData sheetId="0">
        <row r="4">
          <cell r="B4">
            <v>0</v>
          </cell>
          <cell r="C4">
            <v>0</v>
          </cell>
        </row>
        <row r="5">
          <cell r="B5">
            <v>4.7872000000000003</v>
          </cell>
          <cell r="C5">
            <v>31277</v>
          </cell>
        </row>
        <row r="6">
          <cell r="B6">
            <v>10.172800000000001</v>
          </cell>
          <cell r="C6">
            <v>98630</v>
          </cell>
        </row>
        <row r="7">
          <cell r="B7">
            <v>19.747199999999999</v>
          </cell>
          <cell r="C7">
            <v>188813</v>
          </cell>
        </row>
        <row r="8">
          <cell r="B8">
            <v>29.92</v>
          </cell>
          <cell r="C8">
            <v>352597</v>
          </cell>
        </row>
        <row r="9">
          <cell r="B9">
            <v>40.092799999999997</v>
          </cell>
          <cell r="C9">
            <v>448462</v>
          </cell>
        </row>
        <row r="15">
          <cell r="B15">
            <v>0</v>
          </cell>
          <cell r="C15">
            <v>0</v>
          </cell>
        </row>
        <row r="16">
          <cell r="B16">
            <v>4.7872000000000003</v>
          </cell>
          <cell r="C16">
            <v>75234</v>
          </cell>
        </row>
        <row r="17">
          <cell r="B17">
            <v>10.172800000000001</v>
          </cell>
          <cell r="C17">
            <v>186922</v>
          </cell>
        </row>
        <row r="18">
          <cell r="B18">
            <v>19.747199999999999</v>
          </cell>
          <cell r="C18">
            <v>302260</v>
          </cell>
        </row>
        <row r="19">
          <cell r="B19">
            <v>29.92</v>
          </cell>
          <cell r="C19">
            <v>515499</v>
          </cell>
        </row>
        <row r="20">
          <cell r="B20">
            <v>40.092799999999997</v>
          </cell>
          <cell r="C20">
            <v>788475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6CFCD-BC97-4FBB-BDF0-3A405C94BEC0}">
  <dimension ref="A1:H19"/>
  <sheetViews>
    <sheetView workbookViewId="0">
      <selection activeCell="D28" sqref="D28"/>
    </sheetView>
  </sheetViews>
  <sheetFormatPr defaultRowHeight="14.4" x14ac:dyDescent="0.3"/>
  <sheetData>
    <row r="1" spans="1:8" ht="15.6" x14ac:dyDescent="0.3">
      <c r="A1" s="42" t="s">
        <v>0</v>
      </c>
      <c r="B1" t="s">
        <v>44</v>
      </c>
      <c r="F1" s="41">
        <v>43754</v>
      </c>
      <c r="G1" s="41">
        <v>43874</v>
      </c>
      <c r="H1" s="40">
        <v>43878</v>
      </c>
    </row>
    <row r="2" spans="1:8" x14ac:dyDescent="0.3">
      <c r="A2" t="s">
        <v>19</v>
      </c>
      <c r="B2" t="s">
        <v>33</v>
      </c>
      <c r="C2" t="s">
        <v>7</v>
      </c>
      <c r="E2" t="s">
        <v>25</v>
      </c>
      <c r="F2">
        <v>11483.925333123078</v>
      </c>
      <c r="G2">
        <v>12327.272118537552</v>
      </c>
      <c r="H2" s="39">
        <f>SLOPE(C4:C8,B4:B8)</f>
        <v>12060.416386455236</v>
      </c>
    </row>
    <row r="3" spans="1:8" x14ac:dyDescent="0.3">
      <c r="A3" t="s">
        <v>10</v>
      </c>
      <c r="B3" s="12">
        <v>0</v>
      </c>
      <c r="C3">
        <v>0</v>
      </c>
      <c r="E3" t="s">
        <v>35</v>
      </c>
      <c r="F3">
        <v>-2886.7321769297123</v>
      </c>
      <c r="G3">
        <v>-5023.9872506504762</v>
      </c>
      <c r="H3" s="39">
        <f>INTERCEPT(C3:C8,B3:B8)</f>
        <v>-16541.81033014378</v>
      </c>
    </row>
    <row r="4" spans="1:8" x14ac:dyDescent="0.3">
      <c r="A4">
        <v>1</v>
      </c>
      <c r="B4" s="12">
        <v>4.7872000000000003</v>
      </c>
      <c r="C4">
        <v>31277</v>
      </c>
      <c r="E4" t="s">
        <v>41</v>
      </c>
      <c r="F4">
        <v>0.9798</v>
      </c>
      <c r="G4">
        <v>0.99790000000000001</v>
      </c>
      <c r="H4" s="38">
        <v>0.99150000000000005</v>
      </c>
    </row>
    <row r="5" spans="1:8" x14ac:dyDescent="0.3">
      <c r="A5">
        <v>2</v>
      </c>
      <c r="B5" s="12">
        <v>10.172800000000001</v>
      </c>
      <c r="C5">
        <v>98630</v>
      </c>
    </row>
    <row r="6" spans="1:8" x14ac:dyDescent="0.3">
      <c r="A6">
        <v>3</v>
      </c>
      <c r="B6" s="12">
        <v>19.747199999999999</v>
      </c>
      <c r="C6">
        <v>188813</v>
      </c>
      <c r="E6" t="s">
        <v>40</v>
      </c>
      <c r="F6" t="s">
        <v>43</v>
      </c>
      <c r="G6" t="s">
        <v>37</v>
      </c>
    </row>
    <row r="7" spans="1:8" x14ac:dyDescent="0.3">
      <c r="A7">
        <v>4</v>
      </c>
      <c r="B7" s="12">
        <v>29.92</v>
      </c>
      <c r="C7">
        <v>352597</v>
      </c>
      <c r="E7">
        <v>240000</v>
      </c>
      <c r="F7" s="25">
        <f>(E7-F3)/F2</f>
        <v>21.150149024077308</v>
      </c>
      <c r="G7" s="25">
        <f>(E7-G3)/G2</f>
        <v>19.876578118380902</v>
      </c>
      <c r="H7" s="25">
        <f>(E7-H3)/H2</f>
        <v>21.271389155208581</v>
      </c>
    </row>
    <row r="8" spans="1:8" x14ac:dyDescent="0.3">
      <c r="A8">
        <v>5</v>
      </c>
      <c r="B8" s="12">
        <v>40.092799999999997</v>
      </c>
      <c r="C8">
        <v>448462</v>
      </c>
    </row>
    <row r="12" spans="1:8" x14ac:dyDescent="0.3">
      <c r="A12" s="15" t="s">
        <v>13</v>
      </c>
      <c r="B12" t="s">
        <v>42</v>
      </c>
      <c r="F12" s="41">
        <v>43754</v>
      </c>
      <c r="G12" s="41">
        <v>43874</v>
      </c>
      <c r="H12" s="40">
        <v>43878</v>
      </c>
    </row>
    <row r="13" spans="1:8" x14ac:dyDescent="0.3">
      <c r="A13" t="s">
        <v>19</v>
      </c>
      <c r="B13" t="s">
        <v>33</v>
      </c>
      <c r="C13" t="s">
        <v>28</v>
      </c>
      <c r="E13" t="s">
        <v>25</v>
      </c>
      <c r="F13" s="12">
        <v>20062.057593189067</v>
      </c>
      <c r="G13">
        <v>19845.283784781168</v>
      </c>
      <c r="H13" s="39">
        <f>SLOPE(C15:C19,B15:B19)</f>
        <v>19539.85635589093</v>
      </c>
    </row>
    <row r="14" spans="1:8" x14ac:dyDescent="0.3">
      <c r="A14" t="s">
        <v>10</v>
      </c>
      <c r="B14" s="12">
        <v>0</v>
      </c>
      <c r="C14">
        <v>0</v>
      </c>
      <c r="E14" t="s">
        <v>35</v>
      </c>
      <c r="F14" s="12">
        <v>173.05480687349336</v>
      </c>
      <c r="G14">
        <v>-8885.693851944874</v>
      </c>
      <c r="H14" s="39">
        <f>INTERCEPT(C16:C20,B16:B20)</f>
        <v>-57313.782219035667</v>
      </c>
    </row>
    <row r="15" spans="1:8" x14ac:dyDescent="0.3">
      <c r="A15">
        <v>1</v>
      </c>
      <c r="B15" s="12">
        <v>4.7872000000000003</v>
      </c>
      <c r="C15">
        <v>75234</v>
      </c>
      <c r="E15" t="s">
        <v>41</v>
      </c>
      <c r="F15">
        <v>0.99</v>
      </c>
      <c r="G15">
        <v>0.99929999999999997</v>
      </c>
      <c r="H15" s="38">
        <v>0.98470000000000002</v>
      </c>
    </row>
    <row r="16" spans="1:8" x14ac:dyDescent="0.3">
      <c r="A16">
        <v>2</v>
      </c>
      <c r="B16" s="12">
        <v>10.172800000000001</v>
      </c>
      <c r="C16">
        <v>186922</v>
      </c>
    </row>
    <row r="17" spans="1:8" x14ac:dyDescent="0.3">
      <c r="A17">
        <v>3</v>
      </c>
      <c r="B17" s="12">
        <v>19.747199999999999</v>
      </c>
      <c r="C17">
        <v>302260</v>
      </c>
      <c r="E17" t="s">
        <v>40</v>
      </c>
      <c r="F17" t="s">
        <v>39</v>
      </c>
      <c r="G17" t="s">
        <v>38</v>
      </c>
      <c r="H17" t="s">
        <v>37</v>
      </c>
    </row>
    <row r="18" spans="1:8" x14ac:dyDescent="0.3">
      <c r="A18">
        <v>4</v>
      </c>
      <c r="B18" s="12">
        <v>29.92</v>
      </c>
      <c r="C18">
        <v>515499</v>
      </c>
      <c r="E18">
        <v>240000</v>
      </c>
      <c r="F18" s="25">
        <f>(E18-F14)/F13</f>
        <v>11.954254646071105</v>
      </c>
      <c r="G18" s="25">
        <f>(E18-G14)/G13</f>
        <v>12.541301830251923</v>
      </c>
      <c r="H18" s="25">
        <f>(E18-H14)/H13</f>
        <v>15.215760894240182</v>
      </c>
    </row>
    <row r="19" spans="1:8" x14ac:dyDescent="0.3">
      <c r="A19">
        <v>5</v>
      </c>
      <c r="B19" s="12">
        <v>40.092799999999997</v>
      </c>
      <c r="C19">
        <v>788475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87D57-48BD-408F-B9EF-6857147554A4}">
  <dimension ref="A1:H19"/>
  <sheetViews>
    <sheetView workbookViewId="0">
      <selection activeCell="L15" sqref="L15"/>
    </sheetView>
  </sheetViews>
  <sheetFormatPr defaultRowHeight="14.4" x14ac:dyDescent="0.3"/>
  <cols>
    <col min="2" max="2" width="10.88671875" customWidth="1"/>
    <col min="3" max="3" width="11" customWidth="1"/>
  </cols>
  <sheetData>
    <row r="1" spans="1:8" x14ac:dyDescent="0.3">
      <c r="A1" t="s">
        <v>16</v>
      </c>
    </row>
    <row r="2" spans="1:8" x14ac:dyDescent="0.3">
      <c r="D2" s="17" t="s">
        <v>17</v>
      </c>
      <c r="E2" s="17"/>
      <c r="F2" s="18" t="s">
        <v>18</v>
      </c>
      <c r="G2" s="19"/>
      <c r="H2" t="s">
        <v>24</v>
      </c>
    </row>
    <row r="3" spans="1:8" x14ac:dyDescent="0.3">
      <c r="A3" t="s">
        <v>19</v>
      </c>
      <c r="B3" t="s">
        <v>20</v>
      </c>
      <c r="C3" t="s">
        <v>21</v>
      </c>
      <c r="D3" t="s">
        <v>0</v>
      </c>
      <c r="E3" t="s">
        <v>13</v>
      </c>
      <c r="F3" s="6" t="s">
        <v>0</v>
      </c>
      <c r="G3" s="20" t="s">
        <v>13</v>
      </c>
      <c r="H3" t="s">
        <v>0</v>
      </c>
    </row>
    <row r="4" spans="1:8" x14ac:dyDescent="0.3">
      <c r="A4">
        <v>1</v>
      </c>
      <c r="B4">
        <v>0</v>
      </c>
      <c r="C4" t="s">
        <v>22</v>
      </c>
      <c r="D4">
        <v>0</v>
      </c>
      <c r="E4">
        <v>0</v>
      </c>
      <c r="F4" s="21">
        <f>D4/$D$16</f>
        <v>0</v>
      </c>
      <c r="G4" s="22">
        <f>E4/$E$16</f>
        <v>0</v>
      </c>
    </row>
    <row r="5" spans="1:8" x14ac:dyDescent="0.3">
      <c r="A5">
        <v>2</v>
      </c>
      <c r="B5">
        <v>5</v>
      </c>
      <c r="C5">
        <v>49</v>
      </c>
      <c r="D5">
        <v>91941</v>
      </c>
      <c r="E5">
        <v>40675</v>
      </c>
      <c r="F5" s="21">
        <f>D5/$D$16</f>
        <v>0.17714346267966552</v>
      </c>
      <c r="G5" s="22">
        <f t="shared" ref="G5:G15" si="0">E5/$E$16</f>
        <v>4.9004193819266989E-2</v>
      </c>
    </row>
    <row r="6" spans="1:8" x14ac:dyDescent="0.3">
      <c r="A6">
        <v>3</v>
      </c>
      <c r="B6">
        <v>10</v>
      </c>
      <c r="C6">
        <v>49</v>
      </c>
      <c r="D6">
        <v>397339</v>
      </c>
      <c r="E6">
        <v>383858</v>
      </c>
      <c r="F6" s="21">
        <f t="shared" ref="F5:F16" si="1">D6/$D$16</f>
        <v>0.76555624060729832</v>
      </c>
      <c r="G6" s="22">
        <f t="shared" si="0"/>
        <v>0.46246224538601571</v>
      </c>
    </row>
    <row r="7" spans="1:8" x14ac:dyDescent="0.3">
      <c r="A7">
        <v>4</v>
      </c>
      <c r="B7">
        <v>15</v>
      </c>
      <c r="C7">
        <v>49</v>
      </c>
      <c r="D7">
        <v>473643</v>
      </c>
      <c r="E7">
        <v>589245</v>
      </c>
      <c r="F7" s="21">
        <f t="shared" si="1"/>
        <v>0.91257176987399324</v>
      </c>
      <c r="G7" s="22">
        <f t="shared" si="0"/>
        <v>0.70990722033273457</v>
      </c>
    </row>
    <row r="8" spans="1:8" x14ac:dyDescent="0.3">
      <c r="A8">
        <v>5</v>
      </c>
      <c r="B8">
        <v>20</v>
      </c>
      <c r="C8">
        <v>49</v>
      </c>
      <c r="D8">
        <v>415269</v>
      </c>
      <c r="E8">
        <v>602278</v>
      </c>
      <c r="F8" s="21">
        <f t="shared" si="1"/>
        <v>0.80010211552541333</v>
      </c>
      <c r="G8" s="22">
        <f t="shared" si="0"/>
        <v>0.72560904351765176</v>
      </c>
    </row>
    <row r="9" spans="1:8" x14ac:dyDescent="0.3">
      <c r="A9">
        <v>6</v>
      </c>
      <c r="B9">
        <v>25</v>
      </c>
      <c r="C9">
        <v>49</v>
      </c>
      <c r="D9">
        <v>103218</v>
      </c>
      <c r="E9">
        <v>253670</v>
      </c>
      <c r="F9" s="21">
        <f t="shared" si="1"/>
        <v>0.19887094909637393</v>
      </c>
      <c r="G9" s="22">
        <f t="shared" si="0"/>
        <v>0.30561509148453492</v>
      </c>
    </row>
    <row r="10" spans="1:8" x14ac:dyDescent="0.3">
      <c r="A10">
        <v>7</v>
      </c>
      <c r="B10">
        <v>30</v>
      </c>
      <c r="C10">
        <v>49</v>
      </c>
      <c r="D10">
        <v>36524</v>
      </c>
      <c r="E10">
        <v>132514</v>
      </c>
      <c r="F10" s="21">
        <f t="shared" si="1"/>
        <v>7.0371083965935805E-2</v>
      </c>
      <c r="G10" s="22">
        <f t="shared" si="0"/>
        <v>0.15964945887563237</v>
      </c>
    </row>
    <row r="11" spans="1:8" x14ac:dyDescent="0.3">
      <c r="A11">
        <v>8</v>
      </c>
      <c r="B11">
        <v>35</v>
      </c>
      <c r="C11">
        <v>49</v>
      </c>
      <c r="D11">
        <v>14245</v>
      </c>
      <c r="E11">
        <v>86224</v>
      </c>
      <c r="F11" s="21">
        <f t="shared" si="1"/>
        <v>2.7445955839852029E-2</v>
      </c>
      <c r="G11" s="22">
        <f t="shared" si="0"/>
        <v>0.10388045747688941</v>
      </c>
    </row>
    <row r="12" spans="1:8" x14ac:dyDescent="0.3">
      <c r="A12">
        <v>9</v>
      </c>
      <c r="B12">
        <v>40</v>
      </c>
      <c r="C12">
        <v>50</v>
      </c>
      <c r="D12">
        <v>5175</v>
      </c>
      <c r="E12">
        <v>59934</v>
      </c>
      <c r="F12" s="21">
        <f t="shared" si="1"/>
        <v>9.9707140379946824E-3</v>
      </c>
      <c r="G12" s="22">
        <f t="shared" si="0"/>
        <v>7.2206941668443714E-2</v>
      </c>
    </row>
    <row r="13" spans="1:8" x14ac:dyDescent="0.3">
      <c r="A13">
        <v>10</v>
      </c>
      <c r="B13">
        <v>45</v>
      </c>
      <c r="C13">
        <v>49</v>
      </c>
      <c r="D13">
        <v>2415</v>
      </c>
      <c r="E13">
        <v>43202</v>
      </c>
      <c r="F13" s="21">
        <f>D13/$D$16</f>
        <v>4.6529998843975184E-3</v>
      </c>
      <c r="G13" s="22">
        <f t="shared" si="0"/>
        <v>5.2048658423601048E-2</v>
      </c>
    </row>
    <row r="14" spans="1:8" x14ac:dyDescent="0.3">
      <c r="A14">
        <v>11</v>
      </c>
      <c r="B14">
        <v>50</v>
      </c>
      <c r="C14">
        <v>50</v>
      </c>
      <c r="D14">
        <v>915</v>
      </c>
      <c r="E14">
        <v>33233</v>
      </c>
      <c r="F14" s="21">
        <f t="shared" si="1"/>
        <v>1.7629378443990598E-3</v>
      </c>
      <c r="G14" s="22">
        <f t="shared" si="0"/>
        <v>4.0038263631117392E-2</v>
      </c>
    </row>
    <row r="15" spans="1:8" x14ac:dyDescent="0.3">
      <c r="A15">
        <v>12</v>
      </c>
      <c r="B15">
        <v>55</v>
      </c>
      <c r="C15">
        <v>49</v>
      </c>
      <c r="D15">
        <v>1267</v>
      </c>
      <c r="E15">
        <v>26517</v>
      </c>
      <c r="F15" s="23">
        <f t="shared" si="1"/>
        <v>2.4411390697853647E-3</v>
      </c>
      <c r="G15" s="24">
        <f t="shared" si="0"/>
        <v>3.1946999569895579E-2</v>
      </c>
    </row>
    <row r="16" spans="1:8" x14ac:dyDescent="0.3">
      <c r="A16" t="s">
        <v>23</v>
      </c>
      <c r="D16">
        <v>519020</v>
      </c>
      <c r="E16">
        <v>830031</v>
      </c>
      <c r="F16" s="25">
        <f t="shared" si="1"/>
        <v>1</v>
      </c>
      <c r="G16" s="25"/>
    </row>
    <row r="18" spans="2:2" x14ac:dyDescent="0.3">
      <c r="B18" t="s">
        <v>25</v>
      </c>
    </row>
    <row r="19" spans="2:2" x14ac:dyDescent="0.3">
      <c r="B19" t="s">
        <v>26</v>
      </c>
    </row>
  </sheetData>
  <mergeCells count="2">
    <mergeCell ref="D2:E2"/>
    <mergeCell ref="F2:G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9C056-4569-4BF8-B26D-38D1394864F0}">
  <dimension ref="A1:G17"/>
  <sheetViews>
    <sheetView workbookViewId="0">
      <selection activeCell="G4" sqref="G4:G15"/>
    </sheetView>
  </sheetViews>
  <sheetFormatPr defaultRowHeight="14.4" x14ac:dyDescent="0.3"/>
  <cols>
    <col min="2" max="2" width="10.88671875" customWidth="1"/>
    <col min="3" max="3" width="11" customWidth="1"/>
  </cols>
  <sheetData>
    <row r="1" spans="1:7" x14ac:dyDescent="0.3">
      <c r="A1" t="s">
        <v>27</v>
      </c>
    </row>
    <row r="2" spans="1:7" x14ac:dyDescent="0.3">
      <c r="D2" s="17" t="s">
        <v>28</v>
      </c>
      <c r="E2" s="17"/>
      <c r="F2" s="17" t="s">
        <v>18</v>
      </c>
      <c r="G2" s="17"/>
    </row>
    <row r="3" spans="1:7" x14ac:dyDescent="0.3">
      <c r="A3" t="s">
        <v>19</v>
      </c>
      <c r="B3" t="s">
        <v>20</v>
      </c>
      <c r="C3" t="s">
        <v>21</v>
      </c>
      <c r="D3" t="s">
        <v>0</v>
      </c>
      <c r="E3" t="s">
        <v>13</v>
      </c>
      <c r="F3" t="s">
        <v>0</v>
      </c>
      <c r="G3" t="s">
        <v>13</v>
      </c>
    </row>
    <row r="4" spans="1:7" x14ac:dyDescent="0.3">
      <c r="A4">
        <v>1</v>
      </c>
      <c r="B4">
        <v>0</v>
      </c>
      <c r="C4">
        <v>45</v>
      </c>
      <c r="D4">
        <v>703</v>
      </c>
      <c r="E4">
        <v>3601</v>
      </c>
      <c r="F4" s="27">
        <f>D4/$D$17</f>
        <v>1.354935202103137E-3</v>
      </c>
      <c r="G4" s="27">
        <f>E4/$E$17</f>
        <v>4.3809544665418445E-3</v>
      </c>
    </row>
    <row r="5" spans="1:7" x14ac:dyDescent="0.3">
      <c r="A5">
        <v>2</v>
      </c>
      <c r="B5">
        <v>5</v>
      </c>
      <c r="C5">
        <v>47</v>
      </c>
      <c r="D5">
        <v>72690</v>
      </c>
      <c r="E5">
        <v>59322</v>
      </c>
      <c r="F5" s="27">
        <f t="shared" ref="F5:F15" si="0">D5/$D$17</f>
        <v>0.14009991442514513</v>
      </c>
      <c r="G5" s="27">
        <f t="shared" ref="G5:G15" si="1">E5/$E$17</f>
        <v>7.2170780578782359E-2</v>
      </c>
    </row>
    <row r="6" spans="1:7" x14ac:dyDescent="0.3">
      <c r="A6">
        <v>3</v>
      </c>
      <c r="B6">
        <v>10</v>
      </c>
      <c r="C6">
        <v>47</v>
      </c>
      <c r="D6">
        <v>392477</v>
      </c>
      <c r="E6">
        <v>441063</v>
      </c>
      <c r="F6" s="27">
        <f t="shared" si="0"/>
        <v>0.75644509717757169</v>
      </c>
      <c r="G6" s="27">
        <f t="shared" si="1"/>
        <v>0.53659453481709118</v>
      </c>
    </row>
    <row r="7" spans="1:7" x14ac:dyDescent="0.3">
      <c r="A7">
        <v>4</v>
      </c>
      <c r="B7">
        <v>15</v>
      </c>
      <c r="C7">
        <v>46</v>
      </c>
      <c r="D7">
        <v>474374</v>
      </c>
      <c r="E7">
        <v>606736</v>
      </c>
      <c r="F7" s="27">
        <f t="shared" si="0"/>
        <v>0.91429022981859676</v>
      </c>
      <c r="G7" s="27">
        <f t="shared" si="1"/>
        <v>0.73815128831206123</v>
      </c>
    </row>
    <row r="8" spans="1:7" x14ac:dyDescent="0.3">
      <c r="A8">
        <v>5</v>
      </c>
      <c r="B8">
        <v>20</v>
      </c>
      <c r="C8">
        <v>48</v>
      </c>
      <c r="D8">
        <v>432836</v>
      </c>
      <c r="E8">
        <v>624512</v>
      </c>
      <c r="F8" s="27">
        <f t="shared" si="0"/>
        <v>0.83423148383714563</v>
      </c>
      <c r="G8" s="27">
        <f t="shared" si="1"/>
        <v>0.75977746065231333</v>
      </c>
    </row>
    <row r="9" spans="1:7" x14ac:dyDescent="0.3">
      <c r="A9">
        <v>6</v>
      </c>
      <c r="B9">
        <v>25</v>
      </c>
      <c r="C9">
        <v>48</v>
      </c>
      <c r="D9">
        <v>116470</v>
      </c>
      <c r="E9">
        <v>283173</v>
      </c>
      <c r="F9" s="27">
        <f t="shared" si="0"/>
        <v>0.22447980510519538</v>
      </c>
      <c r="G9" s="27">
        <f t="shared" si="1"/>
        <v>0.34450653128410264</v>
      </c>
    </row>
    <row r="10" spans="1:7" x14ac:dyDescent="0.3">
      <c r="A10">
        <v>7</v>
      </c>
      <c r="B10">
        <v>30</v>
      </c>
      <c r="C10">
        <v>48</v>
      </c>
      <c r="D10">
        <v>40591</v>
      </c>
      <c r="E10">
        <v>139424</v>
      </c>
      <c r="F10" s="27">
        <f t="shared" si="0"/>
        <v>7.8233534549883979E-2</v>
      </c>
      <c r="G10" s="27">
        <f t="shared" si="1"/>
        <v>0.16962238143380451</v>
      </c>
    </row>
    <row r="11" spans="1:7" x14ac:dyDescent="0.3">
      <c r="A11">
        <v>8</v>
      </c>
      <c r="B11">
        <v>35</v>
      </c>
      <c r="C11">
        <v>48</v>
      </c>
      <c r="D11">
        <v>13952</v>
      </c>
      <c r="E11">
        <v>84348</v>
      </c>
      <c r="F11" s="27">
        <f t="shared" si="0"/>
        <v>2.6890548989677052E-2</v>
      </c>
      <c r="G11" s="27">
        <f t="shared" si="1"/>
        <v>0.10261725835708733</v>
      </c>
    </row>
    <row r="12" spans="1:7" x14ac:dyDescent="0.3">
      <c r="A12">
        <v>9</v>
      </c>
      <c r="B12">
        <v>40</v>
      </c>
      <c r="C12">
        <v>49</v>
      </c>
      <c r="D12">
        <v>4720</v>
      </c>
      <c r="E12">
        <v>54714</v>
      </c>
      <c r="F12" s="27">
        <f t="shared" si="0"/>
        <v>9.0971467338930388E-3</v>
      </c>
      <c r="G12" s="27">
        <f t="shared" si="1"/>
        <v>6.6564716101741306E-2</v>
      </c>
    </row>
    <row r="13" spans="1:7" x14ac:dyDescent="0.3">
      <c r="A13">
        <v>10</v>
      </c>
      <c r="B13">
        <v>45</v>
      </c>
      <c r="C13">
        <v>49</v>
      </c>
      <c r="D13">
        <v>1791</v>
      </c>
      <c r="E13">
        <v>35790</v>
      </c>
      <c r="F13" s="27">
        <f t="shared" si="0"/>
        <v>3.4519046187293291E-3</v>
      </c>
      <c r="G13" s="27">
        <f t="shared" si="1"/>
        <v>4.3541894017643044E-2</v>
      </c>
    </row>
    <row r="14" spans="1:7" x14ac:dyDescent="0.3">
      <c r="A14">
        <v>11</v>
      </c>
      <c r="B14">
        <v>50</v>
      </c>
      <c r="C14">
        <v>48</v>
      </c>
      <c r="D14">
        <v>917</v>
      </c>
      <c r="E14">
        <v>24484</v>
      </c>
      <c r="F14" s="27">
        <f t="shared" si="0"/>
        <v>1.7673905836821857E-3</v>
      </c>
      <c r="G14" s="27">
        <f t="shared" si="1"/>
        <v>2.9787083909694673E-2</v>
      </c>
    </row>
    <row r="15" spans="1:7" x14ac:dyDescent="0.3">
      <c r="A15">
        <v>12</v>
      </c>
      <c r="B15">
        <v>55</v>
      </c>
      <c r="C15">
        <v>48</v>
      </c>
      <c r="D15">
        <v>1098</v>
      </c>
      <c r="E15">
        <v>20090</v>
      </c>
      <c r="F15" s="27">
        <f t="shared" si="0"/>
        <v>2.1162430325878299E-3</v>
      </c>
      <c r="G15" s="27">
        <f t="shared" si="1"/>
        <v>2.4441370517307874E-2</v>
      </c>
    </row>
    <row r="16" spans="1:7" x14ac:dyDescent="0.3">
      <c r="A16" t="s">
        <v>23</v>
      </c>
    </row>
    <row r="17" spans="2:5" x14ac:dyDescent="0.3">
      <c r="B17" t="s">
        <v>29</v>
      </c>
      <c r="C17" s="12">
        <f>AVERAGE(C5:C15)</f>
        <v>47.81818181818182</v>
      </c>
      <c r="D17">
        <v>518844</v>
      </c>
      <c r="E17">
        <v>821967</v>
      </c>
    </row>
  </sheetData>
  <mergeCells count="2">
    <mergeCell ref="D2:E2"/>
    <mergeCell ref="F2:G2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29188-BEF7-43C2-B290-EFCECDAAAACA}">
  <dimension ref="A1:P26"/>
  <sheetViews>
    <sheetView zoomScale="90" zoomScaleNormal="90" workbookViewId="0">
      <selection activeCell="M23" sqref="M23"/>
    </sheetView>
  </sheetViews>
  <sheetFormatPr defaultRowHeight="14.4" x14ac:dyDescent="0.3"/>
  <cols>
    <col min="6" max="6" width="10.77734375" customWidth="1"/>
    <col min="8" max="8" width="11.109375" customWidth="1"/>
    <col min="9" max="9" width="11.21875" customWidth="1"/>
  </cols>
  <sheetData>
    <row r="1" spans="1:16" x14ac:dyDescent="0.3">
      <c r="F1" t="s">
        <v>45</v>
      </c>
      <c r="G1">
        <v>85</v>
      </c>
    </row>
    <row r="3" spans="1:16" x14ac:dyDescent="0.3">
      <c r="G3" s="43" t="s">
        <v>7</v>
      </c>
      <c r="H3" s="44" t="s">
        <v>33</v>
      </c>
      <c r="I3" s="44" t="s">
        <v>31</v>
      </c>
      <c r="J3" s="45" t="s">
        <v>18</v>
      </c>
      <c r="K3" s="46"/>
    </row>
    <row r="4" spans="1:16" x14ac:dyDescent="0.3">
      <c r="A4" s="26" t="s">
        <v>19</v>
      </c>
      <c r="B4" s="26" t="s">
        <v>46</v>
      </c>
      <c r="C4" s="26" t="s">
        <v>32</v>
      </c>
      <c r="D4" s="26" t="s">
        <v>47</v>
      </c>
      <c r="E4" s="26" t="s">
        <v>48</v>
      </c>
      <c r="F4" s="47" t="s">
        <v>45</v>
      </c>
      <c r="G4" s="26" t="s">
        <v>0</v>
      </c>
      <c r="H4" s="26" t="s">
        <v>0</v>
      </c>
      <c r="I4" s="26" t="s">
        <v>0</v>
      </c>
      <c r="J4" s="26" t="s">
        <v>0</v>
      </c>
      <c r="K4" s="26" t="s">
        <v>49</v>
      </c>
    </row>
    <row r="5" spans="1:16" x14ac:dyDescent="0.3">
      <c r="A5" t="s">
        <v>50</v>
      </c>
      <c r="B5" s="26">
        <v>0</v>
      </c>
      <c r="C5" s="26">
        <v>0</v>
      </c>
      <c r="D5" s="26">
        <f>C5</f>
        <v>0</v>
      </c>
      <c r="E5" s="26">
        <f>B5</f>
        <v>0</v>
      </c>
      <c r="F5" s="48">
        <f>D5/$G$1</f>
        <v>0</v>
      </c>
      <c r="G5" t="s">
        <v>51</v>
      </c>
      <c r="H5" s="49">
        <v>0</v>
      </c>
      <c r="I5" s="25">
        <f t="shared" ref="I5:I16" si="0">H5*C5/1000</f>
        <v>0</v>
      </c>
      <c r="J5" s="28">
        <f>H5/$H$17</f>
        <v>0</v>
      </c>
      <c r="K5" s="25">
        <v>0</v>
      </c>
      <c r="L5" s="25"/>
      <c r="M5" s="25"/>
      <c r="N5" s="25"/>
      <c r="O5" s="25"/>
      <c r="P5" s="25"/>
    </row>
    <row r="6" spans="1:16" x14ac:dyDescent="0.3">
      <c r="A6" t="s">
        <v>52</v>
      </c>
      <c r="B6" s="26">
        <v>5</v>
      </c>
      <c r="C6" s="26">
        <v>46</v>
      </c>
      <c r="D6" s="26">
        <f>C6/2</f>
        <v>23</v>
      </c>
      <c r="E6" s="26">
        <f>E5+C6</f>
        <v>46</v>
      </c>
      <c r="F6" s="48">
        <f t="shared" ref="F6:F16" si="1">D6/$G$1</f>
        <v>0.27058823529411763</v>
      </c>
      <c r="G6" t="s">
        <v>51</v>
      </c>
      <c r="H6" s="49">
        <v>0</v>
      </c>
      <c r="I6" s="25">
        <f t="shared" si="0"/>
        <v>0</v>
      </c>
      <c r="J6" s="28">
        <f>H6/$H$17</f>
        <v>0</v>
      </c>
      <c r="K6" s="25">
        <v>0</v>
      </c>
      <c r="L6" s="25"/>
      <c r="M6" s="25"/>
      <c r="N6" s="25"/>
      <c r="O6" s="25"/>
      <c r="P6" s="25"/>
    </row>
    <row r="7" spans="1:16" x14ac:dyDescent="0.3">
      <c r="A7" t="s">
        <v>53</v>
      </c>
      <c r="B7" s="26">
        <v>10</v>
      </c>
      <c r="C7" s="26">
        <v>46</v>
      </c>
      <c r="D7" s="26">
        <f t="shared" ref="D7:D16" si="2">D6+C7</f>
        <v>69</v>
      </c>
      <c r="E7" s="26">
        <f t="shared" ref="E7:E16" si="3">E6+C7</f>
        <v>92</v>
      </c>
      <c r="F7" s="48">
        <f t="shared" si="1"/>
        <v>0.81176470588235294</v>
      </c>
      <c r="G7">
        <v>288451</v>
      </c>
      <c r="H7" s="49">
        <f>(G7-$C$22)/$C$21</f>
        <v>25.288746305034277</v>
      </c>
      <c r="I7" s="25">
        <f t="shared" si="0"/>
        <v>1.1632823300315767</v>
      </c>
      <c r="J7" s="28">
        <f t="shared" ref="J7:J16" si="4">H7/$H$17</f>
        <v>0.60384713970128456</v>
      </c>
      <c r="K7" s="25">
        <v>0</v>
      </c>
      <c r="L7" s="25"/>
      <c r="M7" s="25"/>
      <c r="N7" s="25"/>
      <c r="O7" s="25"/>
      <c r="P7" s="25"/>
    </row>
    <row r="8" spans="1:16" x14ac:dyDescent="0.3">
      <c r="A8" t="s">
        <v>54</v>
      </c>
      <c r="B8" s="26">
        <v>15</v>
      </c>
      <c r="C8" s="26">
        <v>46</v>
      </c>
      <c r="D8" s="26">
        <f t="shared" si="2"/>
        <v>115</v>
      </c>
      <c r="E8" s="26">
        <f t="shared" si="3"/>
        <v>138</v>
      </c>
      <c r="F8" s="48">
        <f t="shared" si="1"/>
        <v>1.3529411764705883</v>
      </c>
      <c r="G8">
        <v>338881</v>
      </c>
      <c r="H8" s="49">
        <f>(G8-$C$22)/$C$21</f>
        <v>29.470193975169188</v>
      </c>
      <c r="I8" s="25">
        <f t="shared" si="0"/>
        <v>1.3556289228577827</v>
      </c>
      <c r="J8" s="28">
        <f t="shared" si="4"/>
        <v>0.70369215316954503</v>
      </c>
      <c r="K8" s="25">
        <v>0</v>
      </c>
      <c r="L8" s="25"/>
      <c r="M8" s="25"/>
      <c r="N8" s="25"/>
      <c r="O8" s="25"/>
      <c r="P8" s="25"/>
    </row>
    <row r="9" spans="1:16" x14ac:dyDescent="0.3">
      <c r="A9" t="s">
        <v>55</v>
      </c>
      <c r="B9" s="26">
        <v>20</v>
      </c>
      <c r="C9" s="26">
        <v>48</v>
      </c>
      <c r="D9" s="26">
        <f t="shared" si="2"/>
        <v>163</v>
      </c>
      <c r="E9" s="26">
        <f t="shared" si="3"/>
        <v>186</v>
      </c>
      <c r="F9" s="48">
        <f t="shared" si="1"/>
        <v>1.9176470588235295</v>
      </c>
      <c r="G9">
        <v>351023</v>
      </c>
      <c r="H9" s="49">
        <f>(G9-$C$22)/$C$21</f>
        <v>30.476958552023802</v>
      </c>
      <c r="I9" s="25">
        <f t="shared" si="0"/>
        <v>1.4628940104971426</v>
      </c>
      <c r="J9" s="28">
        <f t="shared" si="4"/>
        <v>0.72773177548823664</v>
      </c>
      <c r="K9" s="25">
        <v>0</v>
      </c>
      <c r="L9" s="25"/>
      <c r="M9" s="25"/>
      <c r="N9" s="25"/>
      <c r="O9" s="25"/>
      <c r="P9" s="25"/>
    </row>
    <row r="10" spans="1:16" x14ac:dyDescent="0.3">
      <c r="A10" t="s">
        <v>56</v>
      </c>
      <c r="B10" s="26">
        <v>25</v>
      </c>
      <c r="C10" s="26">
        <v>48</v>
      </c>
      <c r="D10" s="26">
        <f t="shared" si="2"/>
        <v>211</v>
      </c>
      <c r="E10" s="26">
        <f t="shared" si="3"/>
        <v>234</v>
      </c>
      <c r="F10" s="48">
        <f t="shared" si="1"/>
        <v>2.4823529411764707</v>
      </c>
      <c r="G10">
        <v>192408</v>
      </c>
      <c r="H10" s="49">
        <f>(G10-$C$22)/$C$21</f>
        <v>17.325256743607206</v>
      </c>
      <c r="I10" s="25">
        <f t="shared" si="0"/>
        <v>0.83161232369314586</v>
      </c>
      <c r="J10" s="28">
        <f t="shared" si="4"/>
        <v>0.41369416273257298</v>
      </c>
      <c r="K10" s="25">
        <v>0</v>
      </c>
      <c r="L10" s="25"/>
      <c r="M10" s="25"/>
      <c r="N10" s="25"/>
      <c r="O10" s="25"/>
      <c r="P10" s="25"/>
    </row>
    <row r="11" spans="1:16" x14ac:dyDescent="0.3">
      <c r="A11" t="s">
        <v>57</v>
      </c>
      <c r="B11" s="26">
        <v>30</v>
      </c>
      <c r="C11" s="26">
        <v>47</v>
      </c>
      <c r="D11" s="26">
        <f t="shared" si="2"/>
        <v>258</v>
      </c>
      <c r="E11" s="26">
        <f t="shared" si="3"/>
        <v>281</v>
      </c>
      <c r="F11" s="48">
        <f t="shared" si="1"/>
        <v>3.0352941176470587</v>
      </c>
      <c r="G11" t="s">
        <v>51</v>
      </c>
      <c r="H11" s="49">
        <v>0</v>
      </c>
      <c r="I11" s="25">
        <f t="shared" si="0"/>
        <v>0</v>
      </c>
      <c r="J11" s="28">
        <f t="shared" si="4"/>
        <v>0</v>
      </c>
      <c r="K11" s="25">
        <v>0</v>
      </c>
      <c r="L11" s="25"/>
      <c r="M11" s="25"/>
      <c r="N11" s="25"/>
      <c r="O11" s="25"/>
      <c r="P11" s="25"/>
    </row>
    <row r="12" spans="1:16" x14ac:dyDescent="0.3">
      <c r="A12" t="s">
        <v>58</v>
      </c>
      <c r="B12" s="26">
        <v>35</v>
      </c>
      <c r="C12" s="26">
        <v>50</v>
      </c>
      <c r="D12" s="26">
        <f t="shared" si="2"/>
        <v>308</v>
      </c>
      <c r="E12" s="26">
        <f t="shared" si="3"/>
        <v>331</v>
      </c>
      <c r="F12" s="48">
        <f t="shared" si="1"/>
        <v>3.6235294117647059</v>
      </c>
      <c r="G12" t="s">
        <v>51</v>
      </c>
      <c r="H12" s="49">
        <v>0</v>
      </c>
      <c r="I12" s="25">
        <f t="shared" si="0"/>
        <v>0</v>
      </c>
      <c r="J12" s="28">
        <f t="shared" si="4"/>
        <v>0</v>
      </c>
      <c r="K12" s="25">
        <v>0</v>
      </c>
      <c r="L12" s="25"/>
      <c r="M12" s="25"/>
      <c r="N12" s="25"/>
      <c r="O12" s="25"/>
      <c r="P12" s="25"/>
    </row>
    <row r="13" spans="1:16" x14ac:dyDescent="0.3">
      <c r="A13" t="s">
        <v>59</v>
      </c>
      <c r="B13" s="26">
        <v>40</v>
      </c>
      <c r="C13" s="26">
        <v>48</v>
      </c>
      <c r="D13" s="26">
        <f t="shared" si="2"/>
        <v>356</v>
      </c>
      <c r="E13" s="26">
        <f t="shared" si="3"/>
        <v>379</v>
      </c>
      <c r="F13" s="48">
        <f t="shared" si="1"/>
        <v>4.1882352941176473</v>
      </c>
      <c r="G13" t="s">
        <v>51</v>
      </c>
      <c r="H13" s="49">
        <v>0</v>
      </c>
      <c r="I13" s="25">
        <f t="shared" si="0"/>
        <v>0</v>
      </c>
      <c r="J13" s="28">
        <f t="shared" si="4"/>
        <v>0</v>
      </c>
      <c r="K13" s="25">
        <v>0</v>
      </c>
      <c r="L13" s="25"/>
      <c r="M13" s="25"/>
      <c r="N13" s="25"/>
      <c r="O13" s="25"/>
      <c r="P13" s="25"/>
    </row>
    <row r="14" spans="1:16" x14ac:dyDescent="0.3">
      <c r="A14" t="s">
        <v>60</v>
      </c>
      <c r="B14" s="26">
        <v>45</v>
      </c>
      <c r="C14" s="26">
        <v>49</v>
      </c>
      <c r="D14" s="26">
        <f t="shared" si="2"/>
        <v>405</v>
      </c>
      <c r="E14" s="26">
        <f t="shared" si="3"/>
        <v>428</v>
      </c>
      <c r="F14" s="48">
        <f t="shared" si="1"/>
        <v>4.7647058823529411</v>
      </c>
      <c r="G14" t="s">
        <v>51</v>
      </c>
      <c r="H14" s="49">
        <v>0</v>
      </c>
      <c r="I14" s="25">
        <f t="shared" si="0"/>
        <v>0</v>
      </c>
      <c r="J14" s="28">
        <f t="shared" si="4"/>
        <v>0</v>
      </c>
      <c r="K14" s="25">
        <v>0</v>
      </c>
      <c r="L14" s="25"/>
      <c r="M14" s="25"/>
      <c r="N14" s="25"/>
      <c r="O14" s="25"/>
      <c r="P14" s="25"/>
    </row>
    <row r="15" spans="1:16" x14ac:dyDescent="0.3">
      <c r="A15" t="s">
        <v>61</v>
      </c>
      <c r="B15" s="26">
        <v>50</v>
      </c>
      <c r="C15" s="26">
        <v>49</v>
      </c>
      <c r="D15" s="26">
        <f t="shared" si="2"/>
        <v>454</v>
      </c>
      <c r="E15" s="26">
        <f t="shared" si="3"/>
        <v>477</v>
      </c>
      <c r="F15" s="48">
        <f t="shared" si="1"/>
        <v>5.341176470588235</v>
      </c>
      <c r="G15" t="s">
        <v>51</v>
      </c>
      <c r="H15" s="49">
        <v>0</v>
      </c>
      <c r="I15" s="25">
        <f t="shared" si="0"/>
        <v>0</v>
      </c>
      <c r="J15" s="28">
        <f t="shared" si="4"/>
        <v>0</v>
      </c>
      <c r="K15" s="25">
        <v>0</v>
      </c>
      <c r="L15" s="25"/>
      <c r="M15" s="25"/>
      <c r="N15" s="25"/>
      <c r="O15" s="25"/>
      <c r="P15" s="25"/>
    </row>
    <row r="16" spans="1:16" x14ac:dyDescent="0.3">
      <c r="A16" t="s">
        <v>62</v>
      </c>
      <c r="B16" s="26">
        <v>55</v>
      </c>
      <c r="C16" s="26">
        <v>49</v>
      </c>
      <c r="D16" s="26">
        <f t="shared" si="2"/>
        <v>503</v>
      </c>
      <c r="E16" s="26">
        <f t="shared" si="3"/>
        <v>526</v>
      </c>
      <c r="F16" s="48">
        <f t="shared" si="1"/>
        <v>5.9176470588235297</v>
      </c>
      <c r="G16" t="s">
        <v>51</v>
      </c>
      <c r="H16" s="49">
        <v>0</v>
      </c>
      <c r="I16" s="25">
        <f t="shared" si="0"/>
        <v>0</v>
      </c>
      <c r="J16" s="28">
        <f t="shared" si="4"/>
        <v>0</v>
      </c>
      <c r="K16" s="25">
        <v>0</v>
      </c>
      <c r="L16" s="25"/>
      <c r="M16" s="25"/>
      <c r="N16" s="25"/>
      <c r="O16" s="25"/>
      <c r="P16" s="25"/>
    </row>
    <row r="17" spans="1:11" x14ac:dyDescent="0.3">
      <c r="A17" t="s">
        <v>63</v>
      </c>
      <c r="B17" t="s">
        <v>22</v>
      </c>
      <c r="C17" t="s">
        <v>64</v>
      </c>
      <c r="D17" s="26">
        <f>SUM(D5:D16)</f>
        <v>2865</v>
      </c>
      <c r="E17" s="26"/>
      <c r="F17" s="48"/>
      <c r="G17">
        <v>488541</v>
      </c>
      <c r="H17" s="28">
        <f>(G17-$C$22)/$C$21</f>
        <v>41.879384106289372</v>
      </c>
    </row>
    <row r="18" spans="1:11" x14ac:dyDescent="0.3">
      <c r="H18" s="49">
        <v>150</v>
      </c>
    </row>
    <row r="19" spans="1:11" x14ac:dyDescent="0.3">
      <c r="H19" t="s">
        <v>65</v>
      </c>
      <c r="I19" s="25">
        <f>SUM(I5:I16)</f>
        <v>4.8134175870796483</v>
      </c>
      <c r="K19" s="25"/>
    </row>
    <row r="20" spans="1:11" x14ac:dyDescent="0.3">
      <c r="C20" t="s">
        <v>0</v>
      </c>
      <c r="D20" t="s">
        <v>13</v>
      </c>
      <c r="K20" s="25"/>
    </row>
    <row r="21" spans="1:11" x14ac:dyDescent="0.3">
      <c r="B21" t="s">
        <v>25</v>
      </c>
      <c r="C21" s="37">
        <v>12060.416386455199</v>
      </c>
      <c r="D21" s="37">
        <v>19539.85635589093</v>
      </c>
      <c r="E21" s="37"/>
      <c r="K21" s="25"/>
    </row>
    <row r="22" spans="1:11" x14ac:dyDescent="0.3">
      <c r="B22" t="s">
        <v>35</v>
      </c>
      <c r="C22" s="37">
        <v>-16541.81033014378</v>
      </c>
      <c r="D22" s="37">
        <v>-57313.782219035667</v>
      </c>
      <c r="E22" s="37"/>
      <c r="K22" s="25"/>
    </row>
    <row r="23" spans="1:11" x14ac:dyDescent="0.3">
      <c r="G23" s="2" t="s">
        <v>34</v>
      </c>
      <c r="K23" s="25"/>
    </row>
    <row r="24" spans="1:11" x14ac:dyDescent="0.3">
      <c r="B24" s="36"/>
      <c r="C24" s="3" t="s">
        <v>7</v>
      </c>
      <c r="D24" s="36" t="s">
        <v>33</v>
      </c>
      <c r="E24" s="35" t="s">
        <v>32</v>
      </c>
      <c r="F24" s="5" t="s">
        <v>31</v>
      </c>
      <c r="G24" s="6" t="s">
        <v>0</v>
      </c>
      <c r="K24" s="25" t="s">
        <v>49</v>
      </c>
    </row>
    <row r="25" spans="1:11" x14ac:dyDescent="0.3">
      <c r="B25" s="34" t="s">
        <v>30</v>
      </c>
      <c r="C25" s="33">
        <v>488541</v>
      </c>
      <c r="D25" s="32">
        <f>(C25-$C$22)/$C$21</f>
        <v>41.879384106289372</v>
      </c>
      <c r="E25" s="31">
        <v>150</v>
      </c>
      <c r="F25" s="30">
        <f>D25*E25/1000</f>
        <v>6.281907615943406</v>
      </c>
      <c r="G25" s="29">
        <f>I19*100/F25</f>
        <v>76.623501671104677</v>
      </c>
      <c r="K25" s="25"/>
    </row>
    <row r="26" spans="1:11" x14ac:dyDescent="0.3">
      <c r="C26" s="26"/>
      <c r="D26" s="50"/>
      <c r="E26" s="26"/>
      <c r="F26" s="50"/>
      <c r="G26" s="37"/>
    </row>
  </sheetData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9960-1250-48F6-BC98-F1F4394F986B}">
  <dimension ref="A1:H16"/>
  <sheetViews>
    <sheetView workbookViewId="0">
      <selection activeCell="I24" sqref="I24"/>
    </sheetView>
  </sheetViews>
  <sheetFormatPr defaultRowHeight="14.4" x14ac:dyDescent="0.3"/>
  <cols>
    <col min="2" max="2" width="10.88671875" customWidth="1"/>
    <col min="3" max="3" width="11" customWidth="1"/>
  </cols>
  <sheetData>
    <row r="1" spans="1:8" x14ac:dyDescent="0.3">
      <c r="A1" t="s">
        <v>16</v>
      </c>
    </row>
    <row r="2" spans="1:8" x14ac:dyDescent="0.3">
      <c r="D2" s="17" t="s">
        <v>17</v>
      </c>
      <c r="E2" s="17"/>
      <c r="F2" s="17"/>
      <c r="G2" s="18" t="s">
        <v>18</v>
      </c>
      <c r="H2" s="19"/>
    </row>
    <row r="3" spans="1:8" x14ac:dyDescent="0.3">
      <c r="A3" t="s">
        <v>19</v>
      </c>
      <c r="B3" t="s">
        <v>20</v>
      </c>
      <c r="C3" t="s">
        <v>21</v>
      </c>
      <c r="D3" t="s">
        <v>0</v>
      </c>
      <c r="E3" t="s">
        <v>0</v>
      </c>
      <c r="F3" t="s">
        <v>13</v>
      </c>
      <c r="G3" s="6" t="s">
        <v>0</v>
      </c>
      <c r="H3" s="20" t="s">
        <v>13</v>
      </c>
    </row>
    <row r="4" spans="1:8" x14ac:dyDescent="0.3">
      <c r="A4" s="26">
        <v>1</v>
      </c>
      <c r="B4" s="26">
        <v>0</v>
      </c>
      <c r="C4">
        <v>50</v>
      </c>
      <c r="D4">
        <v>218707</v>
      </c>
      <c r="E4">
        <f>D4-$D$4</f>
        <v>0</v>
      </c>
      <c r="F4">
        <v>0</v>
      </c>
      <c r="G4" s="21">
        <f>E4/$D$16</f>
        <v>0</v>
      </c>
      <c r="H4" s="22">
        <f>F4/$F$16</f>
        <v>0</v>
      </c>
    </row>
    <row r="5" spans="1:8" x14ac:dyDescent="0.3">
      <c r="A5" s="26">
        <v>2</v>
      </c>
      <c r="B5" s="26">
        <v>5</v>
      </c>
      <c r="C5">
        <v>45</v>
      </c>
      <c r="D5">
        <v>490898</v>
      </c>
      <c r="E5">
        <v>0</v>
      </c>
      <c r="F5">
        <v>0</v>
      </c>
      <c r="G5" s="21">
        <v>0</v>
      </c>
      <c r="H5" s="22">
        <f t="shared" ref="H5:H15" si="0">F5/$F$16</f>
        <v>0</v>
      </c>
    </row>
    <row r="6" spans="1:8" x14ac:dyDescent="0.3">
      <c r="A6" s="26">
        <v>3</v>
      </c>
      <c r="B6" s="26">
        <v>10</v>
      </c>
      <c r="C6">
        <v>49</v>
      </c>
      <c r="D6">
        <v>622249</v>
      </c>
      <c r="E6">
        <f>D6-$D$4</f>
        <v>403542</v>
      </c>
      <c r="F6">
        <v>0</v>
      </c>
      <c r="G6" s="21">
        <f t="shared" ref="G6:G15" si="1">E6/$D$16</f>
        <v>0.77750761049670536</v>
      </c>
      <c r="H6" s="22">
        <f t="shared" si="0"/>
        <v>0</v>
      </c>
    </row>
    <row r="7" spans="1:8" x14ac:dyDescent="0.3">
      <c r="A7" s="26">
        <v>4</v>
      </c>
      <c r="B7" s="26">
        <v>15</v>
      </c>
      <c r="C7">
        <v>49</v>
      </c>
      <c r="D7">
        <v>709931</v>
      </c>
      <c r="E7">
        <f t="shared" ref="E7:E9" si="2">D7-$D$4</f>
        <v>491224</v>
      </c>
      <c r="F7">
        <v>0</v>
      </c>
      <c r="G7" s="21">
        <f t="shared" si="1"/>
        <v>0.94644522369080186</v>
      </c>
      <c r="H7" s="22">
        <f t="shared" si="0"/>
        <v>0</v>
      </c>
    </row>
    <row r="8" spans="1:8" x14ac:dyDescent="0.3">
      <c r="A8" s="26">
        <v>5</v>
      </c>
      <c r="B8" s="26">
        <v>20</v>
      </c>
      <c r="C8">
        <v>49</v>
      </c>
      <c r="D8">
        <v>682052</v>
      </c>
      <c r="E8">
        <f t="shared" si="2"/>
        <v>463345</v>
      </c>
      <c r="F8">
        <v>0</v>
      </c>
      <c r="G8" s="21">
        <f t="shared" si="1"/>
        <v>0.89273053061539054</v>
      </c>
      <c r="H8" s="22">
        <f t="shared" si="0"/>
        <v>0</v>
      </c>
    </row>
    <row r="9" spans="1:8" x14ac:dyDescent="0.3">
      <c r="A9" s="26">
        <v>6</v>
      </c>
      <c r="B9" s="26">
        <v>25</v>
      </c>
      <c r="C9">
        <v>51</v>
      </c>
      <c r="D9">
        <v>375989</v>
      </c>
      <c r="E9">
        <f t="shared" si="2"/>
        <v>157282</v>
      </c>
      <c r="F9">
        <v>0</v>
      </c>
      <c r="G9" s="21">
        <f>D9/$D$16</f>
        <v>0.72442102423798693</v>
      </c>
      <c r="H9" s="22">
        <f t="shared" si="0"/>
        <v>0</v>
      </c>
    </row>
    <row r="10" spans="1:8" x14ac:dyDescent="0.3">
      <c r="A10" s="26">
        <v>7</v>
      </c>
      <c r="B10" s="26">
        <v>30</v>
      </c>
      <c r="C10">
        <v>50</v>
      </c>
      <c r="D10">
        <v>164061</v>
      </c>
      <c r="E10">
        <v>0</v>
      </c>
      <c r="F10">
        <v>0</v>
      </c>
      <c r="G10" s="21">
        <f t="shared" si="1"/>
        <v>0</v>
      </c>
      <c r="H10" s="22">
        <f t="shared" si="0"/>
        <v>0</v>
      </c>
    </row>
    <row r="11" spans="1:8" x14ac:dyDescent="0.3">
      <c r="A11" s="26">
        <v>8</v>
      </c>
      <c r="B11" s="26">
        <v>35</v>
      </c>
      <c r="C11">
        <v>51</v>
      </c>
      <c r="D11">
        <v>126631</v>
      </c>
      <c r="E11">
        <v>0</v>
      </c>
      <c r="F11">
        <v>0</v>
      </c>
      <c r="G11" s="21">
        <f t="shared" si="1"/>
        <v>0</v>
      </c>
      <c r="H11" s="22">
        <f t="shared" si="0"/>
        <v>0</v>
      </c>
    </row>
    <row r="12" spans="1:8" x14ac:dyDescent="0.3">
      <c r="A12" s="26">
        <v>9</v>
      </c>
      <c r="B12" s="26">
        <v>40</v>
      </c>
      <c r="C12">
        <v>48</v>
      </c>
      <c r="D12">
        <v>111717</v>
      </c>
      <c r="E12">
        <f t="shared" ref="E12:E15" si="3">D12-0</f>
        <v>111717</v>
      </c>
      <c r="F12">
        <v>0</v>
      </c>
      <c r="G12" s="21">
        <f t="shared" si="1"/>
        <v>0.21524604061500521</v>
      </c>
      <c r="H12" s="22">
        <f t="shared" si="0"/>
        <v>0</v>
      </c>
    </row>
    <row r="13" spans="1:8" x14ac:dyDescent="0.3">
      <c r="A13" s="26">
        <v>10</v>
      </c>
      <c r="B13" s="26">
        <v>45</v>
      </c>
      <c r="C13">
        <v>50</v>
      </c>
      <c r="D13">
        <v>99473</v>
      </c>
      <c r="E13">
        <f t="shared" si="3"/>
        <v>99473</v>
      </c>
      <c r="F13">
        <v>2230</v>
      </c>
      <c r="G13" s="21">
        <f t="shared" si="1"/>
        <v>0.19165542753651113</v>
      </c>
      <c r="H13" s="22">
        <f t="shared" si="0"/>
        <v>2.6866466433181409E-3</v>
      </c>
    </row>
    <row r="14" spans="1:8" x14ac:dyDescent="0.3">
      <c r="A14" s="26">
        <v>11</v>
      </c>
      <c r="B14" s="26">
        <v>50</v>
      </c>
      <c r="C14">
        <v>49</v>
      </c>
      <c r="D14">
        <v>91484</v>
      </c>
      <c r="E14">
        <f t="shared" si="3"/>
        <v>91484</v>
      </c>
      <c r="F14">
        <v>3596</v>
      </c>
      <c r="G14" s="21">
        <f t="shared" si="1"/>
        <v>0.17626295711147932</v>
      </c>
      <c r="H14" s="22">
        <f t="shared" si="0"/>
        <v>4.3323683091354417E-3</v>
      </c>
    </row>
    <row r="15" spans="1:8" x14ac:dyDescent="0.3">
      <c r="A15" s="26">
        <v>12</v>
      </c>
      <c r="B15" s="26">
        <v>55</v>
      </c>
      <c r="C15">
        <v>51</v>
      </c>
      <c r="D15">
        <v>82232</v>
      </c>
      <c r="E15">
        <f t="shared" si="3"/>
        <v>82232</v>
      </c>
      <c r="F15">
        <v>5977</v>
      </c>
      <c r="G15" s="21">
        <f t="shared" si="1"/>
        <v>0.15843705444876882</v>
      </c>
      <c r="H15" s="24">
        <f t="shared" si="0"/>
        <v>7.2009358686603272E-3</v>
      </c>
    </row>
    <row r="16" spans="1:8" x14ac:dyDescent="0.3">
      <c r="A16" t="s">
        <v>23</v>
      </c>
      <c r="D16">
        <v>519020</v>
      </c>
      <c r="F16">
        <v>830031</v>
      </c>
      <c r="G16" s="25">
        <f t="shared" ref="G16" si="4">D16/$D$16</f>
        <v>1</v>
      </c>
      <c r="H16" s="25"/>
    </row>
  </sheetData>
  <mergeCells count="2">
    <mergeCell ref="D2:F2"/>
    <mergeCell ref="G2:H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2ED12-B71A-4953-AC0D-AFA6B7526793}">
  <dimension ref="A1:H25"/>
  <sheetViews>
    <sheetView workbookViewId="0">
      <selection activeCell="D29" sqref="D29"/>
    </sheetView>
  </sheetViews>
  <sheetFormatPr defaultRowHeight="14.4" x14ac:dyDescent="0.3"/>
  <cols>
    <col min="2" max="2" width="10.88671875" customWidth="1"/>
    <col min="3" max="3" width="11" customWidth="1"/>
  </cols>
  <sheetData>
    <row r="1" spans="1:8" x14ac:dyDescent="0.3">
      <c r="A1" t="s">
        <v>36</v>
      </c>
    </row>
    <row r="2" spans="1:8" x14ac:dyDescent="0.3">
      <c r="D2" s="17" t="s">
        <v>28</v>
      </c>
      <c r="E2" s="17"/>
      <c r="F2" s="17" t="s">
        <v>18</v>
      </c>
      <c r="G2" s="17"/>
      <c r="H2" t="s">
        <v>24</v>
      </c>
    </row>
    <row r="3" spans="1:8" x14ac:dyDescent="0.3">
      <c r="A3" t="s">
        <v>19</v>
      </c>
      <c r="B3" t="s">
        <v>20</v>
      </c>
      <c r="C3" t="s">
        <v>21</v>
      </c>
      <c r="D3" t="s">
        <v>0</v>
      </c>
      <c r="E3" t="s">
        <v>13</v>
      </c>
      <c r="F3" t="s">
        <v>0</v>
      </c>
      <c r="G3" t="s">
        <v>13</v>
      </c>
    </row>
    <row r="4" spans="1:8" x14ac:dyDescent="0.3">
      <c r="A4" s="26">
        <v>1</v>
      </c>
      <c r="B4" s="26">
        <v>0</v>
      </c>
      <c r="C4">
        <v>46</v>
      </c>
      <c r="D4">
        <v>0</v>
      </c>
      <c r="E4">
        <v>12606</v>
      </c>
      <c r="F4" s="28">
        <f>D4/$D$16</f>
        <v>0</v>
      </c>
      <c r="G4" s="28">
        <f>E4/$E$16</f>
        <v>1.5336382117530266E-2</v>
      </c>
    </row>
    <row r="5" spans="1:8" x14ac:dyDescent="0.3">
      <c r="A5" s="26">
        <v>2</v>
      </c>
      <c r="B5" s="26">
        <v>5</v>
      </c>
      <c r="C5">
        <v>47</v>
      </c>
      <c r="D5">
        <v>0</v>
      </c>
      <c r="E5">
        <v>13107</v>
      </c>
      <c r="F5" s="28">
        <f>D5/$D$16</f>
        <v>0</v>
      </c>
      <c r="G5" s="28">
        <f>E5/$E$16</f>
        <v>1.5945895638146058E-2</v>
      </c>
    </row>
    <row r="6" spans="1:8" x14ac:dyDescent="0.3">
      <c r="A6" s="26">
        <v>3</v>
      </c>
      <c r="B6" s="26">
        <v>10</v>
      </c>
      <c r="C6">
        <v>48</v>
      </c>
      <c r="D6">
        <v>303376</v>
      </c>
      <c r="E6">
        <v>12552</v>
      </c>
      <c r="F6" s="28">
        <f>D6/$D$16</f>
        <v>0.58471525159778281</v>
      </c>
      <c r="G6" s="28">
        <f>E6/$E$16</f>
        <v>1.527068604943994E-2</v>
      </c>
    </row>
    <row r="7" spans="1:8" x14ac:dyDescent="0.3">
      <c r="A7" s="26">
        <v>4</v>
      </c>
      <c r="B7" s="26">
        <v>15</v>
      </c>
      <c r="C7">
        <v>47</v>
      </c>
      <c r="D7">
        <v>476779</v>
      </c>
      <c r="E7">
        <v>17044</v>
      </c>
      <c r="F7" s="28">
        <f>D7/$D$16</f>
        <v>0.91892553445737057</v>
      </c>
      <c r="G7" s="28">
        <f>E7/$E$16</f>
        <v>2.0735625639472146E-2</v>
      </c>
    </row>
    <row r="8" spans="1:8" x14ac:dyDescent="0.3">
      <c r="A8" s="26">
        <v>5</v>
      </c>
      <c r="B8" s="26">
        <v>20</v>
      </c>
      <c r="C8">
        <v>49</v>
      </c>
      <c r="D8">
        <v>526560</v>
      </c>
      <c r="E8">
        <v>15241</v>
      </c>
      <c r="F8" s="28">
        <f>D8/$D$16</f>
        <v>1.0148715220759996</v>
      </c>
      <c r="G8" s="28">
        <f>E8/$E$16</f>
        <v>1.8542106921567412E-2</v>
      </c>
    </row>
    <row r="9" spans="1:8" x14ac:dyDescent="0.3">
      <c r="A9" s="26">
        <v>6</v>
      </c>
      <c r="B9" s="26">
        <v>25</v>
      </c>
      <c r="C9">
        <v>46</v>
      </c>
      <c r="D9">
        <v>312889</v>
      </c>
      <c r="E9">
        <v>29914</v>
      </c>
      <c r="F9" s="28">
        <f>D9/$D$16</f>
        <v>0.60305024246208883</v>
      </c>
      <c r="G9" s="28">
        <f>E9/$E$16</f>
        <v>3.6393188534332883E-2</v>
      </c>
    </row>
    <row r="10" spans="1:8" x14ac:dyDescent="0.3">
      <c r="A10" s="26">
        <v>7</v>
      </c>
      <c r="B10" s="26">
        <v>30</v>
      </c>
      <c r="C10">
        <v>51</v>
      </c>
      <c r="D10">
        <v>115759</v>
      </c>
      <c r="E10">
        <v>48461</v>
      </c>
      <c r="F10" s="28">
        <f>D10/$D$16</f>
        <v>0.22310945101032295</v>
      </c>
      <c r="G10" s="28">
        <f>E10/$E$16</f>
        <v>5.8957354735652404E-2</v>
      </c>
    </row>
    <row r="11" spans="1:8" x14ac:dyDescent="0.3">
      <c r="A11" s="26">
        <v>8</v>
      </c>
      <c r="B11" s="26">
        <v>35</v>
      </c>
      <c r="C11">
        <v>49</v>
      </c>
      <c r="D11">
        <v>53307</v>
      </c>
      <c r="E11">
        <v>65714</v>
      </c>
      <c r="F11" s="28">
        <f>D11/$D$16</f>
        <v>0.10274186460670259</v>
      </c>
      <c r="G11" s="28">
        <f>E11/$E$16</f>
        <v>7.9947248490511172E-2</v>
      </c>
    </row>
    <row r="12" spans="1:8" x14ac:dyDescent="0.3">
      <c r="A12" s="26">
        <v>9</v>
      </c>
      <c r="B12" s="26">
        <v>40</v>
      </c>
      <c r="C12">
        <v>49</v>
      </c>
      <c r="D12">
        <v>43017</v>
      </c>
      <c r="E12">
        <v>76593</v>
      </c>
      <c r="F12" s="28">
        <f>D12/$D$16</f>
        <v>8.2909313782177307E-2</v>
      </c>
      <c r="G12" s="28">
        <f>E12/$E$16</f>
        <v>9.3182573023004575E-2</v>
      </c>
    </row>
    <row r="13" spans="1:8" x14ac:dyDescent="0.3">
      <c r="A13" s="26">
        <v>10</v>
      </c>
      <c r="B13" s="26">
        <v>45</v>
      </c>
      <c r="C13">
        <v>49</v>
      </c>
      <c r="D13">
        <v>0</v>
      </c>
      <c r="E13">
        <v>81957</v>
      </c>
      <c r="F13" s="28">
        <f>D13/$D$16</f>
        <v>0</v>
      </c>
      <c r="G13" s="28">
        <f>E13/$E$16</f>
        <v>9.9708382453310165E-2</v>
      </c>
    </row>
    <row r="14" spans="1:8" x14ac:dyDescent="0.3">
      <c r="A14" s="26">
        <v>11</v>
      </c>
      <c r="B14" s="26">
        <v>50</v>
      </c>
      <c r="C14">
        <v>48</v>
      </c>
      <c r="D14">
        <v>0</v>
      </c>
      <c r="E14">
        <v>84789</v>
      </c>
      <c r="F14" s="28">
        <f>D14/$D$16</f>
        <v>0</v>
      </c>
      <c r="G14" s="28">
        <f>E14/$E$16</f>
        <v>0.10315377624649165</v>
      </c>
    </row>
    <row r="15" spans="1:8" x14ac:dyDescent="0.3">
      <c r="A15" s="26">
        <v>12</v>
      </c>
      <c r="B15" s="26">
        <v>55</v>
      </c>
      <c r="C15">
        <v>49</v>
      </c>
      <c r="D15">
        <v>0</v>
      </c>
      <c r="E15">
        <v>85364</v>
      </c>
      <c r="F15" s="28">
        <f>D15/$D$16</f>
        <v>0</v>
      </c>
      <c r="G15" s="28">
        <f>E15/$E$16</f>
        <v>0.10385331771226826</v>
      </c>
    </row>
    <row r="16" spans="1:8" x14ac:dyDescent="0.3">
      <c r="A16" t="s">
        <v>23</v>
      </c>
      <c r="D16">
        <v>518844</v>
      </c>
      <c r="E16">
        <v>821967</v>
      </c>
      <c r="F16" s="28">
        <f>D16/$D$16</f>
        <v>1</v>
      </c>
      <c r="G16" s="28">
        <f>E16/$E$16</f>
        <v>1</v>
      </c>
    </row>
    <row r="17" spans="2:7" x14ac:dyDescent="0.3">
      <c r="B17" t="s">
        <v>29</v>
      </c>
      <c r="C17" s="12">
        <f>AVERAGE(C5:C15)</f>
        <v>48.363636363636367</v>
      </c>
      <c r="F17" s="28">
        <f>SUM(F4:F15)</f>
        <v>3.5303231799924446</v>
      </c>
    </row>
    <row r="20" spans="2:7" x14ac:dyDescent="0.3">
      <c r="C20" t="s">
        <v>0</v>
      </c>
      <c r="D20" t="s">
        <v>13</v>
      </c>
    </row>
    <row r="21" spans="2:7" x14ac:dyDescent="0.3">
      <c r="B21" t="s">
        <v>25</v>
      </c>
      <c r="C21" s="37">
        <v>11851.056920123381</v>
      </c>
      <c r="D21" s="37">
        <v>19171.586874663797</v>
      </c>
      <c r="E21" s="37"/>
    </row>
    <row r="22" spans="2:7" x14ac:dyDescent="0.3">
      <c r="B22" t="s">
        <v>35</v>
      </c>
      <c r="C22" s="37">
        <v>914.1110508229176</v>
      </c>
      <c r="D22" s="37">
        <v>-4179.8076923076878</v>
      </c>
      <c r="E22" s="37"/>
    </row>
    <row r="23" spans="2:7" x14ac:dyDescent="0.3">
      <c r="G23" s="2" t="s">
        <v>34</v>
      </c>
    </row>
    <row r="24" spans="2:7" x14ac:dyDescent="0.3">
      <c r="B24" s="36"/>
      <c r="C24" s="3" t="s">
        <v>7</v>
      </c>
      <c r="D24" s="36" t="s">
        <v>33</v>
      </c>
      <c r="E24" s="35" t="s">
        <v>32</v>
      </c>
      <c r="F24" s="5" t="s">
        <v>31</v>
      </c>
      <c r="G24" s="6" t="s">
        <v>0</v>
      </c>
    </row>
    <row r="25" spans="2:7" x14ac:dyDescent="0.3">
      <c r="B25" s="34" t="s">
        <v>30</v>
      </c>
      <c r="C25" s="33">
        <v>518844</v>
      </c>
      <c r="D25" s="32">
        <f>(C25-$C$22)/$C$21</f>
        <v>43.703265661455028</v>
      </c>
      <c r="E25" s="31">
        <v>150</v>
      </c>
      <c r="F25" s="30">
        <f>D25*E25/1000</f>
        <v>6.5554898492182536</v>
      </c>
      <c r="G25" s="29">
        <f>I19*100/F25</f>
        <v>0</v>
      </c>
    </row>
  </sheetData>
  <mergeCells count="2">
    <mergeCell ref="D2:E2"/>
    <mergeCell ref="F2:G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7DA77-866B-4A39-A7E6-15AFDA05CDFA}">
  <dimension ref="A2:G20"/>
  <sheetViews>
    <sheetView workbookViewId="0">
      <selection activeCell="T18" sqref="T18"/>
    </sheetView>
  </sheetViews>
  <sheetFormatPr defaultRowHeight="14.4" x14ac:dyDescent="0.3"/>
  <cols>
    <col min="2" max="2" width="9.88671875" customWidth="1"/>
  </cols>
  <sheetData>
    <row r="2" spans="1:7" ht="15.6" x14ac:dyDescent="0.3">
      <c r="A2" s="42" t="s">
        <v>0</v>
      </c>
      <c r="B2" t="s">
        <v>44</v>
      </c>
      <c r="F2" s="41">
        <v>43754</v>
      </c>
      <c r="G2" s="41">
        <v>43874</v>
      </c>
    </row>
    <row r="3" spans="1:7" x14ac:dyDescent="0.3">
      <c r="A3" t="s">
        <v>19</v>
      </c>
      <c r="B3" t="s">
        <v>33</v>
      </c>
      <c r="C3" t="s">
        <v>7</v>
      </c>
      <c r="E3" t="s">
        <v>25</v>
      </c>
      <c r="F3">
        <v>11483.925333123078</v>
      </c>
      <c r="G3">
        <f>SLOPE(C5:C9,B5:B9)</f>
        <v>12327.272118537552</v>
      </c>
    </row>
    <row r="4" spans="1:7" x14ac:dyDescent="0.3">
      <c r="A4" t="s">
        <v>10</v>
      </c>
      <c r="B4" s="12">
        <v>0</v>
      </c>
      <c r="C4">
        <v>0</v>
      </c>
      <c r="E4" t="s">
        <v>35</v>
      </c>
      <c r="F4">
        <v>-2886.7321769297123</v>
      </c>
      <c r="G4">
        <f>INTERCEPT(C5:C9,B5:B9)</f>
        <v>-5023.9872506504762</v>
      </c>
    </row>
    <row r="5" spans="1:7" x14ac:dyDescent="0.3">
      <c r="A5">
        <v>1</v>
      </c>
      <c r="B5" s="12">
        <v>4.7872000000000003</v>
      </c>
      <c r="C5">
        <v>57863</v>
      </c>
      <c r="E5" t="s">
        <v>41</v>
      </c>
      <c r="F5">
        <v>0.9798</v>
      </c>
      <c r="G5">
        <v>0.99790000000000001</v>
      </c>
    </row>
    <row r="6" spans="1:7" x14ac:dyDescent="0.3">
      <c r="A6">
        <v>2</v>
      </c>
      <c r="B6" s="12">
        <v>10.172800000000001</v>
      </c>
      <c r="C6">
        <v>115427</v>
      </c>
    </row>
    <row r="7" spans="1:7" x14ac:dyDescent="0.3">
      <c r="A7">
        <v>3</v>
      </c>
      <c r="B7" s="12">
        <v>19.747199999999999</v>
      </c>
      <c r="C7">
        <v>232673</v>
      </c>
      <c r="E7" t="s">
        <v>40</v>
      </c>
      <c r="F7" t="s">
        <v>43</v>
      </c>
      <c r="G7" t="s">
        <v>37</v>
      </c>
    </row>
    <row r="8" spans="1:7" x14ac:dyDescent="0.3">
      <c r="A8">
        <v>4</v>
      </c>
      <c r="B8" s="12">
        <v>29.92</v>
      </c>
      <c r="C8">
        <v>376392</v>
      </c>
      <c r="E8">
        <v>240000</v>
      </c>
      <c r="F8" s="25">
        <f>(E8-F4)/F3</f>
        <v>21.150149024077308</v>
      </c>
      <c r="G8" s="25">
        <f>(E8-G4)/G3</f>
        <v>19.876578118380902</v>
      </c>
    </row>
    <row r="9" spans="1:7" x14ac:dyDescent="0.3">
      <c r="A9">
        <v>5</v>
      </c>
      <c r="B9" s="12">
        <v>40.092799999999997</v>
      </c>
      <c r="C9">
        <v>483437</v>
      </c>
    </row>
    <row r="13" spans="1:7" x14ac:dyDescent="0.3">
      <c r="A13" s="15" t="s">
        <v>13</v>
      </c>
      <c r="B13" t="s">
        <v>42</v>
      </c>
      <c r="F13" s="41">
        <v>43754</v>
      </c>
      <c r="G13" s="41">
        <v>43874</v>
      </c>
    </row>
    <row r="14" spans="1:7" x14ac:dyDescent="0.3">
      <c r="A14" t="s">
        <v>19</v>
      </c>
      <c r="B14" t="s">
        <v>33</v>
      </c>
      <c r="C14" t="s">
        <v>28</v>
      </c>
      <c r="E14" t="s">
        <v>25</v>
      </c>
      <c r="F14" s="12">
        <v>20062.057593189067</v>
      </c>
      <c r="G14">
        <f>SLOPE(C17:C21,B17:B21)</f>
        <v>19845.283784781168</v>
      </c>
    </row>
    <row r="15" spans="1:7" x14ac:dyDescent="0.3">
      <c r="A15" t="s">
        <v>10</v>
      </c>
      <c r="B15" s="12">
        <v>0</v>
      </c>
      <c r="C15">
        <v>0</v>
      </c>
      <c r="E15" t="s">
        <v>35</v>
      </c>
      <c r="F15" s="12">
        <v>173.05480687349336</v>
      </c>
      <c r="G15">
        <f>INTERCEPT(C17:C21,B17:B21)</f>
        <v>-8885.693851944874</v>
      </c>
    </row>
    <row r="16" spans="1:7" x14ac:dyDescent="0.3">
      <c r="A16">
        <v>1</v>
      </c>
      <c r="B16" s="12">
        <v>4.7872000000000003</v>
      </c>
      <c r="C16">
        <v>94681</v>
      </c>
      <c r="E16" t="s">
        <v>41</v>
      </c>
      <c r="F16">
        <v>0.99</v>
      </c>
      <c r="G16">
        <v>0.99929999999999997</v>
      </c>
    </row>
    <row r="17" spans="1:7" x14ac:dyDescent="0.3">
      <c r="A17">
        <v>2</v>
      </c>
      <c r="B17" s="12">
        <v>10.172800000000001</v>
      </c>
      <c r="C17">
        <v>193105</v>
      </c>
    </row>
    <row r="18" spans="1:7" x14ac:dyDescent="0.3">
      <c r="A18">
        <v>3</v>
      </c>
      <c r="B18" s="12">
        <v>19.747199999999999</v>
      </c>
      <c r="C18">
        <v>389753</v>
      </c>
      <c r="E18" t="s">
        <v>40</v>
      </c>
      <c r="F18" t="s">
        <v>39</v>
      </c>
      <c r="G18" t="s">
        <v>38</v>
      </c>
    </row>
    <row r="19" spans="1:7" x14ac:dyDescent="0.3">
      <c r="A19">
        <v>4</v>
      </c>
      <c r="B19" s="12">
        <v>29.92</v>
      </c>
      <c r="C19">
        <v>571066</v>
      </c>
      <c r="E19">
        <v>240000</v>
      </c>
      <c r="F19" s="25">
        <f>(E19-F15)/F14</f>
        <v>11.954254646071105</v>
      </c>
      <c r="G19" s="25">
        <f>(E19-G15)/G14</f>
        <v>12.541301830251923</v>
      </c>
    </row>
    <row r="20" spans="1:7" x14ac:dyDescent="0.3">
      <c r="A20">
        <v>5</v>
      </c>
      <c r="B20" s="12">
        <v>40.092799999999997</v>
      </c>
      <c r="C20">
        <v>793728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EAB41-BEAF-4F29-984B-55DB7EE16C4C}">
  <dimension ref="A2:H20"/>
  <sheetViews>
    <sheetView workbookViewId="0">
      <selection activeCell="S21" sqref="S21"/>
    </sheetView>
  </sheetViews>
  <sheetFormatPr defaultRowHeight="14.4" x14ac:dyDescent="0.3"/>
  <sheetData>
    <row r="2" spans="1:8" ht="15.6" x14ac:dyDescent="0.3">
      <c r="A2" s="42"/>
      <c r="B2" t="s">
        <v>44</v>
      </c>
      <c r="F2" s="41">
        <v>43754</v>
      </c>
      <c r="G2" s="41">
        <v>43874</v>
      </c>
      <c r="H2" s="40">
        <v>43878</v>
      </c>
    </row>
    <row r="3" spans="1:8" x14ac:dyDescent="0.3">
      <c r="A3" t="s">
        <v>19</v>
      </c>
      <c r="B3" t="s">
        <v>33</v>
      </c>
      <c r="C3" t="s">
        <v>7</v>
      </c>
      <c r="E3" t="s">
        <v>25</v>
      </c>
      <c r="F3">
        <v>11483.925333123078</v>
      </c>
      <c r="G3">
        <v>12327.272118537552</v>
      </c>
      <c r="H3" s="39">
        <f>SLOPE(C5:C9,B5:B9)</f>
        <v>12060.416386455236</v>
      </c>
    </row>
    <row r="4" spans="1:8" x14ac:dyDescent="0.3">
      <c r="A4" t="s">
        <v>10</v>
      </c>
      <c r="B4" s="12">
        <v>0</v>
      </c>
      <c r="C4">
        <v>0</v>
      </c>
      <c r="E4" t="s">
        <v>35</v>
      </c>
      <c r="F4">
        <v>-2886.7321769297123</v>
      </c>
      <c r="G4">
        <v>-5023.9872506504762</v>
      </c>
      <c r="H4" s="39">
        <f>INTERCEPT(C4:C9,B4:B9)</f>
        <v>-16541.81033014378</v>
      </c>
    </row>
    <row r="5" spans="1:8" x14ac:dyDescent="0.3">
      <c r="A5">
        <v>1</v>
      </c>
      <c r="B5" s="12">
        <v>4.7872000000000003</v>
      </c>
      <c r="C5">
        <v>31277</v>
      </c>
      <c r="E5" t="s">
        <v>41</v>
      </c>
      <c r="F5">
        <v>0.9798</v>
      </c>
      <c r="G5">
        <v>0.99790000000000001</v>
      </c>
      <c r="H5" s="38">
        <v>0.99150000000000005</v>
      </c>
    </row>
    <row r="6" spans="1:8" x14ac:dyDescent="0.3">
      <c r="A6">
        <v>2</v>
      </c>
      <c r="B6" s="12">
        <v>10.172800000000001</v>
      </c>
      <c r="C6">
        <v>98630</v>
      </c>
    </row>
    <row r="7" spans="1:8" x14ac:dyDescent="0.3">
      <c r="A7">
        <v>3</v>
      </c>
      <c r="B7" s="12">
        <v>19.747199999999999</v>
      </c>
      <c r="C7">
        <v>188813</v>
      </c>
      <c r="E7" t="s">
        <v>40</v>
      </c>
      <c r="F7" t="s">
        <v>43</v>
      </c>
      <c r="G7" t="s">
        <v>37</v>
      </c>
    </row>
    <row r="8" spans="1:8" x14ac:dyDescent="0.3">
      <c r="A8">
        <v>4</v>
      </c>
      <c r="B8" s="12">
        <v>29.92</v>
      </c>
      <c r="C8">
        <v>352597</v>
      </c>
      <c r="E8">
        <v>240000</v>
      </c>
      <c r="F8" s="25">
        <f>(E8-F4)/F3</f>
        <v>21.150149024077308</v>
      </c>
      <c r="G8" s="25">
        <f>(E8-G4)/G3</f>
        <v>19.876578118380902</v>
      </c>
      <c r="H8" s="25">
        <f>(E8-H4)/H3</f>
        <v>21.271389155208581</v>
      </c>
    </row>
    <row r="9" spans="1:8" x14ac:dyDescent="0.3">
      <c r="A9">
        <v>5</v>
      </c>
      <c r="B9" s="12">
        <v>40.092799999999997</v>
      </c>
      <c r="C9">
        <v>448462</v>
      </c>
    </row>
    <row r="13" spans="1:8" x14ac:dyDescent="0.3">
      <c r="A13" s="15" t="s">
        <v>13</v>
      </c>
      <c r="B13" t="s">
        <v>42</v>
      </c>
      <c r="F13" s="41">
        <v>43754</v>
      </c>
      <c r="G13" s="41">
        <v>43874</v>
      </c>
      <c r="H13" s="40">
        <v>43878</v>
      </c>
    </row>
    <row r="14" spans="1:8" x14ac:dyDescent="0.3">
      <c r="A14" t="s">
        <v>19</v>
      </c>
      <c r="B14" t="s">
        <v>33</v>
      </c>
      <c r="C14" t="s">
        <v>28</v>
      </c>
      <c r="E14" t="s">
        <v>25</v>
      </c>
      <c r="F14" s="12">
        <v>20062.057593189067</v>
      </c>
      <c r="G14">
        <v>19845.283784781168</v>
      </c>
      <c r="H14" s="39">
        <f>SLOPE(C16:C20,B16:B20)</f>
        <v>19539.85635589093</v>
      </c>
    </row>
    <row r="15" spans="1:8" x14ac:dyDescent="0.3">
      <c r="A15" t="s">
        <v>10</v>
      </c>
      <c r="B15" s="12">
        <v>0</v>
      </c>
      <c r="C15">
        <v>0</v>
      </c>
      <c r="E15" t="s">
        <v>35</v>
      </c>
      <c r="F15" s="12">
        <v>173.05480687349336</v>
      </c>
      <c r="G15">
        <v>-8885.693851944874</v>
      </c>
      <c r="H15" s="39">
        <f>INTERCEPT(C17:C21,B17:B21)</f>
        <v>-57313.782219035667</v>
      </c>
    </row>
    <row r="16" spans="1:8" x14ac:dyDescent="0.3">
      <c r="A16">
        <v>1</v>
      </c>
      <c r="B16" s="12">
        <v>4.7872000000000003</v>
      </c>
      <c r="C16">
        <v>75234</v>
      </c>
      <c r="E16" t="s">
        <v>41</v>
      </c>
      <c r="F16">
        <v>0.99</v>
      </c>
      <c r="G16">
        <v>0.99929999999999997</v>
      </c>
      <c r="H16" s="38">
        <v>0.98470000000000002</v>
      </c>
    </row>
    <row r="17" spans="1:8" x14ac:dyDescent="0.3">
      <c r="A17">
        <v>2</v>
      </c>
      <c r="B17" s="12">
        <v>10.172800000000001</v>
      </c>
      <c r="C17">
        <v>186922</v>
      </c>
    </row>
    <row r="18" spans="1:8" x14ac:dyDescent="0.3">
      <c r="A18">
        <v>3</v>
      </c>
      <c r="B18" s="12">
        <v>19.747199999999999</v>
      </c>
      <c r="C18">
        <v>302260</v>
      </c>
      <c r="E18" t="s">
        <v>40</v>
      </c>
      <c r="F18" t="s">
        <v>39</v>
      </c>
      <c r="G18" t="s">
        <v>38</v>
      </c>
      <c r="H18" t="s">
        <v>37</v>
      </c>
    </row>
    <row r="19" spans="1:8" x14ac:dyDescent="0.3">
      <c r="A19">
        <v>4</v>
      </c>
      <c r="B19" s="12">
        <v>29.92</v>
      </c>
      <c r="C19">
        <v>515499</v>
      </c>
      <c r="E19">
        <v>240000</v>
      </c>
      <c r="F19" s="25">
        <f>(E19-F15)/F14</f>
        <v>11.954254646071105</v>
      </c>
      <c r="G19" s="25">
        <f>(E19-G15)/G14</f>
        <v>12.541301830251923</v>
      </c>
      <c r="H19" s="25">
        <f>(E19-H15)/H14</f>
        <v>15.215760894240182</v>
      </c>
    </row>
    <row r="20" spans="1:8" x14ac:dyDescent="0.3">
      <c r="A20">
        <v>5</v>
      </c>
      <c r="B20" s="12">
        <v>40.092799999999997</v>
      </c>
      <c r="C20">
        <v>788475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947CD-0305-46C4-AA6A-00484B4D643A}">
  <dimension ref="A2:J19"/>
  <sheetViews>
    <sheetView workbookViewId="0">
      <selection activeCell="F26" sqref="F26"/>
    </sheetView>
  </sheetViews>
  <sheetFormatPr defaultRowHeight="14.4" x14ac:dyDescent="0.3"/>
  <cols>
    <col min="6" max="6" width="10.109375" customWidth="1"/>
    <col min="7" max="7" width="12.109375" customWidth="1"/>
  </cols>
  <sheetData>
    <row r="2" spans="1:10" x14ac:dyDescent="0.3">
      <c r="A2" s="1" t="s">
        <v>0</v>
      </c>
    </row>
    <row r="3" spans="1:10" x14ac:dyDescent="0.3">
      <c r="A3" t="s">
        <v>1</v>
      </c>
    </row>
    <row r="4" spans="1:10" x14ac:dyDescent="0.3">
      <c r="A4" s="2"/>
      <c r="B4" s="3" t="s">
        <v>2</v>
      </c>
      <c r="C4" s="4">
        <v>1407.3</v>
      </c>
      <c r="E4" s="5" t="s">
        <v>3</v>
      </c>
      <c r="F4" s="3" t="s">
        <v>4</v>
      </c>
      <c r="G4" s="3" t="s">
        <v>5</v>
      </c>
      <c r="H4" s="3" t="s">
        <v>6</v>
      </c>
      <c r="I4" s="4" t="s">
        <v>7</v>
      </c>
      <c r="J4" t="s">
        <v>8</v>
      </c>
    </row>
    <row r="5" spans="1:10" x14ac:dyDescent="0.3">
      <c r="A5" s="6">
        <v>1</v>
      </c>
      <c r="B5" t="s">
        <v>9</v>
      </c>
      <c r="C5" s="7">
        <v>1</v>
      </c>
      <c r="E5" s="8" t="s">
        <v>10</v>
      </c>
      <c r="H5">
        <v>0</v>
      </c>
      <c r="I5" s="7">
        <v>0</v>
      </c>
      <c r="J5">
        <v>0</v>
      </c>
    </row>
    <row r="6" spans="1:10" x14ac:dyDescent="0.3">
      <c r="A6" s="9"/>
      <c r="B6" s="10" t="s">
        <v>6</v>
      </c>
      <c r="C6" s="11">
        <f>C4/C5</f>
        <v>1407.3</v>
      </c>
      <c r="E6" s="8">
        <v>1</v>
      </c>
      <c r="F6">
        <v>20</v>
      </c>
      <c r="G6">
        <v>0.65</v>
      </c>
      <c r="H6" s="12">
        <f>$C$9*G6/F6</f>
        <v>6.4032150000000012</v>
      </c>
      <c r="I6" s="7">
        <v>78823</v>
      </c>
      <c r="J6">
        <v>80839</v>
      </c>
    </row>
    <row r="7" spans="1:10" x14ac:dyDescent="0.3">
      <c r="A7" s="2"/>
      <c r="B7" s="3" t="s">
        <v>11</v>
      </c>
      <c r="C7" s="4">
        <v>7</v>
      </c>
      <c r="E7" s="8">
        <v>2</v>
      </c>
      <c r="F7">
        <v>20</v>
      </c>
      <c r="G7">
        <v>1</v>
      </c>
      <c r="H7" s="12">
        <f t="shared" ref="H7:H10" si="0">$C$9*G7/F7</f>
        <v>9.8511000000000006</v>
      </c>
      <c r="I7" s="7">
        <v>116771</v>
      </c>
      <c r="J7">
        <v>118008</v>
      </c>
    </row>
    <row r="8" spans="1:10" x14ac:dyDescent="0.3">
      <c r="A8" s="6">
        <v>2</v>
      </c>
      <c r="B8" t="s">
        <v>12</v>
      </c>
      <c r="C8" s="7">
        <v>50</v>
      </c>
      <c r="E8" s="8">
        <v>3</v>
      </c>
      <c r="F8">
        <v>20</v>
      </c>
      <c r="G8">
        <v>2</v>
      </c>
      <c r="H8" s="12">
        <f t="shared" si="0"/>
        <v>19.702200000000001</v>
      </c>
      <c r="I8" s="7">
        <v>229114</v>
      </c>
      <c r="J8">
        <v>231447</v>
      </c>
    </row>
    <row r="9" spans="1:10" x14ac:dyDescent="0.3">
      <c r="A9" s="9"/>
      <c r="B9" s="10" t="s">
        <v>6</v>
      </c>
      <c r="C9" s="11">
        <f>C6*C7/C8</f>
        <v>197.02200000000002</v>
      </c>
      <c r="E9" s="8">
        <v>4</v>
      </c>
      <c r="F9">
        <v>20</v>
      </c>
      <c r="G9">
        <v>3</v>
      </c>
      <c r="H9" s="12">
        <f t="shared" si="0"/>
        <v>29.5533</v>
      </c>
      <c r="I9" s="7">
        <v>339639</v>
      </c>
      <c r="J9">
        <v>347241</v>
      </c>
    </row>
    <row r="10" spans="1:10" x14ac:dyDescent="0.3">
      <c r="E10" s="13">
        <v>5</v>
      </c>
      <c r="F10" s="10">
        <v>20</v>
      </c>
      <c r="G10" s="10">
        <v>4</v>
      </c>
      <c r="H10" s="14">
        <f t="shared" si="0"/>
        <v>39.404400000000003</v>
      </c>
      <c r="I10" s="11">
        <v>454994</v>
      </c>
      <c r="J10">
        <v>464254</v>
      </c>
    </row>
    <row r="12" spans="1:10" x14ac:dyDescent="0.3">
      <c r="A12" s="15" t="s">
        <v>13</v>
      </c>
      <c r="E12" s="16"/>
    </row>
    <row r="13" spans="1:10" x14ac:dyDescent="0.3">
      <c r="A13" t="s">
        <v>14</v>
      </c>
      <c r="B13" t="s">
        <v>2</v>
      </c>
      <c r="C13">
        <v>200.2</v>
      </c>
      <c r="E13" s="5" t="s">
        <v>3</v>
      </c>
      <c r="F13" s="3" t="s">
        <v>4</v>
      </c>
      <c r="G13" s="3" t="s">
        <v>5</v>
      </c>
      <c r="H13" s="3" t="s">
        <v>6</v>
      </c>
      <c r="I13" s="4"/>
      <c r="J13" t="s">
        <v>15</v>
      </c>
    </row>
    <row r="14" spans="1:10" x14ac:dyDescent="0.3">
      <c r="B14" t="s">
        <v>9</v>
      </c>
      <c r="C14">
        <v>1</v>
      </c>
      <c r="E14" s="8" t="s">
        <v>10</v>
      </c>
      <c r="H14">
        <v>0</v>
      </c>
      <c r="I14" s="7">
        <v>0</v>
      </c>
      <c r="J14">
        <v>0</v>
      </c>
    </row>
    <row r="15" spans="1:10" x14ac:dyDescent="0.3">
      <c r="B15" t="s">
        <v>6</v>
      </c>
      <c r="C15">
        <f>C13/C14</f>
        <v>200.2</v>
      </c>
      <c r="E15" s="8">
        <v>1</v>
      </c>
      <c r="F15">
        <v>20</v>
      </c>
      <c r="G15">
        <v>0.5</v>
      </c>
      <c r="H15" s="12">
        <f>$C$15*G15/F15</f>
        <v>5.0049999999999999</v>
      </c>
      <c r="I15" s="7">
        <v>60780</v>
      </c>
      <c r="J15">
        <v>91171</v>
      </c>
    </row>
    <row r="16" spans="1:10" x14ac:dyDescent="0.3">
      <c r="E16" s="8">
        <v>2</v>
      </c>
      <c r="F16">
        <v>20</v>
      </c>
      <c r="G16">
        <v>1</v>
      </c>
      <c r="H16" s="12">
        <f t="shared" ref="H16:H19" si="1">$C$15*G16/F16</f>
        <v>10.01</v>
      </c>
      <c r="I16" s="7">
        <v>150525</v>
      </c>
      <c r="J16">
        <v>183542</v>
      </c>
    </row>
    <row r="17" spans="5:10" x14ac:dyDescent="0.3">
      <c r="E17" s="8">
        <v>3</v>
      </c>
      <c r="F17">
        <v>20</v>
      </c>
      <c r="G17">
        <v>2</v>
      </c>
      <c r="H17" s="12">
        <f t="shared" si="1"/>
        <v>20.02</v>
      </c>
      <c r="I17" s="7">
        <v>352869</v>
      </c>
      <c r="J17">
        <v>362291</v>
      </c>
    </row>
    <row r="18" spans="5:10" x14ac:dyDescent="0.3">
      <c r="E18" s="8">
        <v>4</v>
      </c>
      <c r="F18">
        <v>20</v>
      </c>
      <c r="G18">
        <v>2.5</v>
      </c>
      <c r="H18" s="12">
        <f t="shared" si="1"/>
        <v>25.024999999999999</v>
      </c>
      <c r="I18" s="7">
        <v>456655</v>
      </c>
      <c r="J18">
        <v>470465</v>
      </c>
    </row>
    <row r="19" spans="5:10" x14ac:dyDescent="0.3">
      <c r="E19" s="13">
        <v>5</v>
      </c>
      <c r="F19" s="10">
        <v>20</v>
      </c>
      <c r="G19" s="10">
        <v>4</v>
      </c>
      <c r="H19" s="14">
        <f t="shared" si="1"/>
        <v>40.04</v>
      </c>
      <c r="I19" s="11">
        <v>737242</v>
      </c>
      <c r="J19">
        <v>748627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D5B7D-09B5-4463-B285-AC441185A766}">
  <dimension ref="A2:J19"/>
  <sheetViews>
    <sheetView workbookViewId="0">
      <selection activeCell="J14" sqref="J14"/>
    </sheetView>
  </sheetViews>
  <sheetFormatPr defaultRowHeight="14.4" x14ac:dyDescent="0.3"/>
  <cols>
    <col min="6" max="6" width="10.109375" customWidth="1"/>
    <col min="7" max="7" width="12.109375" customWidth="1"/>
  </cols>
  <sheetData>
    <row r="2" spans="1:10" x14ac:dyDescent="0.3">
      <c r="A2" s="1" t="s">
        <v>0</v>
      </c>
    </row>
    <row r="3" spans="1:10" x14ac:dyDescent="0.3">
      <c r="A3" t="s">
        <v>1</v>
      </c>
    </row>
    <row r="4" spans="1:10" x14ac:dyDescent="0.3">
      <c r="A4" s="2"/>
      <c r="B4" s="3" t="s">
        <v>2</v>
      </c>
      <c r="C4" s="4">
        <v>1407.3</v>
      </c>
      <c r="E4" s="5" t="s">
        <v>3</v>
      </c>
      <c r="F4" s="3" t="s">
        <v>4</v>
      </c>
      <c r="G4" s="3" t="s">
        <v>5</v>
      </c>
      <c r="H4" s="3" t="s">
        <v>6</v>
      </c>
      <c r="I4" s="4" t="s">
        <v>7</v>
      </c>
      <c r="J4" t="s">
        <v>8</v>
      </c>
    </row>
    <row r="5" spans="1:10" x14ac:dyDescent="0.3">
      <c r="A5" s="6">
        <v>1</v>
      </c>
      <c r="B5" t="s">
        <v>9</v>
      </c>
      <c r="C5" s="7">
        <v>1</v>
      </c>
      <c r="E5" s="8" t="s">
        <v>10</v>
      </c>
      <c r="H5">
        <v>0</v>
      </c>
      <c r="I5" s="7">
        <v>0</v>
      </c>
      <c r="J5">
        <v>0</v>
      </c>
    </row>
    <row r="6" spans="1:10" x14ac:dyDescent="0.3">
      <c r="A6" s="9"/>
      <c r="B6" s="10" t="s">
        <v>6</v>
      </c>
      <c r="C6" s="11">
        <f>C4/C5</f>
        <v>1407.3</v>
      </c>
      <c r="E6" s="8">
        <v>1</v>
      </c>
      <c r="F6">
        <v>20</v>
      </c>
      <c r="G6">
        <v>0.65</v>
      </c>
      <c r="H6" s="12">
        <f>$C$9*G6/F6</f>
        <v>6.4032150000000012</v>
      </c>
      <c r="I6" s="7">
        <v>78823</v>
      </c>
      <c r="J6">
        <v>80839</v>
      </c>
    </row>
    <row r="7" spans="1:10" x14ac:dyDescent="0.3">
      <c r="A7" s="2"/>
      <c r="B7" s="3" t="s">
        <v>11</v>
      </c>
      <c r="C7" s="4">
        <v>7</v>
      </c>
      <c r="E7" s="8">
        <v>2</v>
      </c>
      <c r="F7">
        <v>20</v>
      </c>
      <c r="G7">
        <v>1</v>
      </c>
      <c r="H7" s="12">
        <f t="shared" ref="H7:H10" si="0">$C$9*G7/F7</f>
        <v>9.8511000000000006</v>
      </c>
      <c r="I7" s="7">
        <v>116771</v>
      </c>
      <c r="J7">
        <v>118008</v>
      </c>
    </row>
    <row r="8" spans="1:10" x14ac:dyDescent="0.3">
      <c r="A8" s="6">
        <v>2</v>
      </c>
      <c r="B8" t="s">
        <v>12</v>
      </c>
      <c r="C8" s="7">
        <v>50</v>
      </c>
      <c r="E8" s="8">
        <v>3</v>
      </c>
      <c r="F8">
        <v>20</v>
      </c>
      <c r="G8">
        <v>2</v>
      </c>
      <c r="H8" s="12">
        <f t="shared" si="0"/>
        <v>19.702200000000001</v>
      </c>
      <c r="I8" s="7">
        <v>229114</v>
      </c>
      <c r="J8">
        <v>231447</v>
      </c>
    </row>
    <row r="9" spans="1:10" x14ac:dyDescent="0.3">
      <c r="A9" s="9"/>
      <c r="B9" s="10" t="s">
        <v>6</v>
      </c>
      <c r="C9" s="11">
        <f>C6*C7/C8</f>
        <v>197.02200000000002</v>
      </c>
      <c r="E9" s="8">
        <v>4</v>
      </c>
      <c r="F9">
        <v>20</v>
      </c>
      <c r="G9">
        <v>3</v>
      </c>
      <c r="H9" s="12">
        <f t="shared" si="0"/>
        <v>29.5533</v>
      </c>
      <c r="I9" s="7">
        <v>339639</v>
      </c>
      <c r="J9">
        <v>347241</v>
      </c>
    </row>
    <row r="10" spans="1:10" x14ac:dyDescent="0.3">
      <c r="E10" s="13">
        <v>5</v>
      </c>
      <c r="F10" s="10">
        <v>20</v>
      </c>
      <c r="G10" s="10">
        <v>4</v>
      </c>
      <c r="H10" s="14">
        <f t="shared" si="0"/>
        <v>39.404400000000003</v>
      </c>
      <c r="I10" s="11">
        <v>454994</v>
      </c>
      <c r="J10">
        <v>464254</v>
      </c>
    </row>
    <row r="12" spans="1:10" x14ac:dyDescent="0.3">
      <c r="A12" s="15" t="s">
        <v>13</v>
      </c>
      <c r="E12" s="16"/>
    </row>
    <row r="13" spans="1:10" x14ac:dyDescent="0.3">
      <c r="A13" t="s">
        <v>14</v>
      </c>
      <c r="B13" t="s">
        <v>2</v>
      </c>
      <c r="C13">
        <v>200.2</v>
      </c>
      <c r="E13" s="5" t="s">
        <v>3</v>
      </c>
      <c r="F13" s="3" t="s">
        <v>4</v>
      </c>
      <c r="G13" s="3" t="s">
        <v>5</v>
      </c>
      <c r="H13" s="3" t="s">
        <v>6</v>
      </c>
      <c r="I13" s="4"/>
      <c r="J13" t="s">
        <v>15</v>
      </c>
    </row>
    <row r="14" spans="1:10" x14ac:dyDescent="0.3">
      <c r="B14" t="s">
        <v>9</v>
      </c>
      <c r="C14">
        <v>1</v>
      </c>
      <c r="E14" s="8" t="s">
        <v>10</v>
      </c>
      <c r="H14">
        <v>0</v>
      </c>
      <c r="I14" s="7">
        <v>0</v>
      </c>
      <c r="J14">
        <v>0</v>
      </c>
    </row>
    <row r="15" spans="1:10" x14ac:dyDescent="0.3">
      <c r="B15" t="s">
        <v>6</v>
      </c>
      <c r="C15">
        <f>C13/C14</f>
        <v>200.2</v>
      </c>
      <c r="E15" s="8">
        <v>1</v>
      </c>
      <c r="F15">
        <v>20</v>
      </c>
      <c r="G15">
        <v>0.5</v>
      </c>
      <c r="H15" s="12">
        <f>$C$15*G15/F15</f>
        <v>5.0049999999999999</v>
      </c>
      <c r="I15" s="7">
        <v>60780</v>
      </c>
      <c r="J15">
        <v>91171</v>
      </c>
    </row>
    <row r="16" spans="1:10" x14ac:dyDescent="0.3">
      <c r="E16" s="8">
        <v>2</v>
      </c>
      <c r="F16">
        <v>20</v>
      </c>
      <c r="G16">
        <v>1</v>
      </c>
      <c r="H16" s="12">
        <f t="shared" ref="H16:H19" si="1">$C$15*G16/F16</f>
        <v>10.01</v>
      </c>
      <c r="I16" s="7">
        <v>150525</v>
      </c>
      <c r="J16">
        <v>183542</v>
      </c>
    </row>
    <row r="17" spans="5:10" x14ac:dyDescent="0.3">
      <c r="E17" s="8">
        <v>3</v>
      </c>
      <c r="F17">
        <v>20</v>
      </c>
      <c r="G17">
        <v>2</v>
      </c>
      <c r="H17" s="12">
        <f t="shared" si="1"/>
        <v>20.02</v>
      </c>
      <c r="I17" s="7">
        <v>352869</v>
      </c>
      <c r="J17">
        <v>362291</v>
      </c>
    </row>
    <row r="18" spans="5:10" x14ac:dyDescent="0.3">
      <c r="E18" s="8">
        <v>4</v>
      </c>
      <c r="F18">
        <v>20</v>
      </c>
      <c r="G18">
        <v>2.5</v>
      </c>
      <c r="H18" s="12">
        <f t="shared" si="1"/>
        <v>25.024999999999999</v>
      </c>
      <c r="I18" s="7">
        <v>456655</v>
      </c>
      <c r="J18">
        <v>470465</v>
      </c>
    </row>
    <row r="19" spans="5:10" x14ac:dyDescent="0.3">
      <c r="E19" s="13">
        <v>5</v>
      </c>
      <c r="F19" s="10">
        <v>20</v>
      </c>
      <c r="G19" s="10">
        <v>4</v>
      </c>
      <c r="H19" s="14">
        <f t="shared" si="1"/>
        <v>40.04</v>
      </c>
      <c r="I19" s="11">
        <v>737242</v>
      </c>
      <c r="J19">
        <v>748627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53CF9-842F-471C-A614-18B8860DA4AF}">
  <dimension ref="A1:N26"/>
  <sheetViews>
    <sheetView workbookViewId="0">
      <selection activeCell="H25" sqref="H25:H26"/>
    </sheetView>
  </sheetViews>
  <sheetFormatPr defaultRowHeight="14.4" x14ac:dyDescent="0.3"/>
  <cols>
    <col min="2" max="2" width="11.21875" customWidth="1"/>
    <col min="4" max="4" width="10.33203125" customWidth="1"/>
    <col min="5" max="5" width="10.5546875" customWidth="1"/>
  </cols>
  <sheetData>
    <row r="1" spans="1:14" x14ac:dyDescent="0.3">
      <c r="F1" t="s">
        <v>45</v>
      </c>
      <c r="G1">
        <v>71</v>
      </c>
    </row>
    <row r="3" spans="1:14" x14ac:dyDescent="0.3">
      <c r="G3" s="51" t="s">
        <v>7</v>
      </c>
      <c r="H3" s="52"/>
      <c r="I3" s="51" t="s">
        <v>37</v>
      </c>
      <c r="J3" s="52"/>
      <c r="K3" s="51" t="s">
        <v>66</v>
      </c>
      <c r="L3" s="52"/>
      <c r="M3" s="53" t="s">
        <v>18</v>
      </c>
      <c r="N3" s="54"/>
    </row>
    <row r="4" spans="1:14" x14ac:dyDescent="0.3">
      <c r="A4" s="26" t="s">
        <v>19</v>
      </c>
      <c r="B4" s="26" t="s">
        <v>46</v>
      </c>
      <c r="C4" s="26" t="s">
        <v>32</v>
      </c>
      <c r="D4" s="26" t="s">
        <v>47</v>
      </c>
      <c r="E4" s="26" t="s">
        <v>48</v>
      </c>
      <c r="F4" s="47" t="s">
        <v>45</v>
      </c>
      <c r="G4" s="26" t="s">
        <v>0</v>
      </c>
      <c r="H4" s="26" t="s">
        <v>13</v>
      </c>
      <c r="I4" s="26" t="s">
        <v>0</v>
      </c>
      <c r="J4" s="26" t="s">
        <v>13</v>
      </c>
      <c r="K4" s="26" t="s">
        <v>0</v>
      </c>
      <c r="L4" s="26" t="s">
        <v>13</v>
      </c>
      <c r="M4" s="26" t="s">
        <v>0</v>
      </c>
      <c r="N4" s="26" t="s">
        <v>13</v>
      </c>
    </row>
    <row r="5" spans="1:14" x14ac:dyDescent="0.3">
      <c r="A5" t="s">
        <v>67</v>
      </c>
      <c r="B5" s="26">
        <v>0</v>
      </c>
      <c r="C5" s="26">
        <v>0</v>
      </c>
      <c r="D5" s="26">
        <f>C5</f>
        <v>0</v>
      </c>
      <c r="E5" s="26">
        <v>0</v>
      </c>
      <c r="F5" s="48">
        <f>D5/$G$1</f>
        <v>0</v>
      </c>
      <c r="G5">
        <v>0</v>
      </c>
      <c r="H5" s="26">
        <v>0</v>
      </c>
      <c r="I5" s="49">
        <v>0</v>
      </c>
      <c r="J5" s="49">
        <v>0</v>
      </c>
      <c r="K5" s="25">
        <f>I5*C5/1000</f>
        <v>0</v>
      </c>
      <c r="L5" s="25">
        <f>J5*C5/1000</f>
        <v>0</v>
      </c>
      <c r="M5" s="28">
        <f t="shared" ref="M5:M16" si="0">I5/$I$17</f>
        <v>0</v>
      </c>
      <c r="N5" s="25">
        <f t="shared" ref="N5:N16" si="1">J5/$J$17</f>
        <v>0</v>
      </c>
    </row>
    <row r="6" spans="1:14" x14ac:dyDescent="0.3">
      <c r="A6" t="s">
        <v>68</v>
      </c>
      <c r="B6" s="26">
        <v>5</v>
      </c>
      <c r="C6" s="26">
        <v>51</v>
      </c>
      <c r="D6" s="26">
        <f>C6/2</f>
        <v>25.5</v>
      </c>
      <c r="E6" s="26">
        <v>50</v>
      </c>
      <c r="F6" s="48">
        <f t="shared" ref="F6:F17" si="2">D6/$G$1</f>
        <v>0.35915492957746481</v>
      </c>
      <c r="G6">
        <v>0</v>
      </c>
      <c r="H6" s="26">
        <v>0</v>
      </c>
      <c r="I6" s="49">
        <v>0</v>
      </c>
      <c r="J6" s="49">
        <v>0</v>
      </c>
      <c r="K6" s="25">
        <f t="shared" ref="K6:K16" si="3">I6*C6/1000</f>
        <v>0</v>
      </c>
      <c r="L6" s="25">
        <f>J6*C6/1000</f>
        <v>0</v>
      </c>
      <c r="M6" s="28">
        <f t="shared" si="0"/>
        <v>0</v>
      </c>
      <c r="N6" s="25">
        <f t="shared" si="1"/>
        <v>0</v>
      </c>
    </row>
    <row r="7" spans="1:14" x14ac:dyDescent="0.3">
      <c r="A7" t="s">
        <v>69</v>
      </c>
      <c r="B7" s="26">
        <v>10</v>
      </c>
      <c r="C7" s="26">
        <v>51</v>
      </c>
      <c r="D7" s="26">
        <f t="shared" ref="D7:D16" si="4">D6+C7</f>
        <v>76.5</v>
      </c>
      <c r="E7" s="26">
        <v>100</v>
      </c>
      <c r="F7" s="48">
        <f t="shared" si="2"/>
        <v>1.0774647887323943</v>
      </c>
      <c r="G7">
        <v>647357</v>
      </c>
      <c r="H7" s="26">
        <v>137765</v>
      </c>
      <c r="I7" s="49">
        <f t="shared" ref="I7:I16" si="5">(G7-$C$22)/$C$21</f>
        <v>52.921764115972628</v>
      </c>
      <c r="J7" s="49">
        <f t="shared" ref="J7:J15" si="6">(H7-$D$22)/$D$21</f>
        <v>7.3897000134816651</v>
      </c>
      <c r="K7" s="25">
        <f t="shared" si="3"/>
        <v>2.699009969914604</v>
      </c>
      <c r="L7" s="25">
        <f>J7*C7/1000</f>
        <v>0.37687470068756496</v>
      </c>
      <c r="M7" s="28">
        <f t="shared" si="0"/>
        <v>0.56513832991369917</v>
      </c>
      <c r="N7" s="25">
        <f t="shared" si="1"/>
        <v>0.41916163049805449</v>
      </c>
    </row>
    <row r="8" spans="1:14" x14ac:dyDescent="0.3">
      <c r="A8" t="s">
        <v>70</v>
      </c>
      <c r="B8" s="26">
        <v>15</v>
      </c>
      <c r="C8" s="26">
        <v>52</v>
      </c>
      <c r="D8" s="26">
        <f t="shared" si="4"/>
        <v>128.5</v>
      </c>
      <c r="E8" s="26">
        <v>150</v>
      </c>
      <c r="F8" s="48">
        <f t="shared" si="2"/>
        <v>1.8098591549295775</v>
      </c>
      <c r="G8">
        <v>1149657</v>
      </c>
      <c r="H8" s="26">
        <v>273934</v>
      </c>
      <c r="I8" s="49">
        <f t="shared" si="5"/>
        <v>93.668816275602452</v>
      </c>
      <c r="J8" s="49">
        <f t="shared" si="6"/>
        <v>14.2512295071755</v>
      </c>
      <c r="K8" s="25">
        <f t="shared" si="3"/>
        <v>4.8707784463313271</v>
      </c>
      <c r="L8" s="25">
        <f>J8*C8/1000</f>
        <v>0.74106393437312601</v>
      </c>
      <c r="M8" s="28">
        <f t="shared" si="0"/>
        <v>1.0002659450086286</v>
      </c>
      <c r="N8" s="25">
        <f t="shared" si="1"/>
        <v>0.80836415360996705</v>
      </c>
    </row>
    <row r="9" spans="1:14" x14ac:dyDescent="0.3">
      <c r="A9" t="s">
        <v>71</v>
      </c>
      <c r="B9" s="26">
        <v>20</v>
      </c>
      <c r="C9" s="26">
        <v>52</v>
      </c>
      <c r="D9" s="26">
        <f t="shared" si="4"/>
        <v>180.5</v>
      </c>
      <c r="E9" s="26">
        <v>200</v>
      </c>
      <c r="F9" s="48">
        <f t="shared" si="2"/>
        <v>2.5422535211267605</v>
      </c>
      <c r="G9">
        <v>1153319</v>
      </c>
      <c r="H9" s="26">
        <v>296432</v>
      </c>
      <c r="I9" s="49">
        <f t="shared" si="5"/>
        <v>93.965881187027023</v>
      </c>
      <c r="J9" s="49">
        <f>(H9-$D$22)/$D$21</f>
        <v>15.384899362642779</v>
      </c>
      <c r="K9" s="25">
        <f t="shared" si="3"/>
        <v>4.8862258217254046</v>
      </c>
      <c r="L9" s="25">
        <f t="shared" ref="L9:L15" si="7">J9*C9/1000</f>
        <v>0.80001476685742456</v>
      </c>
      <c r="M9" s="28">
        <f t="shared" si="0"/>
        <v>1.0034382271636706</v>
      </c>
      <c r="N9" s="25">
        <f t="shared" si="1"/>
        <v>0.87266864556461021</v>
      </c>
    </row>
    <row r="10" spans="1:14" x14ac:dyDescent="0.3">
      <c r="A10" t="s">
        <v>72</v>
      </c>
      <c r="B10" s="26">
        <v>25</v>
      </c>
      <c r="C10" s="26">
        <v>52</v>
      </c>
      <c r="D10" s="26">
        <f t="shared" si="4"/>
        <v>232.5</v>
      </c>
      <c r="E10" s="26">
        <v>250</v>
      </c>
      <c r="F10" s="48">
        <f t="shared" si="2"/>
        <v>3.2746478873239435</v>
      </c>
      <c r="G10">
        <v>489645</v>
      </c>
      <c r="H10" s="26">
        <v>167724</v>
      </c>
      <c r="I10" s="49">
        <f t="shared" si="5"/>
        <v>40.128017171518039</v>
      </c>
      <c r="J10" s="49">
        <f t="shared" si="6"/>
        <v>8.8993282115412349</v>
      </c>
      <c r="K10" s="25">
        <f t="shared" si="3"/>
        <v>2.086656892918938</v>
      </c>
      <c r="L10" s="25">
        <f t="shared" si="7"/>
        <v>0.46276506700014419</v>
      </c>
      <c r="M10" s="28">
        <f t="shared" si="0"/>
        <v>0.42851709473183269</v>
      </c>
      <c r="N10" s="25">
        <f t="shared" si="1"/>
        <v>0.50479138756397834</v>
      </c>
    </row>
    <row r="11" spans="1:14" x14ac:dyDescent="0.3">
      <c r="A11" t="s">
        <v>73</v>
      </c>
      <c r="B11" s="26">
        <v>30</v>
      </c>
      <c r="C11" s="26">
        <v>52</v>
      </c>
      <c r="D11" s="26">
        <f t="shared" si="4"/>
        <v>284.5</v>
      </c>
      <c r="E11" s="26">
        <v>300</v>
      </c>
      <c r="F11" s="48">
        <f t="shared" si="2"/>
        <v>4.007042253521127</v>
      </c>
      <c r="G11">
        <v>5481</v>
      </c>
      <c r="H11" s="26">
        <v>32904</v>
      </c>
      <c r="I11" s="49">
        <f t="shared" si="5"/>
        <v>0.85217452406629746</v>
      </c>
      <c r="J11" s="49">
        <f t="shared" si="6"/>
        <v>2.1057745661461542</v>
      </c>
      <c r="K11" s="25">
        <f t="shared" si="3"/>
        <v>4.4313075251447467E-2</v>
      </c>
      <c r="L11" s="25">
        <f t="shared" si="7"/>
        <v>0.10950027743960002</v>
      </c>
      <c r="M11" s="28">
        <f t="shared" si="0"/>
        <v>9.100159364877923E-3</v>
      </c>
      <c r="N11" s="25">
        <f t="shared" si="1"/>
        <v>0.11944461872563744</v>
      </c>
    </row>
    <row r="12" spans="1:14" x14ac:dyDescent="0.3">
      <c r="A12" t="s">
        <v>74</v>
      </c>
      <c r="B12" s="26">
        <v>35</v>
      </c>
      <c r="C12" s="26">
        <v>52</v>
      </c>
      <c r="D12" s="26">
        <f t="shared" si="4"/>
        <v>336.5</v>
      </c>
      <c r="E12" s="26">
        <v>350</v>
      </c>
      <c r="F12" s="48">
        <f t="shared" si="2"/>
        <v>4.73943661971831</v>
      </c>
      <c r="G12">
        <v>1929</v>
      </c>
      <c r="H12" s="26">
        <v>19672</v>
      </c>
      <c r="I12" s="49">
        <f t="shared" si="5"/>
        <v>0.56403291691717317</v>
      </c>
      <c r="J12" s="49">
        <f t="shared" si="6"/>
        <v>1.439016653107527</v>
      </c>
      <c r="K12" s="25">
        <f t="shared" si="3"/>
        <v>2.9329711679693005E-2</v>
      </c>
      <c r="L12" s="25">
        <f t="shared" si="7"/>
        <v>7.4828865961591398E-2</v>
      </c>
      <c r="M12" s="28">
        <f t="shared" si="0"/>
        <v>6.0231669523412136E-3</v>
      </c>
      <c r="N12" s="25">
        <f t="shared" si="1"/>
        <v>8.1624499713110157E-2</v>
      </c>
    </row>
    <row r="13" spans="1:14" x14ac:dyDescent="0.3">
      <c r="A13" t="s">
        <v>75</v>
      </c>
      <c r="B13" s="26">
        <v>40</v>
      </c>
      <c r="C13" s="26">
        <v>54</v>
      </c>
      <c r="D13" s="26">
        <f t="shared" si="4"/>
        <v>390.5</v>
      </c>
      <c r="E13" s="26">
        <v>400</v>
      </c>
      <c r="F13" s="48">
        <f t="shared" si="2"/>
        <v>5.5</v>
      </c>
      <c r="G13">
        <v>1195</v>
      </c>
      <c r="H13" s="26">
        <v>13816</v>
      </c>
      <c r="I13" s="49">
        <f t="shared" si="5"/>
        <v>0.50449014111552415</v>
      </c>
      <c r="J13" s="49">
        <f t="shared" si="6"/>
        <v>1.1439339491508915</v>
      </c>
      <c r="K13" s="25">
        <f t="shared" si="3"/>
        <v>2.7242467620238305E-2</v>
      </c>
      <c r="L13" s="25">
        <f t="shared" si="7"/>
        <v>6.1772433254148142E-2</v>
      </c>
      <c r="M13" s="28">
        <f t="shared" si="0"/>
        <v>5.3873244887145399E-3</v>
      </c>
      <c r="N13" s="25">
        <f t="shared" si="1"/>
        <v>6.4886696135619246E-2</v>
      </c>
    </row>
    <row r="14" spans="1:14" x14ac:dyDescent="0.3">
      <c r="A14" t="s">
        <v>76</v>
      </c>
      <c r="B14" s="26">
        <v>45</v>
      </c>
      <c r="C14" s="26">
        <v>53</v>
      </c>
      <c r="D14" s="26">
        <f t="shared" si="4"/>
        <v>443.5</v>
      </c>
      <c r="E14" s="26">
        <v>450</v>
      </c>
      <c r="F14" s="48">
        <f t="shared" si="2"/>
        <v>6.246478873239437</v>
      </c>
      <c r="G14">
        <v>1320</v>
      </c>
      <c r="H14" s="26">
        <v>1736</v>
      </c>
      <c r="I14" s="49">
        <f t="shared" si="5"/>
        <v>0.51463025961035536</v>
      </c>
      <c r="J14" s="49">
        <f t="shared" si="6"/>
        <v>0.53522509262832385</v>
      </c>
      <c r="K14" s="25">
        <f t="shared" si="3"/>
        <v>2.7275403759348834E-2</v>
      </c>
      <c r="L14" s="25">
        <f t="shared" si="7"/>
        <v>2.8366929909301165E-2</v>
      </c>
      <c r="M14" s="28">
        <f t="shared" si="0"/>
        <v>5.4956082870160853E-3</v>
      </c>
      <c r="N14" s="25">
        <f t="shared" si="1"/>
        <v>3.0359259794073792E-2</v>
      </c>
    </row>
    <row r="15" spans="1:14" x14ac:dyDescent="0.3">
      <c r="A15" t="s">
        <v>77</v>
      </c>
      <c r="B15" s="26">
        <v>50</v>
      </c>
      <c r="C15" s="26">
        <v>52</v>
      </c>
      <c r="D15" s="26">
        <f t="shared" si="4"/>
        <v>495.5</v>
      </c>
      <c r="E15" s="26">
        <v>500</v>
      </c>
      <c r="F15" s="48">
        <f t="shared" si="2"/>
        <v>6.97887323943662</v>
      </c>
      <c r="G15">
        <v>841</v>
      </c>
      <c r="H15" s="26">
        <v>9162</v>
      </c>
      <c r="I15" s="49">
        <f t="shared" si="5"/>
        <v>0.4757733255381621</v>
      </c>
      <c r="J15" s="49">
        <f t="shared" si="6"/>
        <v>0.90941979201049172</v>
      </c>
      <c r="K15" s="25">
        <f t="shared" si="3"/>
        <v>2.474021292798443E-2</v>
      </c>
      <c r="L15" s="25">
        <f t="shared" si="7"/>
        <v>4.7289829184545565E-2</v>
      </c>
      <c r="M15" s="28">
        <f t="shared" si="0"/>
        <v>5.0806647719245637E-3</v>
      </c>
      <c r="N15" s="25">
        <f t="shared" si="1"/>
        <v>5.1584486803371521E-2</v>
      </c>
    </row>
    <row r="16" spans="1:14" x14ac:dyDescent="0.3">
      <c r="A16" t="s">
        <v>78</v>
      </c>
      <c r="B16" s="26">
        <v>55</v>
      </c>
      <c r="C16" s="26">
        <v>52</v>
      </c>
      <c r="D16" s="26">
        <f t="shared" si="4"/>
        <v>547.5</v>
      </c>
      <c r="E16" s="26">
        <v>550</v>
      </c>
      <c r="F16" s="48">
        <f t="shared" si="2"/>
        <v>7.711267605633803</v>
      </c>
      <c r="G16">
        <v>0</v>
      </c>
      <c r="H16" s="26">
        <v>7179</v>
      </c>
      <c r="I16" s="49">
        <f t="shared" si="5"/>
        <v>0.40755060830493761</v>
      </c>
      <c r="J16" s="49">
        <f>(H16-$D$22)/$D$21</f>
        <v>0.80949680670550406</v>
      </c>
      <c r="K16" s="25">
        <f t="shared" si="3"/>
        <v>2.1192631631856754E-2</v>
      </c>
      <c r="L16" s="25">
        <f>J16*C16/1000</f>
        <v>4.209383394868621E-2</v>
      </c>
      <c r="M16" s="28">
        <f t="shared" si="0"/>
        <v>4.3521313769517679E-3</v>
      </c>
      <c r="N16" s="25">
        <f t="shared" si="1"/>
        <v>4.5916613768165845E-2</v>
      </c>
    </row>
    <row r="17" spans="1:12" x14ac:dyDescent="0.3">
      <c r="A17" t="s">
        <v>63</v>
      </c>
      <c r="B17" t="s">
        <v>22</v>
      </c>
      <c r="C17" t="s">
        <v>64</v>
      </c>
      <c r="D17" s="26">
        <f>SUM(D5:D16)</f>
        <v>3141.5</v>
      </c>
      <c r="E17" s="26"/>
      <c r="F17" s="48">
        <f t="shared" si="2"/>
        <v>44.24647887323944</v>
      </c>
      <c r="G17">
        <v>1149350</v>
      </c>
      <c r="H17" s="26">
        <v>340981</v>
      </c>
      <c r="I17" s="49">
        <f>(G17-$C$22)/$C$21</f>
        <v>93.643912144579147</v>
      </c>
      <c r="J17" s="49">
        <f>(H17-$D$22)/$D$21</f>
        <v>17.629714830293761</v>
      </c>
    </row>
    <row r="18" spans="1:12" x14ac:dyDescent="0.3">
      <c r="A18" t="s">
        <v>23</v>
      </c>
      <c r="H18" t="s">
        <v>79</v>
      </c>
      <c r="I18" s="49">
        <v>150</v>
      </c>
      <c r="J18" t="s">
        <v>65</v>
      </c>
      <c r="K18" s="25">
        <f>SUM(K5:K16)</f>
        <v>14.716764633760842</v>
      </c>
      <c r="L18" s="25">
        <f>SUM(L5:L16)</f>
        <v>2.7445706386161319</v>
      </c>
    </row>
    <row r="20" spans="1:12" x14ac:dyDescent="0.3">
      <c r="C20" t="s">
        <v>0</v>
      </c>
      <c r="D20" t="s">
        <v>13</v>
      </c>
      <c r="H20" t="s">
        <v>80</v>
      </c>
    </row>
    <row r="21" spans="1:12" x14ac:dyDescent="0.3">
      <c r="B21" t="s">
        <v>25</v>
      </c>
      <c r="C21" s="37">
        <v>12327.272118537552</v>
      </c>
      <c r="D21" s="37">
        <v>19845.283784781168</v>
      </c>
      <c r="E21" s="37"/>
    </row>
    <row r="22" spans="1:12" x14ac:dyDescent="0.3">
      <c r="B22" t="s">
        <v>35</v>
      </c>
      <c r="C22" s="37">
        <v>-5023.9872506504762</v>
      </c>
      <c r="D22" s="37">
        <v>-8885.693851944874</v>
      </c>
      <c r="E22" s="37"/>
    </row>
    <row r="24" spans="1:12" x14ac:dyDescent="0.3">
      <c r="B24" s="34"/>
      <c r="C24" s="33" t="s">
        <v>7</v>
      </c>
      <c r="D24" s="34" t="s">
        <v>33</v>
      </c>
      <c r="E24" s="31" t="s">
        <v>32</v>
      </c>
      <c r="F24" s="34" t="s">
        <v>31</v>
      </c>
      <c r="G24" s="55" t="s">
        <v>81</v>
      </c>
    </row>
    <row r="25" spans="1:12" x14ac:dyDescent="0.3">
      <c r="B25" s="39" t="s">
        <v>30</v>
      </c>
      <c r="C25" s="26">
        <v>1149350</v>
      </c>
      <c r="D25" s="48">
        <f>(C25-$C$22)/C21</f>
        <v>93.643912144579147</v>
      </c>
      <c r="E25" s="26">
        <v>150</v>
      </c>
      <c r="F25" s="48">
        <f>D25*E25/1000</f>
        <v>14.046586821686871</v>
      </c>
      <c r="G25" s="56">
        <f>K18*100/F25</f>
        <v>104.77110788963527</v>
      </c>
    </row>
    <row r="26" spans="1:12" x14ac:dyDescent="0.3">
      <c r="B26" s="38" t="s">
        <v>82</v>
      </c>
      <c r="C26" s="57">
        <v>340981</v>
      </c>
      <c r="D26" s="58">
        <f>(C26-$D$22)/D21</f>
        <v>17.629714830293761</v>
      </c>
      <c r="E26" s="57">
        <v>150</v>
      </c>
      <c r="F26" s="58">
        <f>D26*E26/1000</f>
        <v>2.6444572245440638</v>
      </c>
      <c r="G26" s="59">
        <f>L18*100/F26</f>
        <v>103.78578307649988</v>
      </c>
    </row>
  </sheetData>
  <mergeCells count="4">
    <mergeCell ref="G3:H3"/>
    <mergeCell ref="I3:J3"/>
    <mergeCell ref="K3:L3"/>
    <mergeCell ref="M3:N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6A89F-B883-486B-A0AD-59F7E4885F33}">
  <dimension ref="A1:G16"/>
  <sheetViews>
    <sheetView workbookViewId="0">
      <selection activeCell="N13" sqref="N13"/>
    </sheetView>
  </sheetViews>
  <sheetFormatPr defaultRowHeight="14.4" x14ac:dyDescent="0.3"/>
  <cols>
    <col min="2" max="2" width="10.88671875" customWidth="1"/>
    <col min="3" max="3" width="11" customWidth="1"/>
  </cols>
  <sheetData>
    <row r="1" spans="1:7" x14ac:dyDescent="0.3">
      <c r="A1" t="s">
        <v>16</v>
      </c>
    </row>
    <row r="2" spans="1:7" x14ac:dyDescent="0.3">
      <c r="D2" s="17" t="s">
        <v>17</v>
      </c>
      <c r="E2" s="17"/>
      <c r="F2" s="18" t="s">
        <v>18</v>
      </c>
      <c r="G2" s="19"/>
    </row>
    <row r="3" spans="1:7" x14ac:dyDescent="0.3">
      <c r="A3" t="s">
        <v>19</v>
      </c>
      <c r="B3" t="s">
        <v>20</v>
      </c>
      <c r="C3" t="s">
        <v>21</v>
      </c>
      <c r="D3" t="s">
        <v>0</v>
      </c>
      <c r="E3" t="s">
        <v>13</v>
      </c>
      <c r="F3" s="6" t="s">
        <v>0</v>
      </c>
      <c r="G3" s="20" t="s">
        <v>13</v>
      </c>
    </row>
    <row r="4" spans="1:7" x14ac:dyDescent="0.3">
      <c r="A4">
        <v>1</v>
      </c>
      <c r="B4">
        <v>0</v>
      </c>
      <c r="C4" t="s">
        <v>22</v>
      </c>
      <c r="D4">
        <v>0</v>
      </c>
      <c r="E4">
        <v>0</v>
      </c>
      <c r="F4" s="21">
        <f>D4/$D$16</f>
        <v>0</v>
      </c>
      <c r="G4" s="22">
        <f>E4/$E$16</f>
        <v>0</v>
      </c>
    </row>
    <row r="5" spans="1:7" x14ac:dyDescent="0.3">
      <c r="A5">
        <v>2</v>
      </c>
      <c r="B5">
        <v>5</v>
      </c>
      <c r="C5">
        <v>48</v>
      </c>
      <c r="D5">
        <v>0</v>
      </c>
      <c r="E5">
        <v>0</v>
      </c>
      <c r="F5" s="21">
        <f t="shared" ref="F5:F15" si="0">D5/$D$16</f>
        <v>0</v>
      </c>
      <c r="G5" s="22">
        <f t="shared" ref="G5:G15" si="1">E5/$E$16</f>
        <v>0</v>
      </c>
    </row>
    <row r="6" spans="1:7" x14ac:dyDescent="0.3">
      <c r="A6">
        <v>3</v>
      </c>
      <c r="B6">
        <v>10</v>
      </c>
      <c r="C6">
        <v>47</v>
      </c>
      <c r="D6">
        <v>254928</v>
      </c>
      <c r="E6">
        <v>258773</v>
      </c>
      <c r="F6" s="21">
        <f t="shared" si="0"/>
        <v>0.49117182382181807</v>
      </c>
      <c r="G6" s="22">
        <f t="shared" si="1"/>
        <v>0.30088799124682714</v>
      </c>
    </row>
    <row r="7" spans="1:7" x14ac:dyDescent="0.3">
      <c r="A7">
        <v>4</v>
      </c>
      <c r="B7">
        <v>15</v>
      </c>
      <c r="C7">
        <v>47</v>
      </c>
      <c r="D7">
        <v>486508</v>
      </c>
      <c r="E7">
        <v>659704</v>
      </c>
      <c r="F7" s="21">
        <f t="shared" si="0"/>
        <v>0.93735886863704676</v>
      </c>
      <c r="G7" s="22">
        <f t="shared" si="1"/>
        <v>0.76707002422005721</v>
      </c>
    </row>
    <row r="8" spans="1:7" x14ac:dyDescent="0.3">
      <c r="A8">
        <v>5</v>
      </c>
      <c r="B8">
        <v>20</v>
      </c>
      <c r="C8">
        <v>50</v>
      </c>
      <c r="D8">
        <v>494513</v>
      </c>
      <c r="E8">
        <v>714984</v>
      </c>
      <c r="F8" s="21">
        <f t="shared" si="0"/>
        <v>0.95278216639050517</v>
      </c>
      <c r="G8" s="22">
        <f t="shared" si="1"/>
        <v>0.83134677703478133</v>
      </c>
    </row>
    <row r="9" spans="1:7" x14ac:dyDescent="0.3">
      <c r="A9">
        <v>6</v>
      </c>
      <c r="B9">
        <v>25</v>
      </c>
      <c r="C9">
        <v>49</v>
      </c>
      <c r="D9">
        <v>215606</v>
      </c>
      <c r="E9">
        <v>402717</v>
      </c>
      <c r="F9" s="21">
        <f t="shared" si="0"/>
        <v>0.41540981079727179</v>
      </c>
      <c r="G9" s="22">
        <f t="shared" si="1"/>
        <v>0.46825870230259142</v>
      </c>
    </row>
    <row r="10" spans="1:7" x14ac:dyDescent="0.3">
      <c r="A10">
        <v>7</v>
      </c>
      <c r="B10">
        <v>30</v>
      </c>
      <c r="C10">
        <v>49</v>
      </c>
      <c r="D10">
        <v>7719</v>
      </c>
      <c r="E10">
        <v>70015</v>
      </c>
      <c r="F10" s="21">
        <f t="shared" si="0"/>
        <v>1.4872259257832069E-2</v>
      </c>
      <c r="G10" s="22">
        <f t="shared" si="1"/>
        <v>8.1409856156347854E-2</v>
      </c>
    </row>
    <row r="11" spans="1:7" x14ac:dyDescent="0.3">
      <c r="A11">
        <v>8</v>
      </c>
      <c r="B11">
        <v>35</v>
      </c>
      <c r="C11">
        <v>50</v>
      </c>
      <c r="D11">
        <v>1051</v>
      </c>
      <c r="E11">
        <v>34098</v>
      </c>
      <c r="F11" s="21">
        <f t="shared" si="0"/>
        <v>2.0249701360255867E-3</v>
      </c>
      <c r="G11" s="22">
        <f t="shared" si="1"/>
        <v>3.9647408058546725E-2</v>
      </c>
    </row>
    <row r="12" spans="1:7" x14ac:dyDescent="0.3">
      <c r="A12">
        <v>9</v>
      </c>
      <c r="B12">
        <v>40</v>
      </c>
      <c r="C12">
        <v>50</v>
      </c>
      <c r="D12">
        <v>758</v>
      </c>
      <c r="E12">
        <v>23125</v>
      </c>
      <c r="F12" s="21">
        <f t="shared" si="0"/>
        <v>1.4604446842125544E-3</v>
      </c>
      <c r="G12" s="22">
        <f t="shared" si="1"/>
        <v>2.6888565644726761E-2</v>
      </c>
    </row>
    <row r="13" spans="1:7" x14ac:dyDescent="0.3">
      <c r="A13">
        <v>10</v>
      </c>
      <c r="B13">
        <v>45</v>
      </c>
      <c r="C13">
        <v>50</v>
      </c>
      <c r="D13">
        <v>0</v>
      </c>
      <c r="E13">
        <v>16783</v>
      </c>
      <c r="F13" s="21">
        <f t="shared" si="0"/>
        <v>0</v>
      </c>
      <c r="G13" s="22">
        <f t="shared" si="1"/>
        <v>1.9514412852559965E-2</v>
      </c>
    </row>
    <row r="14" spans="1:7" x14ac:dyDescent="0.3">
      <c r="A14">
        <v>11</v>
      </c>
      <c r="B14">
        <v>50</v>
      </c>
      <c r="C14">
        <v>50</v>
      </c>
      <c r="D14">
        <v>0</v>
      </c>
      <c r="E14">
        <v>13833</v>
      </c>
      <c r="F14" s="21">
        <f t="shared" si="0"/>
        <v>0</v>
      </c>
      <c r="G14" s="22">
        <f t="shared" si="1"/>
        <v>1.6084303937881309E-2</v>
      </c>
    </row>
    <row r="15" spans="1:7" x14ac:dyDescent="0.3">
      <c r="A15">
        <v>12</v>
      </c>
      <c r="B15">
        <v>55</v>
      </c>
      <c r="C15">
        <v>50</v>
      </c>
      <c r="D15">
        <v>0</v>
      </c>
      <c r="E15">
        <v>11636</v>
      </c>
      <c r="F15" s="23">
        <f t="shared" si="0"/>
        <v>0</v>
      </c>
      <c r="G15" s="24">
        <f t="shared" si="1"/>
        <v>1.3529744858034187E-2</v>
      </c>
    </row>
    <row r="16" spans="1:7" x14ac:dyDescent="0.3">
      <c r="A16" t="s">
        <v>23</v>
      </c>
      <c r="D16">
        <v>519020</v>
      </c>
      <c r="E16">
        <v>860031</v>
      </c>
      <c r="F16" s="25"/>
      <c r="G16" s="25"/>
    </row>
  </sheetData>
  <mergeCells count="2">
    <mergeCell ref="D2:E2"/>
    <mergeCell ref="F2:G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D0122-8E4A-4AC2-82D6-4ACC3AFA24A2}">
  <dimension ref="A1:G17"/>
  <sheetViews>
    <sheetView workbookViewId="0">
      <selection activeCell="I25" sqref="I25"/>
    </sheetView>
  </sheetViews>
  <sheetFormatPr defaultRowHeight="14.4" x14ac:dyDescent="0.3"/>
  <cols>
    <col min="2" max="2" width="10.88671875" customWidth="1"/>
    <col min="3" max="3" width="11" customWidth="1"/>
  </cols>
  <sheetData>
    <row r="1" spans="1:7" x14ac:dyDescent="0.3">
      <c r="A1" t="s">
        <v>16</v>
      </c>
    </row>
    <row r="2" spans="1:7" x14ac:dyDescent="0.3">
      <c r="D2" s="17" t="s">
        <v>7</v>
      </c>
      <c r="E2" s="17"/>
      <c r="F2" s="17" t="s">
        <v>18</v>
      </c>
      <c r="G2" s="17"/>
    </row>
    <row r="3" spans="1:7" x14ac:dyDescent="0.3">
      <c r="A3" t="s">
        <v>19</v>
      </c>
      <c r="B3" t="s">
        <v>20</v>
      </c>
      <c r="C3" t="s">
        <v>21</v>
      </c>
      <c r="D3" t="s">
        <v>0</v>
      </c>
      <c r="E3" t="s">
        <v>13</v>
      </c>
      <c r="F3" t="s">
        <v>0</v>
      </c>
      <c r="G3" t="s">
        <v>13</v>
      </c>
    </row>
    <row r="4" spans="1:7" x14ac:dyDescent="0.3">
      <c r="A4">
        <v>1</v>
      </c>
      <c r="B4">
        <v>0</v>
      </c>
      <c r="C4">
        <v>40</v>
      </c>
      <c r="D4">
        <v>0</v>
      </c>
      <c r="E4">
        <v>2884</v>
      </c>
      <c r="F4" s="28">
        <f>D4/$D$16</f>
        <v>0</v>
      </c>
      <c r="G4" s="28">
        <f>E4/$E$16</f>
        <v>3.5086566735647536E-3</v>
      </c>
    </row>
    <row r="5" spans="1:7" x14ac:dyDescent="0.3">
      <c r="A5">
        <v>2</v>
      </c>
      <c r="B5">
        <v>5</v>
      </c>
      <c r="C5">
        <v>47</v>
      </c>
      <c r="D5">
        <v>0</v>
      </c>
      <c r="E5">
        <v>5609</v>
      </c>
      <c r="F5" s="28">
        <f t="shared" ref="F5:F15" si="0">D5/$D$16</f>
        <v>0</v>
      </c>
      <c r="G5" s="28">
        <f t="shared" ref="G5:G15" si="1">E5/$E$16</f>
        <v>6.823874924419107E-3</v>
      </c>
    </row>
    <row r="6" spans="1:7" x14ac:dyDescent="0.3">
      <c r="A6">
        <v>3</v>
      </c>
      <c r="B6">
        <v>10</v>
      </c>
      <c r="C6">
        <v>47</v>
      </c>
      <c r="D6">
        <v>256305</v>
      </c>
      <c r="E6">
        <v>313779</v>
      </c>
      <c r="F6" s="28">
        <f t="shared" si="0"/>
        <v>0.49399241390475751</v>
      </c>
      <c r="G6" s="28">
        <f t="shared" si="1"/>
        <v>0.38174160276507452</v>
      </c>
    </row>
    <row r="7" spans="1:7" x14ac:dyDescent="0.3">
      <c r="A7">
        <v>4</v>
      </c>
      <c r="B7">
        <v>15</v>
      </c>
      <c r="C7">
        <v>47</v>
      </c>
      <c r="D7">
        <v>505735</v>
      </c>
      <c r="E7">
        <v>707783</v>
      </c>
      <c r="F7" s="28">
        <f t="shared" si="0"/>
        <v>0.97473421683588901</v>
      </c>
      <c r="G7" s="28">
        <f t="shared" si="1"/>
        <v>0.86108444742915469</v>
      </c>
    </row>
    <row r="8" spans="1:7" x14ac:dyDescent="0.3">
      <c r="A8">
        <v>5</v>
      </c>
      <c r="B8">
        <v>20</v>
      </c>
      <c r="C8">
        <v>46</v>
      </c>
      <c r="D8">
        <v>515271</v>
      </c>
      <c r="E8">
        <v>750051</v>
      </c>
      <c r="F8" s="28">
        <f t="shared" si="0"/>
        <v>0.99311353701690686</v>
      </c>
      <c r="G8" s="28">
        <f t="shared" si="1"/>
        <v>0.91250743642992971</v>
      </c>
    </row>
    <row r="9" spans="1:7" x14ac:dyDescent="0.3">
      <c r="A9">
        <v>6</v>
      </c>
      <c r="B9">
        <v>25</v>
      </c>
      <c r="C9">
        <v>47</v>
      </c>
      <c r="D9">
        <v>268978</v>
      </c>
      <c r="E9">
        <v>482515</v>
      </c>
      <c r="F9" s="28">
        <f t="shared" si="0"/>
        <v>0.51841786741294105</v>
      </c>
      <c r="G9" s="28">
        <f t="shared" si="1"/>
        <v>0.58702478323339013</v>
      </c>
    </row>
    <row r="10" spans="1:7" x14ac:dyDescent="0.3">
      <c r="A10">
        <v>7</v>
      </c>
      <c r="B10">
        <v>30</v>
      </c>
      <c r="C10">
        <v>47</v>
      </c>
      <c r="D10">
        <v>13055</v>
      </c>
      <c r="E10">
        <v>89340</v>
      </c>
      <c r="F10" s="28">
        <f t="shared" si="0"/>
        <v>2.5161705637918141E-2</v>
      </c>
      <c r="G10" s="28">
        <f t="shared" si="1"/>
        <v>0.1086904948738818</v>
      </c>
    </row>
    <row r="11" spans="1:7" x14ac:dyDescent="0.3">
      <c r="A11">
        <v>8</v>
      </c>
      <c r="B11">
        <v>35</v>
      </c>
      <c r="C11">
        <v>48</v>
      </c>
      <c r="D11">
        <v>910</v>
      </c>
      <c r="E11">
        <v>39142</v>
      </c>
      <c r="F11" s="28">
        <f t="shared" si="0"/>
        <v>1.7538990525090394E-3</v>
      </c>
      <c r="G11" s="28">
        <f t="shared" si="1"/>
        <v>4.7619916614657282E-2</v>
      </c>
    </row>
    <row r="12" spans="1:7" x14ac:dyDescent="0.3">
      <c r="A12">
        <v>9</v>
      </c>
      <c r="B12">
        <v>40</v>
      </c>
      <c r="C12">
        <v>48</v>
      </c>
      <c r="D12">
        <v>495</v>
      </c>
      <c r="E12">
        <v>23208</v>
      </c>
      <c r="F12" s="28">
        <f t="shared" si="0"/>
        <v>9.5404399010107081E-4</v>
      </c>
      <c r="G12" s="28">
        <f t="shared" si="1"/>
        <v>2.8234710152597368E-2</v>
      </c>
    </row>
    <row r="13" spans="1:7" x14ac:dyDescent="0.3">
      <c r="A13">
        <v>10</v>
      </c>
      <c r="B13">
        <v>45</v>
      </c>
      <c r="C13">
        <v>48</v>
      </c>
      <c r="D13">
        <v>0</v>
      </c>
      <c r="E13">
        <v>17073</v>
      </c>
      <c r="F13" s="28">
        <f t="shared" si="0"/>
        <v>0</v>
      </c>
      <c r="G13" s="28">
        <f t="shared" si="1"/>
        <v>2.0770906861224354E-2</v>
      </c>
    </row>
    <row r="14" spans="1:7" x14ac:dyDescent="0.3">
      <c r="A14">
        <v>11</v>
      </c>
      <c r="B14">
        <v>50</v>
      </c>
      <c r="C14">
        <v>48</v>
      </c>
      <c r="D14">
        <v>0</v>
      </c>
      <c r="E14">
        <v>19989</v>
      </c>
      <c r="F14" s="28">
        <f t="shared" si="0"/>
        <v>0</v>
      </c>
      <c r="G14" s="28">
        <f t="shared" si="1"/>
        <v>2.4318494538101896E-2</v>
      </c>
    </row>
    <row r="15" spans="1:7" x14ac:dyDescent="0.3">
      <c r="A15">
        <v>12</v>
      </c>
      <c r="B15">
        <v>55</v>
      </c>
      <c r="C15">
        <v>48</v>
      </c>
      <c r="D15">
        <v>0</v>
      </c>
      <c r="E15">
        <v>19774</v>
      </c>
      <c r="F15" s="28">
        <f t="shared" si="0"/>
        <v>0</v>
      </c>
      <c r="G15" s="28">
        <f t="shared" si="1"/>
        <v>2.4056926859594121E-2</v>
      </c>
    </row>
    <row r="16" spans="1:7" x14ac:dyDescent="0.3">
      <c r="A16" t="s">
        <v>23</v>
      </c>
      <c r="D16">
        <v>518844</v>
      </c>
      <c r="E16">
        <v>821967</v>
      </c>
    </row>
    <row r="17" spans="2:3" x14ac:dyDescent="0.3">
      <c r="B17" t="s">
        <v>29</v>
      </c>
      <c r="C17" s="12">
        <f>AVERAGE(C5:C15)</f>
        <v>47.363636363636367</v>
      </c>
    </row>
  </sheetData>
  <mergeCells count="2">
    <mergeCell ref="D2:E2"/>
    <mergeCell ref="F2:G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37A7F-08E3-4CA1-B67A-AB608535E4C3}">
  <dimension ref="A3:N28"/>
  <sheetViews>
    <sheetView tabSelected="1" zoomScaleNormal="100" workbookViewId="0">
      <selection activeCell="Q27" sqref="Q27"/>
    </sheetView>
  </sheetViews>
  <sheetFormatPr defaultRowHeight="14.4" x14ac:dyDescent="0.3"/>
  <sheetData>
    <row r="3" spans="1:14" x14ac:dyDescent="0.3">
      <c r="F3" t="s">
        <v>45</v>
      </c>
      <c r="G3">
        <v>57</v>
      </c>
    </row>
    <row r="5" spans="1:14" x14ac:dyDescent="0.3">
      <c r="G5" s="51" t="s">
        <v>7</v>
      </c>
      <c r="H5" s="52"/>
      <c r="I5" s="51" t="s">
        <v>37</v>
      </c>
      <c r="J5" s="52"/>
      <c r="K5" s="51" t="s">
        <v>66</v>
      </c>
      <c r="L5" s="52"/>
      <c r="M5" s="53" t="s">
        <v>18</v>
      </c>
      <c r="N5" s="54"/>
    </row>
    <row r="6" spans="1:14" x14ac:dyDescent="0.3">
      <c r="A6" s="26" t="s">
        <v>19</v>
      </c>
      <c r="B6" s="26" t="s">
        <v>46</v>
      </c>
      <c r="C6" s="26" t="s">
        <v>32</v>
      </c>
      <c r="D6" s="26" t="s">
        <v>47</v>
      </c>
      <c r="E6" s="26" t="s">
        <v>48</v>
      </c>
      <c r="F6" s="47" t="s">
        <v>45</v>
      </c>
      <c r="G6" s="26" t="s">
        <v>0</v>
      </c>
      <c r="H6" s="26" t="s">
        <v>13</v>
      </c>
      <c r="I6" s="26" t="s">
        <v>0</v>
      </c>
      <c r="J6" s="26" t="s">
        <v>13</v>
      </c>
      <c r="K6" s="26" t="s">
        <v>0</v>
      </c>
      <c r="L6" s="26" t="s">
        <v>13</v>
      </c>
      <c r="M6" s="26" t="s">
        <v>0</v>
      </c>
      <c r="N6" s="26" t="s">
        <v>13</v>
      </c>
    </row>
    <row r="7" spans="1:14" x14ac:dyDescent="0.3">
      <c r="A7" t="s">
        <v>50</v>
      </c>
      <c r="B7" s="26">
        <v>0</v>
      </c>
      <c r="C7" s="26">
        <v>0</v>
      </c>
      <c r="D7" s="26">
        <f>C7</f>
        <v>0</v>
      </c>
      <c r="E7" s="26">
        <f>B7</f>
        <v>0</v>
      </c>
      <c r="F7" s="48">
        <f>D7/$G$3</f>
        <v>0</v>
      </c>
      <c r="G7" t="s">
        <v>51</v>
      </c>
      <c r="H7" s="26">
        <v>3504</v>
      </c>
      <c r="I7" s="49">
        <v>0</v>
      </c>
      <c r="J7" s="49">
        <v>0</v>
      </c>
      <c r="K7" s="25">
        <v>0</v>
      </c>
      <c r="L7" s="25">
        <f>J7*C7/1000</f>
        <v>0</v>
      </c>
      <c r="M7" s="28">
        <v>0</v>
      </c>
      <c r="N7" s="25">
        <f>J7/$J$17</f>
        <v>0</v>
      </c>
    </row>
    <row r="8" spans="1:14" x14ac:dyDescent="0.3">
      <c r="A8" t="s">
        <v>52</v>
      </c>
      <c r="B8" s="26">
        <v>5</v>
      </c>
      <c r="C8" s="26">
        <v>46</v>
      </c>
      <c r="D8" s="26">
        <f>C8/2</f>
        <v>23</v>
      </c>
      <c r="E8" s="26">
        <f>E7+C8</f>
        <v>46</v>
      </c>
      <c r="F8" s="48">
        <f>D8/$G$3</f>
        <v>0.40350877192982454</v>
      </c>
      <c r="G8">
        <v>42566</v>
      </c>
      <c r="H8" s="26">
        <v>27043</v>
      </c>
      <c r="I8" s="49">
        <f>(G8-$C$24)/$C$23</f>
        <v>4.90097592289818</v>
      </c>
      <c r="J8" s="49">
        <f>(H8-$D$24)/$D$23</f>
        <v>4.3171649106623828</v>
      </c>
      <c r="K8" s="25">
        <f>I8*C8/1000</f>
        <v>0.22544489245331628</v>
      </c>
      <c r="L8" s="25">
        <f>J8*C8/1000</f>
        <v>0.1985895858904696</v>
      </c>
      <c r="M8" s="28">
        <v>0</v>
      </c>
      <c r="N8" s="25">
        <f>J8/$J$19</f>
        <v>9.2385873864758813E-2</v>
      </c>
    </row>
    <row r="9" spans="1:14" x14ac:dyDescent="0.3">
      <c r="A9" t="s">
        <v>53</v>
      </c>
      <c r="B9" s="26">
        <v>10</v>
      </c>
      <c r="C9" s="26">
        <v>46</v>
      </c>
      <c r="D9" s="26">
        <f>D8+C9</f>
        <v>69</v>
      </c>
      <c r="E9" s="26">
        <f>E8+C9</f>
        <v>92</v>
      </c>
      <c r="F9" s="48">
        <f>D9/$G$3</f>
        <v>1.2105263157894737</v>
      </c>
      <c r="G9">
        <v>374853</v>
      </c>
      <c r="H9" s="26">
        <v>359903</v>
      </c>
      <c r="I9" s="49">
        <f>(G9-$C$24)/$C$23</f>
        <v>32.45284389763772</v>
      </c>
      <c r="J9" s="49">
        <f>(H9-$D$24)/$D$23</f>
        <v>21.352090548672432</v>
      </c>
      <c r="K9" s="25">
        <f>I9*C9/1000</f>
        <v>1.4928308192913351</v>
      </c>
      <c r="L9" s="25">
        <f>J9*C9/1000</f>
        <v>0.98219616523893194</v>
      </c>
      <c r="M9" s="28">
        <f>I9/$I$19</f>
        <v>0.69419652364856699</v>
      </c>
      <c r="N9" s="25">
        <f>J9/$J$19</f>
        <v>0.45692754041121381</v>
      </c>
    </row>
    <row r="10" spans="1:14" x14ac:dyDescent="0.3">
      <c r="A10" t="s">
        <v>54</v>
      </c>
      <c r="B10" s="26">
        <v>15</v>
      </c>
      <c r="C10" s="26">
        <v>46</v>
      </c>
      <c r="D10" s="26">
        <f>D9+C10</f>
        <v>115</v>
      </c>
      <c r="E10" s="26">
        <f>E9+C10</f>
        <v>138</v>
      </c>
      <c r="F10" s="48">
        <f>D10/$G$3</f>
        <v>2.0175438596491229</v>
      </c>
      <c r="G10">
        <v>509913</v>
      </c>
      <c r="H10" s="26">
        <v>600747</v>
      </c>
      <c r="I10" s="49">
        <f>(G10-$C$24)/$C$23</f>
        <v>43.65146222657723</v>
      </c>
      <c r="J10" s="49">
        <f>(H10-$D$24)/$D$23</f>
        <v>33.677872049486261</v>
      </c>
      <c r="K10" s="25">
        <f>I10*C10/1000</f>
        <v>2.0079672624225524</v>
      </c>
      <c r="L10" s="25">
        <f>J10*C10/1000</f>
        <v>1.5491821142763682</v>
      </c>
      <c r="M10" s="28">
        <f>I10/$I$19</f>
        <v>0.93374538839945609</v>
      </c>
      <c r="N10" s="25">
        <f>J10/$J$19</f>
        <v>0.72069510977285045</v>
      </c>
    </row>
    <row r="11" spans="1:14" x14ac:dyDescent="0.3">
      <c r="A11" t="s">
        <v>55</v>
      </c>
      <c r="B11" s="26">
        <v>20</v>
      </c>
      <c r="C11" s="26">
        <v>45</v>
      </c>
      <c r="D11" s="26">
        <f>D10+C11</f>
        <v>160</v>
      </c>
      <c r="E11" s="26">
        <f>E10+C11</f>
        <v>183</v>
      </c>
      <c r="F11" s="48">
        <f>D11/$G$3</f>
        <v>2.807017543859649</v>
      </c>
      <c r="G11">
        <v>495389</v>
      </c>
      <c r="H11" s="26">
        <v>650561</v>
      </c>
      <c r="I11" s="49">
        <f>(G11-$C$24)/$C$23</f>
        <v>42.447192031038085</v>
      </c>
      <c r="J11" s="49">
        <f>(H11-$D$24)/$D$23</f>
        <v>36.227225488565253</v>
      </c>
      <c r="K11" s="25">
        <f>I11*C11/1000</f>
        <v>1.9101236413967138</v>
      </c>
      <c r="L11" s="25">
        <f>J11*C11/1000</f>
        <v>1.6302251469854363</v>
      </c>
      <c r="M11" s="28">
        <f>I11/$I$19</f>
        <v>0.9079849285176117</v>
      </c>
      <c r="N11" s="25">
        <f>J11/$J$19</f>
        <v>0.77525041403694084</v>
      </c>
    </row>
    <row r="12" spans="1:14" x14ac:dyDescent="0.3">
      <c r="A12" t="s">
        <v>56</v>
      </c>
      <c r="B12" s="26">
        <v>25</v>
      </c>
      <c r="C12" s="26">
        <v>47</v>
      </c>
      <c r="D12" s="26">
        <f>D11+C12</f>
        <v>207</v>
      </c>
      <c r="E12" s="26">
        <f>E11+C12</f>
        <v>230</v>
      </c>
      <c r="F12" s="48">
        <f>D12/$G$3</f>
        <v>3.6315789473684212</v>
      </c>
      <c r="G12">
        <v>171410</v>
      </c>
      <c r="H12" s="26">
        <v>324122</v>
      </c>
      <c r="I12" s="49">
        <f>(G12-$C$24)/$C$23</f>
        <v>15.584189161265439</v>
      </c>
      <c r="J12" s="49">
        <f>(H12-$D$24)/$D$23</f>
        <v>19.520910249887244</v>
      </c>
      <c r="K12" s="25">
        <f>I12*C12/1000</f>
        <v>0.73245689057947561</v>
      </c>
      <c r="L12" s="25">
        <f>J12*C12/1000</f>
        <v>0.91748278174470044</v>
      </c>
      <c r="M12" s="28">
        <f>I12/$I$19</f>
        <v>0.33336030499378316</v>
      </c>
      <c r="N12" s="25">
        <f>J12/$J$19</f>
        <v>0.41774089926869529</v>
      </c>
    </row>
    <row r="13" spans="1:14" x14ac:dyDescent="0.3">
      <c r="A13" t="s">
        <v>57</v>
      </c>
      <c r="B13" s="26">
        <v>30</v>
      </c>
      <c r="C13" s="26">
        <v>48</v>
      </c>
      <c r="D13" s="26">
        <f>D12+C13</f>
        <v>255</v>
      </c>
      <c r="E13" s="26">
        <f>E12+C13</f>
        <v>278</v>
      </c>
      <c r="F13" s="48">
        <f>D13/$G$3</f>
        <v>4.4736842105263159</v>
      </c>
      <c r="G13">
        <v>37813</v>
      </c>
      <c r="H13" s="26">
        <v>133615</v>
      </c>
      <c r="I13" s="49">
        <f>(G13-$C$24)/$C$23</f>
        <v>4.5068767601745794</v>
      </c>
      <c r="J13" s="49">
        <f>(H13-$D$24)/$D$23</f>
        <v>9.7712479939226338</v>
      </c>
      <c r="K13" s="25">
        <f>I13*C13/1000</f>
        <v>0.21633008448837981</v>
      </c>
      <c r="L13" s="25">
        <f>J13*C13/1000</f>
        <v>0.46901990370828639</v>
      </c>
      <c r="M13" s="28">
        <f>I13/$I$19</f>
        <v>9.640628689720003E-2</v>
      </c>
      <c r="N13" s="25">
        <f>J13/$J$19</f>
        <v>0.20910141339245455</v>
      </c>
    </row>
    <row r="14" spans="1:14" x14ac:dyDescent="0.3">
      <c r="A14" t="s">
        <v>58</v>
      </c>
      <c r="B14" s="26">
        <v>35</v>
      </c>
      <c r="C14" s="26">
        <v>47</v>
      </c>
      <c r="D14" s="26">
        <f>D13+C14</f>
        <v>302</v>
      </c>
      <c r="E14" s="26">
        <f>E13+C14</f>
        <v>325</v>
      </c>
      <c r="F14" s="48">
        <f>D14/$G$3</f>
        <v>5.2982456140350873</v>
      </c>
      <c r="G14">
        <v>10708</v>
      </c>
      <c r="H14" s="26">
        <v>71655</v>
      </c>
      <c r="I14" s="49">
        <f>(G14-$C$24)/$C$23</f>
        <v>2.2594419178385405</v>
      </c>
      <c r="J14" s="49">
        <f>(H14-$D$24)/$D$23</f>
        <v>6.6002932606080185</v>
      </c>
      <c r="K14" s="25">
        <f>I14*C14/1000</f>
        <v>0.10619377013841141</v>
      </c>
      <c r="L14" s="25">
        <f>J14*C14/1000</f>
        <v>0.31021378324857685</v>
      </c>
      <c r="M14" s="28">
        <f>I14/$I$19</f>
        <v>4.8331564706522952E-2</v>
      </c>
      <c r="N14" s="25">
        <f>J14/$J$19</f>
        <v>0.14124405096014561</v>
      </c>
    </row>
    <row r="15" spans="1:14" x14ac:dyDescent="0.3">
      <c r="A15" t="s">
        <v>59</v>
      </c>
      <c r="B15" s="26">
        <v>40</v>
      </c>
      <c r="C15" s="26">
        <v>48</v>
      </c>
      <c r="D15" s="26">
        <f>D14+C15</f>
        <v>350</v>
      </c>
      <c r="E15" s="26">
        <f>E14+C15</f>
        <v>373</v>
      </c>
      <c r="F15" s="48">
        <f>D15/$G$3</f>
        <v>6.1403508771929829</v>
      </c>
      <c r="G15">
        <v>3466</v>
      </c>
      <c r="H15" s="26">
        <v>46576</v>
      </c>
      <c r="I15" s="49">
        <f>(G15-$C$24)/$C$23</f>
        <v>1.6589651376062</v>
      </c>
      <c r="J15" s="49">
        <f>(H15-$D$24)/$D$23</f>
        <v>5.3168140198591933</v>
      </c>
      <c r="K15" s="25">
        <f>I15*C15/1000</f>
        <v>7.9630326605097598E-2</v>
      </c>
      <c r="L15" s="25">
        <f>J15*C15/1000</f>
        <v>0.25520707295324124</v>
      </c>
      <c r="M15" s="28">
        <f>I15/$I$19</f>
        <v>3.5486807720546812E-2</v>
      </c>
      <c r="N15" s="25">
        <f>J15/$J$19</f>
        <v>0.11377802784136132</v>
      </c>
    </row>
    <row r="16" spans="1:14" x14ac:dyDescent="0.3">
      <c r="A16" t="s">
        <v>60</v>
      </c>
      <c r="B16" s="26">
        <v>45</v>
      </c>
      <c r="C16" s="26">
        <v>48</v>
      </c>
      <c r="D16" s="26">
        <f>D15+C16</f>
        <v>398</v>
      </c>
      <c r="E16" s="26">
        <f>E15+C16</f>
        <v>421</v>
      </c>
      <c r="F16" s="48">
        <f>D16/$G$3</f>
        <v>6.9824561403508776</v>
      </c>
      <c r="G16">
        <v>1646</v>
      </c>
      <c r="H16" s="26">
        <v>32248</v>
      </c>
      <c r="I16" s="49">
        <f>(G16-$C$24)/$C$23</f>
        <v>1.5080582417179289</v>
      </c>
      <c r="J16" s="49">
        <f>(H16-$D$24)/$D$23</f>
        <v>4.5835435321424116</v>
      </c>
      <c r="K16" s="25">
        <f>I16*C16/1000</f>
        <v>7.2386795602460585E-2</v>
      </c>
      <c r="L16" s="25">
        <f>J16*C16/1000</f>
        <v>0.22001008954283577</v>
      </c>
      <c r="M16" s="28">
        <f>I16/$I$19</f>
        <v>3.2258768820453386E-2</v>
      </c>
      <c r="N16" s="25">
        <f>J16/$J$19</f>
        <v>9.8086286573928733E-2</v>
      </c>
    </row>
    <row r="17" spans="1:14" x14ac:dyDescent="0.3">
      <c r="A17" t="s">
        <v>61</v>
      </c>
      <c r="B17" s="26">
        <v>50</v>
      </c>
      <c r="C17" s="26">
        <v>48</v>
      </c>
      <c r="D17" s="26">
        <f>D16+C17</f>
        <v>446</v>
      </c>
      <c r="E17" s="26">
        <f>E16+C17</f>
        <v>469</v>
      </c>
      <c r="F17" s="48">
        <f>D17/$G$3</f>
        <v>7.8245614035087723</v>
      </c>
      <c r="G17">
        <v>1533</v>
      </c>
      <c r="H17" s="26">
        <v>24817</v>
      </c>
      <c r="I17" s="49">
        <f>(G17-$C$24)/$C$23</f>
        <v>1.4986887476325583</v>
      </c>
      <c r="J17" s="49">
        <f>(H17-$D$24)/$D$23</f>
        <v>4.203243909430002</v>
      </c>
      <c r="K17" s="25">
        <f>I17*C17/1000</f>
        <v>7.19370598863628E-2</v>
      </c>
      <c r="L17" s="25">
        <f>J17*C17/1000</f>
        <v>0.20175570765264009</v>
      </c>
      <c r="M17" s="28">
        <f>I17/$I$19</f>
        <v>3.2058346625008026E-2</v>
      </c>
      <c r="N17" s="25">
        <f>J17/$J$19</f>
        <v>8.9948002838704605E-2</v>
      </c>
    </row>
    <row r="18" spans="1:14" x14ac:dyDescent="0.3">
      <c r="A18" t="s">
        <v>62</v>
      </c>
      <c r="B18" s="26">
        <v>55</v>
      </c>
      <c r="C18" s="26">
        <v>48</v>
      </c>
      <c r="D18" s="26">
        <f>D17+C18</f>
        <v>494</v>
      </c>
      <c r="E18" s="26">
        <f>E17+C18</f>
        <v>517</v>
      </c>
      <c r="F18" s="48">
        <f>D18/$G$3</f>
        <v>8.6666666666666661</v>
      </c>
      <c r="G18">
        <v>1329</v>
      </c>
      <c r="H18" s="26">
        <v>19697</v>
      </c>
      <c r="I18" s="49">
        <f>(G18-$C$24)/$C$23</f>
        <v>1.4817739087527739</v>
      </c>
      <c r="J18" s="49">
        <f>(H18-$D$24)/$D$23</f>
        <v>3.9412153711057472</v>
      </c>
      <c r="K18" s="25">
        <f>I18*C18/1000</f>
        <v>7.1125147620133153E-2</v>
      </c>
      <c r="L18" s="25">
        <f>J18*C18/1000</f>
        <v>0.18917833781307586</v>
      </c>
      <c r="M18" s="28">
        <f>I18/$I$19</f>
        <v>3.1696522484557989E-2</v>
      </c>
      <c r="N18" s="25">
        <f>J18/$J$19</f>
        <v>8.4340680442748797E-2</v>
      </c>
    </row>
    <row r="19" spans="1:14" x14ac:dyDescent="0.3">
      <c r="A19" t="s">
        <v>63</v>
      </c>
      <c r="B19" t="s">
        <v>22</v>
      </c>
      <c r="C19" t="s">
        <v>64</v>
      </c>
      <c r="D19" s="26">
        <f>SUM(D7:D18)</f>
        <v>2819</v>
      </c>
      <c r="E19" s="26"/>
      <c r="F19" s="48">
        <f>D19/$G$3</f>
        <v>49.456140350877192</v>
      </c>
      <c r="G19">
        <v>547268</v>
      </c>
      <c r="H19" s="26">
        <v>855778</v>
      </c>
      <c r="I19" s="49">
        <f>(G19-$C$24)/$C$23</f>
        <v>46.748784806745569</v>
      </c>
      <c r="J19" s="49">
        <f>(H19-$D$24)/$D$23</f>
        <v>46.729708017723183</v>
      </c>
    </row>
    <row r="20" spans="1:14" x14ac:dyDescent="0.3">
      <c r="A20" t="s">
        <v>23</v>
      </c>
      <c r="H20" t="s">
        <v>79</v>
      </c>
      <c r="I20" s="49">
        <v>150</v>
      </c>
      <c r="J20" t="s">
        <v>65</v>
      </c>
      <c r="K20" s="25">
        <f>SUM(K7:K18)</f>
        <v>6.9864266904842385</v>
      </c>
      <c r="L20" s="25">
        <f>SUM(L7:L18)</f>
        <v>6.9230606890545632</v>
      </c>
    </row>
    <row r="22" spans="1:14" x14ac:dyDescent="0.3">
      <c r="C22" t="s">
        <v>0</v>
      </c>
      <c r="D22" t="s">
        <v>13</v>
      </c>
      <c r="H22" t="s">
        <v>80</v>
      </c>
    </row>
    <row r="23" spans="1:14" x14ac:dyDescent="0.3">
      <c r="B23" t="s">
        <v>25</v>
      </c>
      <c r="C23" s="37">
        <v>12060.416386455236</v>
      </c>
      <c r="D23" s="37">
        <v>19539.85635589093</v>
      </c>
      <c r="E23" s="37"/>
    </row>
    <row r="24" spans="1:14" x14ac:dyDescent="0.3">
      <c r="B24" t="s">
        <v>35</v>
      </c>
      <c r="C24" s="37">
        <v>-16541.81033014378</v>
      </c>
      <c r="D24" s="37">
        <v>-57313.782219035667</v>
      </c>
      <c r="E24" s="37"/>
    </row>
    <row r="26" spans="1:14" x14ac:dyDescent="0.3">
      <c r="B26" s="34"/>
      <c r="C26" s="33" t="s">
        <v>7</v>
      </c>
      <c r="D26" s="34" t="s">
        <v>33</v>
      </c>
      <c r="E26" s="31" t="s">
        <v>32</v>
      </c>
      <c r="F26" s="34" t="s">
        <v>31</v>
      </c>
      <c r="G26" s="55" t="s">
        <v>81</v>
      </c>
    </row>
    <row r="27" spans="1:14" x14ac:dyDescent="0.3">
      <c r="B27" s="39" t="s">
        <v>30</v>
      </c>
      <c r="C27">
        <v>547268</v>
      </c>
      <c r="D27" s="48">
        <f>(C27-$C$24)/$C$23</f>
        <v>46.748784806745569</v>
      </c>
      <c r="E27" s="26">
        <v>150</v>
      </c>
      <c r="F27" s="48">
        <f>D27*E27/1000</f>
        <v>7.0123177210118355</v>
      </c>
      <c r="G27" s="61">
        <f>K20*100/F27</f>
        <v>99.630777846103342</v>
      </c>
    </row>
    <row r="28" spans="1:14" x14ac:dyDescent="0.3">
      <c r="B28" s="38" t="s">
        <v>82</v>
      </c>
      <c r="C28" s="26">
        <v>855778</v>
      </c>
      <c r="D28" s="48">
        <f>(C28-$D$24)/$D$23</f>
        <v>46.729708017723183</v>
      </c>
      <c r="E28" s="57">
        <v>150</v>
      </c>
      <c r="F28" s="58">
        <f>D28*E28/1000</f>
        <v>7.0094562026584768</v>
      </c>
      <c r="G28" s="60">
        <f>L20*100/F28</f>
        <v>98.767443420630173</v>
      </c>
    </row>
  </sheetData>
  <mergeCells count="4">
    <mergeCell ref="G5:H5"/>
    <mergeCell ref="I5:J5"/>
    <mergeCell ref="K5:L5"/>
    <mergeCell ref="M5:N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St(1)</vt:lpstr>
      <vt:lpstr>St(1b)</vt:lpstr>
      <vt:lpstr>St(1c)</vt:lpstr>
      <vt:lpstr>St(2)</vt:lpstr>
      <vt:lpstr>St(3)</vt:lpstr>
      <vt:lpstr>QS(1)</vt:lpstr>
      <vt:lpstr>QS(2)</vt:lpstr>
      <vt:lpstr>QS(3)</vt:lpstr>
      <vt:lpstr>Sand(1)</vt:lpstr>
      <vt:lpstr>Sand(2)</vt:lpstr>
      <vt:lpstr>Sand(3)</vt:lpstr>
      <vt:lpstr>Loam(1)</vt:lpstr>
      <vt:lpstr>Loam(2)</vt:lpstr>
      <vt:lpstr>Loam(3)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Encina</dc:creator>
  <cp:lastModifiedBy>Encina</cp:lastModifiedBy>
  <dcterms:created xsi:type="dcterms:W3CDTF">2015-06-05T18:17:20Z</dcterms:created>
  <dcterms:modified xsi:type="dcterms:W3CDTF">2022-07-18T19:06:18Z</dcterms:modified>
</cp:coreProperties>
</file>